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omments1.xml" ContentType="application/vnd.openxmlformats-officedocument.spreadsheetml.comments+xml"/>
  <Override PartName="/xl/customProperty2.bin" ContentType="application/vnd.openxmlformats-officedocument.spreadsheetml.customProperty"/>
  <Override PartName="/xl/comments2.xml" ContentType="application/vnd.openxmlformats-officedocument.spreadsheetml.comments+xml"/>
  <Override PartName="/xl/comments3.xml" ContentType="application/vnd.openxmlformats-officedocument.spreadsheetml.comments+xml"/>
  <Override PartName="/xl/customProperty3.bin" ContentType="application/vnd.openxmlformats-officedocument.spreadsheetml.customProperty"/>
  <Override PartName="/xl/comments4.xml" ContentType="application/vnd.openxmlformats-officedocument.spreadsheetml.comments+xml"/>
  <Override PartName="/xl/customProperty4.bin" ContentType="application/vnd.openxmlformats-officedocument.spreadsheetml.customProperty"/>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ustomProperty5.bin" ContentType="application/vnd.openxmlformats-officedocument.spreadsheetml.customProperty"/>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omments9.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https://point72-my.sharepoint.com/personal/zach_mariani_point72_com/Documents/Stoinks/SKIN/"/>
    </mc:Choice>
  </mc:AlternateContent>
  <xr:revisionPtr revIDLastSave="173459" documentId="8_{29A57BBB-96BF-4850-AE3C-AC91E6F16B39}" xr6:coauthVersionLast="47" xr6:coauthVersionMax="47" xr10:uidLastSave="{8F759FC5-3A2F-4409-8570-23D6E4215D80}"/>
  <bookViews>
    <workbookView xWindow="-110" yWindow="-110" windowWidth="38620" windowHeight="21220" xr2:uid="{005DCA13-B6C3-4727-A1AA-4879AED0F671}"/>
  </bookViews>
  <sheets>
    <sheet name="cover&amp;variance" sheetId="3" r:id="rId1"/>
    <sheet name="tower" sheetId="2" r:id="rId2"/>
    <sheet name="acadMath-&gt;" sheetId="27" r:id="rId3"/>
    <sheet name="syndeoDamage" sheetId="30" r:id="rId4"/>
    <sheet name="unitEconomics" sheetId="24" r:id="rId5"/>
    <sheet name="TAM" sheetId="26" r:id="rId6"/>
    <sheet name="comps" sheetId="5" r:id="rId7"/>
    <sheet name="DCFs-&gt;" sheetId="25" r:id="rId8"/>
    <sheet name="dcf" sheetId="6" r:id="rId9"/>
    <sheet name="disasterDCF" sheetId="31" r:id="rId10"/>
    <sheet name="reverseDCF" sheetId="28" r:id="rId11"/>
    <sheet name="reverseDCF (2)" sheetId="29" r:id="rId12"/>
    <sheet name="altD-&gt;" sheetId="16" r:id="rId13"/>
    <sheet name="vsABBV" sheetId="23" r:id="rId14"/>
    <sheet name="companyDisclosures" sheetId="19" r:id="rId15"/>
    <sheet name="CORE-&gt;" sheetId="17" r:id="rId16"/>
    <sheet name="Reference Data Upload Sheet" sheetId="9" r:id="rId17"/>
    <sheet name="Estimates Upload Sheet" sheetId="8" r:id="rId18"/>
  </sheets>
  <externalReferences>
    <externalReference r:id="rId19"/>
  </externalReferences>
  <definedNames>
    <definedName name="bbg_ticker">'cover&amp;variance'!$C$5</definedName>
    <definedName name="CIQWBGuid" hidden="1">"ReferenceDataUploadSheet.xls"</definedName>
    <definedName name="va_ticker">'cover&amp;variance'!$C$6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29" l="1"/>
  <c r="C6" i="28"/>
  <c r="C6" i="31"/>
  <c r="C6" i="6"/>
  <c r="AW158" i="2"/>
  <c r="AB106" i="2"/>
  <c r="M12" i="30"/>
  <c r="M9" i="30"/>
  <c r="M8" i="30"/>
  <c r="L6" i="5"/>
  <c r="J6" i="5"/>
  <c r="BM6" i="5"/>
  <c r="AS6" i="5"/>
  <c r="T6" i="5"/>
  <c r="N6" i="5"/>
  <c r="F6" i="5"/>
  <c r="C16" i="28"/>
  <c r="F10" i="31"/>
  <c r="I12" i="31"/>
  <c r="I10" i="31"/>
  <c r="H10" i="31"/>
  <c r="G10" i="31"/>
  <c r="I7" i="31"/>
  <c r="J7" i="31" s="1"/>
  <c r="K7" i="31" s="1"/>
  <c r="F7" i="31"/>
  <c r="G8" i="31" s="1"/>
  <c r="F8" i="31"/>
  <c r="H8" i="31"/>
  <c r="H7" i="31"/>
  <c r="G7" i="31"/>
  <c r="C16" i="29"/>
  <c r="G33" i="31" l="1"/>
  <c r="K33" i="31" s="1"/>
  <c r="K32" i="31"/>
  <c r="N20" i="31"/>
  <c r="N21" i="31" s="1"/>
  <c r="C19" i="31"/>
  <c r="N18" i="31"/>
  <c r="N17" i="31" s="1"/>
  <c r="G31" i="31"/>
  <c r="N11" i="31"/>
  <c r="N12" i="31" s="1"/>
  <c r="N9" i="31"/>
  <c r="N8" i="31" s="1"/>
  <c r="C9" i="31"/>
  <c r="F22" i="31" s="1"/>
  <c r="G6" i="31"/>
  <c r="H6" i="31" s="1"/>
  <c r="I6" i="31" s="1"/>
  <c r="J6" i="31" s="1"/>
  <c r="K6" i="31" s="1"/>
  <c r="G4" i="31"/>
  <c r="H4" i="31" s="1"/>
  <c r="F3" i="31"/>
  <c r="AP12" i="23"/>
  <c r="AO12" i="23"/>
  <c r="AN12" i="23"/>
  <c r="AM12" i="23"/>
  <c r="AL12" i="23"/>
  <c r="T12" i="23"/>
  <c r="S12" i="23"/>
  <c r="R12" i="23"/>
  <c r="Q12" i="23"/>
  <c r="P12" i="23"/>
  <c r="O12" i="23"/>
  <c r="N12" i="23"/>
  <c r="M12" i="23"/>
  <c r="L12" i="23"/>
  <c r="K12" i="23"/>
  <c r="J12" i="23"/>
  <c r="I12" i="23"/>
  <c r="H12" i="23"/>
  <c r="C24" i="31"/>
  <c r="C6" i="23" a="1"/>
  <c r="K31" i="31" l="1"/>
  <c r="H22" i="31"/>
  <c r="I4" i="31"/>
  <c r="G22" i="31"/>
  <c r="C6" i="23"/>
  <c r="C8" i="23" a="1"/>
  <c r="I22" i="31" l="1"/>
  <c r="J4" i="31"/>
  <c r="C8" i="23"/>
  <c r="C11" i="23" a="1"/>
  <c r="J22" i="31" l="1"/>
  <c r="K4" i="31"/>
  <c r="K22" i="31" s="1"/>
  <c r="C11" i="23"/>
  <c r="C4" i="23"/>
  <c r="D11" i="23" a="1"/>
  <c r="D11" i="23" l="1"/>
  <c r="D76" i="30"/>
  <c r="AC103" i="2" l="1"/>
  <c r="AE103" i="2" s="1"/>
  <c r="C8" i="30"/>
  <c r="AE91" i="2"/>
  <c r="AD130" i="2"/>
  <c r="AI130" i="2"/>
  <c r="AS130" i="2"/>
  <c r="AN130" i="2"/>
  <c r="R5" i="3" l="1"/>
  <c r="AB104" i="2"/>
  <c r="AA104" i="2"/>
  <c r="Z104" i="2"/>
  <c r="X104" i="2"/>
  <c r="W104" i="2"/>
  <c r="V104" i="2"/>
  <c r="U104" i="2"/>
  <c r="S104" i="2"/>
  <c r="R104" i="2"/>
  <c r="Q104" i="2"/>
  <c r="P104" i="2"/>
  <c r="K104" i="2"/>
  <c r="N104" i="2"/>
  <c r="M104" i="2"/>
  <c r="L104" i="2"/>
  <c r="I104" i="2"/>
  <c r="H104" i="2"/>
  <c r="G104" i="2"/>
  <c r="M4" i="30"/>
  <c r="AD88" i="2"/>
  <c r="AG89" i="2"/>
  <c r="AG55" i="2" s="1"/>
  <c r="AB89" i="2"/>
  <c r="AC84" i="2"/>
  <c r="AD84" i="2" s="1"/>
  <c r="M3" i="30"/>
  <c r="D22" i="30"/>
  <c r="C22" i="30"/>
  <c r="C16" i="30"/>
  <c r="E20" i="30" s="1"/>
  <c r="D6" i="30"/>
  <c r="C6" i="30"/>
  <c r="E5" i="30"/>
  <c r="H5" i="30" s="1"/>
  <c r="I5" i="30" s="1"/>
  <c r="E4" i="30"/>
  <c r="H4" i="30" s="1"/>
  <c r="I4" i="30" s="1"/>
  <c r="E3" i="30"/>
  <c r="H3" i="30" s="1"/>
  <c r="I3" i="30" s="1"/>
  <c r="AB83" i="2"/>
  <c r="AA83" i="2"/>
  <c r="Y78" i="2"/>
  <c r="Z83" i="2"/>
  <c r="X83" i="2"/>
  <c r="W78" i="2"/>
  <c r="W83" i="2"/>
  <c r="M5" i="30" l="1"/>
  <c r="R6" i="3"/>
  <c r="R4" i="3"/>
  <c r="AC89" i="2"/>
  <c r="AR89" i="2"/>
  <c r="AE84" i="2"/>
  <c r="AK89" i="2"/>
  <c r="AL89" i="2"/>
  <c r="AC85" i="2"/>
  <c r="E21" i="30"/>
  <c r="E22" i="30"/>
  <c r="E6" i="30"/>
  <c r="H6" i="30" s="1"/>
  <c r="I6" i="30" s="1"/>
  <c r="V83" i="2"/>
  <c r="U83" i="2"/>
  <c r="G33" i="29"/>
  <c r="K33" i="29" s="1"/>
  <c r="K32" i="29"/>
  <c r="P20" i="29"/>
  <c r="P21" i="29" s="1"/>
  <c r="C19" i="29"/>
  <c r="P18" i="29"/>
  <c r="P17" i="29"/>
  <c r="G31" i="29"/>
  <c r="P11" i="29"/>
  <c r="P12" i="29" s="1"/>
  <c r="P9" i="29"/>
  <c r="P8" i="29" s="1"/>
  <c r="C9" i="29"/>
  <c r="F22" i="29" s="1"/>
  <c r="G6" i="29"/>
  <c r="H6" i="29" s="1"/>
  <c r="I6" i="29" s="1"/>
  <c r="J6" i="29" s="1"/>
  <c r="K6" i="29" s="1"/>
  <c r="G4" i="29"/>
  <c r="H4" i="29" s="1"/>
  <c r="F3" i="29"/>
  <c r="N212" i="2"/>
  <c r="M212" i="2"/>
  <c r="L212" i="2"/>
  <c r="K212" i="2"/>
  <c r="J212" i="2"/>
  <c r="I212" i="2"/>
  <c r="H212" i="2"/>
  <c r="G212" i="2"/>
  <c r="F212" i="2"/>
  <c r="P20" i="28"/>
  <c r="P21" i="28" s="1"/>
  <c r="P18" i="28"/>
  <c r="P17" i="28" s="1"/>
  <c r="J11" i="28"/>
  <c r="K11" i="28" s="1"/>
  <c r="F10" i="29" a="1"/>
  <c r="H20" i="29" a="1"/>
  <c r="I19" i="29" a="1"/>
  <c r="F18" i="29" a="1"/>
  <c r="I18" i="29" a="1"/>
  <c r="C11" i="29" a="1"/>
  <c r="F7" i="29" a="1"/>
  <c r="C24" i="29"/>
  <c r="H19" i="29" a="1"/>
  <c r="C21" i="29" a="1"/>
  <c r="F20" i="29" a="1"/>
  <c r="G20" i="29" a="1"/>
  <c r="G19" i="29" a="1"/>
  <c r="H18" i="29" a="1"/>
  <c r="G10" i="29" a="1"/>
  <c r="G18" i="29" a="1"/>
  <c r="F19" i="29" a="1"/>
  <c r="C21" i="28" a="1"/>
  <c r="AD89" i="2" l="1"/>
  <c r="AC55" i="2"/>
  <c r="R13" i="3"/>
  <c r="AM89" i="2"/>
  <c r="AO89" i="2"/>
  <c r="AE78" i="2"/>
  <c r="AE85" i="2" s="1"/>
  <c r="AF78" i="2" s="1"/>
  <c r="AD85" i="2"/>
  <c r="AH89" i="2"/>
  <c r="AJ89" i="2"/>
  <c r="AP89" i="2"/>
  <c r="AF84" i="2"/>
  <c r="AF89" i="2" s="1"/>
  <c r="AF55" i="2" s="1"/>
  <c r="AE89" i="2"/>
  <c r="AE55" i="2" s="1"/>
  <c r="AQ89" i="2"/>
  <c r="Y83" i="2"/>
  <c r="K31" i="29"/>
  <c r="F19" i="29"/>
  <c r="G18" i="29"/>
  <c r="G10" i="29"/>
  <c r="H18" i="29"/>
  <c r="G19" i="29"/>
  <c r="G20" i="29"/>
  <c r="F20" i="29"/>
  <c r="C21" i="29"/>
  <c r="H19" i="29"/>
  <c r="F7" i="29"/>
  <c r="G7" i="29" s="1"/>
  <c r="H7" i="29" s="1"/>
  <c r="C11" i="29"/>
  <c r="I18" i="29"/>
  <c r="F18" i="29"/>
  <c r="I19" i="29"/>
  <c r="H20" i="29"/>
  <c r="I20" i="29" s="1"/>
  <c r="F10" i="29"/>
  <c r="I4" i="29"/>
  <c r="H22" i="29"/>
  <c r="G22" i="29"/>
  <c r="C21" i="28"/>
  <c r="G20" i="28" a="1"/>
  <c r="H20" i="28" a="1"/>
  <c r="C11" i="28" a="1"/>
  <c r="F20" i="28" a="1"/>
  <c r="I18" i="28" a="1"/>
  <c r="H18" i="28" a="1"/>
  <c r="G18" i="28" a="1"/>
  <c r="I7" i="29" l="1"/>
  <c r="I10" i="29" s="1"/>
  <c r="H10" i="29"/>
  <c r="H14" i="29" s="1"/>
  <c r="H16" i="29" s="1"/>
  <c r="H21" i="29" s="1"/>
  <c r="R14" i="3"/>
  <c r="AN89" i="2"/>
  <c r="AF85" i="2"/>
  <c r="AG78" i="2" s="1"/>
  <c r="AG85" i="2" s="1"/>
  <c r="AI89" i="2"/>
  <c r="AS89" i="2"/>
  <c r="I22" i="29"/>
  <c r="J4" i="29"/>
  <c r="K35" i="29"/>
  <c r="G35" i="29"/>
  <c r="F14" i="29"/>
  <c r="F16" i="29" s="1"/>
  <c r="F21" i="29" s="1"/>
  <c r="F11" i="29"/>
  <c r="S7" i="29"/>
  <c r="G14" i="29"/>
  <c r="G16" i="29" s="1"/>
  <c r="G21" i="29" s="1"/>
  <c r="G11" i="29"/>
  <c r="G12" i="29"/>
  <c r="G20" i="28"/>
  <c r="H20" i="28"/>
  <c r="I20" i="28" s="1"/>
  <c r="C11" i="28"/>
  <c r="F20" i="28"/>
  <c r="I18" i="28"/>
  <c r="H18" i="28"/>
  <c r="G18" i="28"/>
  <c r="F18" i="28" a="1"/>
  <c r="I19" i="28" a="1"/>
  <c r="H19" i="28" a="1"/>
  <c r="G19" i="28" a="1"/>
  <c r="F19" i="28" a="1"/>
  <c r="H10" i="28" a="1"/>
  <c r="G10" i="28" a="1"/>
  <c r="F10" i="28" a="1"/>
  <c r="I7" i="28" a="1"/>
  <c r="H7" i="28" a="1"/>
  <c r="G7" i="28" a="1"/>
  <c r="F7" i="28" a="1"/>
  <c r="H12" i="29" l="1"/>
  <c r="J7" i="29"/>
  <c r="J10" i="29" s="1"/>
  <c r="R15" i="3"/>
  <c r="T7" i="29"/>
  <c r="U7" i="29" s="1"/>
  <c r="R7" i="29"/>
  <c r="Q7" i="29" s="1"/>
  <c r="S16" i="29"/>
  <c r="F23" i="29"/>
  <c r="F24" i="29" s="1"/>
  <c r="I23" i="29"/>
  <c r="H23" i="29"/>
  <c r="H24" i="29" s="1"/>
  <c r="G23" i="29"/>
  <c r="G24" i="29" s="1"/>
  <c r="J22" i="29"/>
  <c r="J23" i="29" s="1"/>
  <c r="K4" i="29"/>
  <c r="K22" i="29" s="1"/>
  <c r="K23" i="29" s="1"/>
  <c r="I12" i="29"/>
  <c r="I14" i="29"/>
  <c r="I16" i="29" s="1"/>
  <c r="I21" i="29" s="1"/>
  <c r="F18" i="28"/>
  <c r="I19" i="28"/>
  <c r="H19" i="28"/>
  <c r="G19" i="28"/>
  <c r="F19" i="28"/>
  <c r="H10" i="28"/>
  <c r="G10" i="28"/>
  <c r="G14" i="28" s="1"/>
  <c r="F10" i="28"/>
  <c r="F14" i="28" s="1"/>
  <c r="I7" i="28"/>
  <c r="H7" i="28"/>
  <c r="G7" i="28"/>
  <c r="F7" i="28"/>
  <c r="K7" i="29" l="1"/>
  <c r="K10" i="29" s="1"/>
  <c r="K14" i="29" s="1"/>
  <c r="K16" i="29" s="1"/>
  <c r="K21" i="29" s="1"/>
  <c r="J7" i="28"/>
  <c r="I10" i="28"/>
  <c r="I14" i="28" s="1"/>
  <c r="H14" i="28"/>
  <c r="H11" i="28"/>
  <c r="H12" i="28"/>
  <c r="I24" i="29"/>
  <c r="R16" i="29"/>
  <c r="Q16" i="29" s="1"/>
  <c r="T16" i="29"/>
  <c r="U16" i="29" s="1"/>
  <c r="J12" i="29"/>
  <c r="J14" i="29"/>
  <c r="J16" i="29" s="1"/>
  <c r="J21" i="29" s="1"/>
  <c r="J24" i="29" s="1"/>
  <c r="I8" i="28"/>
  <c r="K12" i="29" l="1"/>
  <c r="K7" i="28"/>
  <c r="K10" i="28" s="1"/>
  <c r="J10" i="28"/>
  <c r="G27" i="29"/>
  <c r="K24" i="29"/>
  <c r="K29" i="29" s="1"/>
  <c r="K27" i="29"/>
  <c r="G8" i="28"/>
  <c r="G33" i="28"/>
  <c r="K33" i="28" s="1"/>
  <c r="K32" i="28"/>
  <c r="C19" i="28"/>
  <c r="K31" i="28"/>
  <c r="P11" i="28"/>
  <c r="P12" i="28" s="1"/>
  <c r="P9" i="28"/>
  <c r="P8" i="28" s="1"/>
  <c r="C9" i="28"/>
  <c r="F22" i="28" s="1"/>
  <c r="H8" i="28"/>
  <c r="G6" i="28"/>
  <c r="H6" i="28" s="1"/>
  <c r="I6" i="28" s="1"/>
  <c r="J6" i="28" s="1"/>
  <c r="K6" i="28" s="1"/>
  <c r="G4" i="28"/>
  <c r="H4" i="28" s="1"/>
  <c r="F3" i="28"/>
  <c r="C55" i="26"/>
  <c r="D55" i="26"/>
  <c r="E55" i="26"/>
  <c r="F55" i="26"/>
  <c r="G55" i="26"/>
  <c r="H55" i="26"/>
  <c r="I55" i="26"/>
  <c r="J55" i="26"/>
  <c r="K55" i="26"/>
  <c r="L55" i="26"/>
  <c r="M55" i="26"/>
  <c r="N55" i="26"/>
  <c r="O55" i="26"/>
  <c r="P55" i="26"/>
  <c r="Q55" i="26"/>
  <c r="R55" i="26"/>
  <c r="S55" i="26"/>
  <c r="T55" i="26"/>
  <c r="U55" i="26"/>
  <c r="V55" i="26"/>
  <c r="W55" i="26"/>
  <c r="X55" i="26"/>
  <c r="Y55" i="26"/>
  <c r="Z55" i="26"/>
  <c r="AA55" i="26"/>
  <c r="AB55" i="26"/>
  <c r="AC55" i="26"/>
  <c r="AD55" i="26"/>
  <c r="AE55" i="26"/>
  <c r="AF55" i="26"/>
  <c r="AG55" i="26"/>
  <c r="AH55" i="26"/>
  <c r="AI55" i="26"/>
  <c r="AJ55" i="26"/>
  <c r="AK55" i="26"/>
  <c r="AL55" i="26"/>
  <c r="AM55" i="26"/>
  <c r="AN55" i="26"/>
  <c r="AO55" i="26"/>
  <c r="AP55" i="26"/>
  <c r="AQ55" i="26"/>
  <c r="C24" i="28"/>
  <c r="G29" i="29" l="1"/>
  <c r="K40" i="29"/>
  <c r="K28" i="29"/>
  <c r="G28" i="29"/>
  <c r="G40" i="29"/>
  <c r="G22" i="28"/>
  <c r="H22" i="28"/>
  <c r="K14" i="28"/>
  <c r="K16" i="28" s="1"/>
  <c r="K21" i="28" s="1"/>
  <c r="G31" i="28"/>
  <c r="I4" i="28"/>
  <c r="W18" i="26"/>
  <c r="W111" i="26" s="1"/>
  <c r="AB108" i="26"/>
  <c r="AG108" i="26" s="1"/>
  <c r="AL108" i="26" s="1"/>
  <c r="AQ108" i="26" s="1"/>
  <c r="R108" i="26"/>
  <c r="M108" i="26" s="1"/>
  <c r="H108" i="26" s="1"/>
  <c r="G30" i="29" l="1"/>
  <c r="G34" i="29" s="1"/>
  <c r="G36" i="29" s="1"/>
  <c r="K30" i="29"/>
  <c r="K34" i="29" s="1"/>
  <c r="K36" i="29" s="1"/>
  <c r="J14" i="28"/>
  <c r="J16" i="28" s="1"/>
  <c r="I22" i="28"/>
  <c r="J4" i="28"/>
  <c r="K12" i="28"/>
  <c r="S108" i="26"/>
  <c r="T108" i="26" s="1"/>
  <c r="U108" i="26" s="1"/>
  <c r="V108" i="26" s="1"/>
  <c r="X108" i="26"/>
  <c r="Y108" i="26" s="1"/>
  <c r="Z108" i="26" s="1"/>
  <c r="AA108" i="26" s="1"/>
  <c r="AH108" i="26"/>
  <c r="AI108" i="26" s="1"/>
  <c r="AJ108" i="26" s="1"/>
  <c r="AK108" i="26" s="1"/>
  <c r="AC108" i="26"/>
  <c r="AD108" i="26" s="1"/>
  <c r="AE108" i="26" s="1"/>
  <c r="AF108" i="26" s="1"/>
  <c r="AM108" i="26"/>
  <c r="AN108" i="26" s="1"/>
  <c r="AO108" i="26" s="1"/>
  <c r="AP108" i="26" s="1"/>
  <c r="I108" i="26"/>
  <c r="J108" i="26" s="1"/>
  <c r="K108" i="26" s="1"/>
  <c r="L108" i="26" s="1"/>
  <c r="N108" i="26"/>
  <c r="O108" i="26" s="1"/>
  <c r="P108" i="26" s="1"/>
  <c r="Q108" i="26" s="1"/>
  <c r="AE96" i="26"/>
  <c r="AD96" i="26"/>
  <c r="AE116" i="26" a="1"/>
  <c r="AD116" i="26" a="1"/>
  <c r="AD100" i="26" a="1"/>
  <c r="AE100" i="26" a="1"/>
  <c r="K39" i="29" l="1"/>
  <c r="G39" i="29"/>
  <c r="P16" i="29"/>
  <c r="P7" i="29"/>
  <c r="J22" i="28"/>
  <c r="K4" i="28"/>
  <c r="K22" i="28" s="1"/>
  <c r="AD116" i="26"/>
  <c r="AE116" i="26"/>
  <c r="AE100" i="26"/>
  <c r="AD100" i="26"/>
  <c r="AJ96" i="26"/>
  <c r="AI96" i="26"/>
  <c r="AC96" i="26"/>
  <c r="AJ116" i="26" a="1"/>
  <c r="AC116" i="26" a="1"/>
  <c r="AI116" i="26" a="1"/>
  <c r="AJ100" i="26" a="1"/>
  <c r="AI100" i="26" a="1"/>
  <c r="AC100" i="26" a="1"/>
  <c r="AE106" i="26" l="1"/>
  <c r="AE125" i="26" s="1"/>
  <c r="AD106" i="26"/>
  <c r="AD125" i="26" s="1"/>
  <c r="AI116" i="26"/>
  <c r="AI117" i="26" s="1"/>
  <c r="AC116" i="26"/>
  <c r="AJ116" i="26"/>
  <c r="AJ117" i="26" s="1"/>
  <c r="AC100" i="26"/>
  <c r="AI100" i="26"/>
  <c r="AJ100" i="26"/>
  <c r="AH96" i="26"/>
  <c r="AN96" i="26"/>
  <c r="AO96" i="26"/>
  <c r="AH116" i="26" a="1"/>
  <c r="AN116" i="26" a="1"/>
  <c r="AO116" i="26" a="1"/>
  <c r="AH100" i="26" a="1"/>
  <c r="AO100" i="26" a="1"/>
  <c r="AN100" i="26" a="1"/>
  <c r="AE109" i="26" l="1"/>
  <c r="AI106" i="26"/>
  <c r="AI125" i="26" s="1"/>
  <c r="AI101" i="26"/>
  <c r="AC106" i="26"/>
  <c r="AC125" i="26" s="1"/>
  <c r="AD109" i="26"/>
  <c r="AJ106" i="26"/>
  <c r="AJ125" i="26" s="1"/>
  <c r="AJ101" i="26"/>
  <c r="AO116" i="26"/>
  <c r="AO117" i="26" s="1"/>
  <c r="AN116" i="26"/>
  <c r="AN117" i="26" s="1"/>
  <c r="AH116" i="26"/>
  <c r="AH117" i="26" s="1"/>
  <c r="AN100" i="26"/>
  <c r="AO100" i="26"/>
  <c r="AH100" i="26"/>
  <c r="AM96" i="26"/>
  <c r="AA96" i="26"/>
  <c r="AM116" i="26" a="1"/>
  <c r="AA116" i="26" a="1"/>
  <c r="AA100" i="26" a="1"/>
  <c r="AM100" i="26" a="1"/>
  <c r="V116" i="26" a="1"/>
  <c r="AI109" i="26" l="1"/>
  <c r="AC109" i="26"/>
  <c r="AJ109" i="26"/>
  <c r="AO106" i="26"/>
  <c r="AO125" i="26" s="1"/>
  <c r="AO101" i="26"/>
  <c r="AN106" i="26"/>
  <c r="AN125" i="26" s="1"/>
  <c r="AN101" i="26"/>
  <c r="AH106" i="26"/>
  <c r="AH125" i="26" s="1"/>
  <c r="AH101" i="26"/>
  <c r="AA116" i="26"/>
  <c r="AM116" i="26"/>
  <c r="AM117" i="26" s="1"/>
  <c r="AM100" i="26"/>
  <c r="AA100" i="26"/>
  <c r="AF96" i="26"/>
  <c r="V116" i="26"/>
  <c r="AF116" i="26" a="1"/>
  <c r="AF100" i="26" a="1"/>
  <c r="S100" i="26" a="1"/>
  <c r="AO109" i="26" l="1"/>
  <c r="AA117" i="26"/>
  <c r="AA106" i="26"/>
  <c r="AA125" i="26" s="1"/>
  <c r="AM106" i="26"/>
  <c r="AM125" i="26" s="1"/>
  <c r="AM101" i="26"/>
  <c r="AN109" i="26"/>
  <c r="AH109" i="26"/>
  <c r="AF116" i="26"/>
  <c r="AF117" i="26" s="1"/>
  <c r="AF100" i="26"/>
  <c r="AK96" i="26"/>
  <c r="S100" i="26"/>
  <c r="AK116" i="26" a="1"/>
  <c r="AK100" i="26" a="1"/>
  <c r="T116" i="26" a="1"/>
  <c r="AA109" i="26" l="1"/>
  <c r="AF106" i="26"/>
  <c r="AF125" i="26" s="1"/>
  <c r="AF101" i="26"/>
  <c r="S106" i="26"/>
  <c r="S125" i="26" s="1"/>
  <c r="AM109" i="26"/>
  <c r="AK116" i="26"/>
  <c r="AK117" i="26" s="1"/>
  <c r="AG116" i="26"/>
  <c r="S109" i="26"/>
  <c r="AK100" i="26"/>
  <c r="AG100" i="26"/>
  <c r="AP96" i="26"/>
  <c r="T116" i="26"/>
  <c r="AP116" i="26" a="1"/>
  <c r="AP100" i="26" a="1"/>
  <c r="V100" i="26" a="1"/>
  <c r="AF109" i="26" l="1"/>
  <c r="AG106" i="26"/>
  <c r="AG125" i="26" s="1"/>
  <c r="AK106" i="26"/>
  <c r="AK125" i="26" s="1"/>
  <c r="AK101" i="26"/>
  <c r="AP116" i="26"/>
  <c r="AP117" i="26" s="1"/>
  <c r="AL116" i="26"/>
  <c r="AL117" i="26" s="1"/>
  <c r="AP100" i="26"/>
  <c r="AL100" i="26"/>
  <c r="V100" i="26"/>
  <c r="AA101" i="26" s="1"/>
  <c r="S116" i="26" a="1"/>
  <c r="AP106" i="26" l="1"/>
  <c r="AP125" i="26" s="1"/>
  <c r="AP101" i="26"/>
  <c r="V106" i="26"/>
  <c r="V125" i="26" s="1"/>
  <c r="AK109" i="26"/>
  <c r="AL106" i="26"/>
  <c r="AL125" i="26" s="1"/>
  <c r="AL101" i="26"/>
  <c r="AG109" i="26"/>
  <c r="AQ116" i="26"/>
  <c r="AQ117" i="26" s="1"/>
  <c r="AQ100" i="26"/>
  <c r="S116" i="26"/>
  <c r="T100" i="26" a="1"/>
  <c r="V109" i="26" l="1"/>
  <c r="AQ106" i="26"/>
  <c r="AQ125" i="26" s="1"/>
  <c r="AQ101" i="26"/>
  <c r="AP109" i="26"/>
  <c r="AL109" i="26"/>
  <c r="T100" i="26"/>
  <c r="U100" i="26" a="1"/>
  <c r="AQ109" i="26" l="1"/>
  <c r="T106" i="26"/>
  <c r="T125" i="26" s="1"/>
  <c r="U100" i="26"/>
  <c r="U116" i="26" a="1"/>
  <c r="T109" i="26" l="1"/>
  <c r="U106" i="26"/>
  <c r="U125" i="26" s="1"/>
  <c r="U116" i="26"/>
  <c r="Y100" i="26" a="1"/>
  <c r="U109" i="26" l="1"/>
  <c r="Y100" i="26"/>
  <c r="Y116" i="26" a="1"/>
  <c r="Y106" i="26" l="1"/>
  <c r="Y125" i="26" s="1"/>
  <c r="Y101" i="26"/>
  <c r="AD101" i="26"/>
  <c r="Y116" i="26"/>
  <c r="X100" i="26" a="1"/>
  <c r="Y109" i="26" l="1"/>
  <c r="Y117" i="26"/>
  <c r="AD117" i="26"/>
  <c r="X100" i="26"/>
  <c r="X116" i="26" a="1"/>
  <c r="X106" i="26" l="1"/>
  <c r="X125" i="26" s="1"/>
  <c r="X101" i="26"/>
  <c r="AC101" i="26"/>
  <c r="X116" i="26"/>
  <c r="P96" i="26"/>
  <c r="O96" i="26"/>
  <c r="N96" i="26"/>
  <c r="Q96" i="26"/>
  <c r="O100" i="26" a="1"/>
  <c r="O116" i="26" a="1"/>
  <c r="N100" i="26" a="1"/>
  <c r="N116" i="26" a="1"/>
  <c r="Q100" i="26" a="1"/>
  <c r="Q116" i="26" a="1"/>
  <c r="P116" i="26" a="1"/>
  <c r="P100" i="26" a="1"/>
  <c r="Z116" i="26" a="1"/>
  <c r="Z100" i="26" a="1"/>
  <c r="X109" i="26" l="1"/>
  <c r="X117" i="26"/>
  <c r="AC117" i="26"/>
  <c r="P100" i="26"/>
  <c r="P116" i="26"/>
  <c r="Q116" i="26"/>
  <c r="Q100" i="26"/>
  <c r="N116" i="26"/>
  <c r="S117" i="26" s="1"/>
  <c r="N100" i="26"/>
  <c r="O116" i="26"/>
  <c r="O100" i="26"/>
  <c r="K96" i="26"/>
  <c r="L96" i="26"/>
  <c r="I96" i="26"/>
  <c r="J96" i="26"/>
  <c r="Z116" i="26"/>
  <c r="Z100" i="26"/>
  <c r="K100" i="26" a="1"/>
  <c r="K116" i="26" a="1"/>
  <c r="L116" i="26" a="1"/>
  <c r="L100" i="26" a="1"/>
  <c r="J100" i="26" a="1"/>
  <c r="J116" i="26" a="1"/>
  <c r="W100" i="26" a="1"/>
  <c r="V117" i="26" l="1"/>
  <c r="U117" i="26"/>
  <c r="P106" i="26"/>
  <c r="P125" i="26" s="1"/>
  <c r="U101" i="26"/>
  <c r="N106" i="26"/>
  <c r="N125" i="26" s="1"/>
  <c r="S101" i="26"/>
  <c r="Z117" i="26"/>
  <c r="AE117" i="26"/>
  <c r="Z106" i="26"/>
  <c r="Z125" i="26" s="1"/>
  <c r="Z101" i="26"/>
  <c r="AE101" i="26"/>
  <c r="Q106" i="26"/>
  <c r="Q125" i="26" s="1"/>
  <c r="V101" i="26"/>
  <c r="O106" i="26"/>
  <c r="O125" i="26" s="1"/>
  <c r="T101" i="26"/>
  <c r="T117" i="26"/>
  <c r="AB116" i="26"/>
  <c r="AB100" i="26"/>
  <c r="J116" i="26"/>
  <c r="O117" i="26" s="1"/>
  <c r="J100" i="26"/>
  <c r="J106" i="26" s="1"/>
  <c r="J125" i="26" s="1"/>
  <c r="L100" i="26"/>
  <c r="L106" i="26" s="1"/>
  <c r="L125" i="26" s="1"/>
  <c r="L116" i="26"/>
  <c r="Q117" i="26" s="1"/>
  <c r="K116" i="26"/>
  <c r="P117" i="26" s="1"/>
  <c r="K100" i="26"/>
  <c r="K106" i="26" s="1"/>
  <c r="K125" i="26" s="1"/>
  <c r="W100" i="26"/>
  <c r="R100" i="26" a="1"/>
  <c r="Z109" i="26" l="1"/>
  <c r="O109" i="26"/>
  <c r="P101" i="26"/>
  <c r="N109" i="26"/>
  <c r="Q101" i="26"/>
  <c r="AG117" i="26"/>
  <c r="AB106" i="26"/>
  <c r="AB125" i="26" s="1"/>
  <c r="AB101" i="26"/>
  <c r="AG101" i="26"/>
  <c r="W106" i="26"/>
  <c r="W125" i="26" s="1"/>
  <c r="P109" i="26"/>
  <c r="Q109" i="26"/>
  <c r="O101" i="26"/>
  <c r="L109" i="26"/>
  <c r="J109" i="26"/>
  <c r="K109" i="26"/>
  <c r="R100" i="26"/>
  <c r="W101" i="26" s="1"/>
  <c r="M100" i="26" a="1"/>
  <c r="W109" i="26" l="1"/>
  <c r="AB109" i="26"/>
  <c r="W112" i="26"/>
  <c r="R106" i="26"/>
  <c r="R125" i="26" s="1"/>
  <c r="M100" i="26"/>
  <c r="M106" i="26" s="1"/>
  <c r="M125" i="26" s="1"/>
  <c r="W116" i="26" a="1"/>
  <c r="R116" i="26" a="1"/>
  <c r="M116" i="26" a="1"/>
  <c r="R109" i="26" l="1"/>
  <c r="R101" i="26"/>
  <c r="M109" i="26"/>
  <c r="M116" i="26"/>
  <c r="R116" i="26"/>
  <c r="R117" i="26" s="1"/>
  <c r="W116" i="26"/>
  <c r="W117" i="26" l="1"/>
  <c r="AB117" i="26"/>
  <c r="AQ66" i="26"/>
  <c r="AQ119" i="26" s="1"/>
  <c r="AQ123" i="26" s="1"/>
  <c r="AQ126" i="26" s="1"/>
  <c r="AP66" i="26"/>
  <c r="AP119" i="26" s="1"/>
  <c r="AP123" i="26" s="1"/>
  <c r="AP126" i="26" s="1"/>
  <c r="AO66" i="26"/>
  <c r="AO119" i="26" s="1"/>
  <c r="AO123" i="26" s="1"/>
  <c r="AO126" i="26" s="1"/>
  <c r="AN66" i="26"/>
  <c r="AN119" i="26" s="1"/>
  <c r="AN123" i="26" s="1"/>
  <c r="AN126" i="26" s="1"/>
  <c r="AM66" i="26"/>
  <c r="AM119" i="26" s="1"/>
  <c r="AM123" i="26" s="1"/>
  <c r="AM126" i="26" s="1"/>
  <c r="AL66" i="26"/>
  <c r="AL119" i="26" s="1"/>
  <c r="AL123" i="26" s="1"/>
  <c r="AL126" i="26" s="1"/>
  <c r="AK66" i="26"/>
  <c r="AK119" i="26" s="1"/>
  <c r="AK123" i="26" s="1"/>
  <c r="AK126" i="26" s="1"/>
  <c r="AJ66" i="26"/>
  <c r="AJ119" i="26" s="1"/>
  <c r="AJ123" i="26" s="1"/>
  <c r="AJ126" i="26" s="1"/>
  <c r="AI66" i="26"/>
  <c r="AI119" i="26" s="1"/>
  <c r="AI123" i="26" s="1"/>
  <c r="AI126" i="26" s="1"/>
  <c r="AH66" i="26"/>
  <c r="AH119" i="26" s="1"/>
  <c r="AH123" i="26" s="1"/>
  <c r="AH126" i="26" s="1"/>
  <c r="AG66" i="26"/>
  <c r="AG119" i="26" s="1"/>
  <c r="AG123" i="26" s="1"/>
  <c r="AG126" i="26" s="1"/>
  <c r="AF66" i="26"/>
  <c r="AF119" i="26" s="1"/>
  <c r="AF123" i="26" s="1"/>
  <c r="AF126" i="26" s="1"/>
  <c r="AE66" i="26"/>
  <c r="AE119" i="26" s="1"/>
  <c r="AE123" i="26" s="1"/>
  <c r="AE126" i="26" s="1"/>
  <c r="AD66" i="26"/>
  <c r="AD119" i="26" s="1"/>
  <c r="AD123" i="26" s="1"/>
  <c r="AD126" i="26" s="1"/>
  <c r="AC66" i="26"/>
  <c r="AC119" i="26" s="1"/>
  <c r="AC123" i="26" s="1"/>
  <c r="AC126" i="26" s="1"/>
  <c r="AB66" i="26"/>
  <c r="AB119" i="26" s="1"/>
  <c r="AB123" i="26" s="1"/>
  <c r="AB126" i="26" s="1"/>
  <c r="AA66" i="26"/>
  <c r="AA119" i="26" s="1"/>
  <c r="AA123" i="26" s="1"/>
  <c r="AA126" i="26" s="1"/>
  <c r="Z66" i="26"/>
  <c r="Z119" i="26" s="1"/>
  <c r="Z123" i="26" s="1"/>
  <c r="Z126" i="26" s="1"/>
  <c r="Y66" i="26"/>
  <c r="Y119" i="26" s="1"/>
  <c r="Y123" i="26" s="1"/>
  <c r="Y126" i="26" s="1"/>
  <c r="X66" i="26"/>
  <c r="X119" i="26" s="1"/>
  <c r="X123" i="26" s="1"/>
  <c r="X126" i="26" s="1"/>
  <c r="W66" i="26"/>
  <c r="W119" i="26" s="1"/>
  <c r="W123" i="26" s="1"/>
  <c r="W126" i="26" s="1"/>
  <c r="V66" i="26"/>
  <c r="V119" i="26" s="1"/>
  <c r="V123" i="26" s="1"/>
  <c r="V126" i="26" s="1"/>
  <c r="U66" i="26"/>
  <c r="U119" i="26" s="1"/>
  <c r="U123" i="26" s="1"/>
  <c r="U126" i="26" s="1"/>
  <c r="T66" i="26"/>
  <c r="T119" i="26" s="1"/>
  <c r="T123" i="26" s="1"/>
  <c r="T126" i="26" s="1"/>
  <c r="S66" i="26"/>
  <c r="S119" i="26" s="1"/>
  <c r="S123" i="26" s="1"/>
  <c r="S126" i="26" s="1"/>
  <c r="R66" i="26"/>
  <c r="R119" i="26" s="1"/>
  <c r="R123" i="26" s="1"/>
  <c r="R126" i="26" s="1"/>
  <c r="Q66" i="26"/>
  <c r="Q119" i="26" s="1"/>
  <c r="Q123" i="26" s="1"/>
  <c r="Q126" i="26" s="1"/>
  <c r="P66" i="26"/>
  <c r="P119" i="26" s="1"/>
  <c r="P123" i="26" s="1"/>
  <c r="P126" i="26" s="1"/>
  <c r="O66" i="26"/>
  <c r="O119" i="26" s="1"/>
  <c r="O123" i="26" s="1"/>
  <c r="O126" i="26" s="1"/>
  <c r="N66" i="26"/>
  <c r="N119" i="26" s="1"/>
  <c r="N123" i="26" s="1"/>
  <c r="N126" i="26" s="1"/>
  <c r="M66" i="26"/>
  <c r="M119" i="26" s="1"/>
  <c r="M123" i="26" s="1"/>
  <c r="M126" i="26" s="1"/>
  <c r="L66" i="26"/>
  <c r="L119" i="26" s="1"/>
  <c r="L123" i="26" s="1"/>
  <c r="L126" i="26" s="1"/>
  <c r="K66" i="26"/>
  <c r="K119" i="26" s="1"/>
  <c r="K123" i="26" s="1"/>
  <c r="K126" i="26" s="1"/>
  <c r="J66" i="26"/>
  <c r="J119" i="26" s="1"/>
  <c r="J123" i="26" s="1"/>
  <c r="J126" i="26" s="1"/>
  <c r="I66" i="26"/>
  <c r="H66" i="26"/>
  <c r="G66" i="26"/>
  <c r="F66" i="26"/>
  <c r="E66" i="26"/>
  <c r="D66" i="26"/>
  <c r="C66" i="26"/>
  <c r="AS56" i="26"/>
  <c r="AS52" i="26"/>
  <c r="AS51" i="26"/>
  <c r="AP64" i="26"/>
  <c r="AO64" i="26"/>
  <c r="AN64" i="26"/>
  <c r="AM64" i="26"/>
  <c r="AK64" i="26"/>
  <c r="AJ64" i="26"/>
  <c r="AI64" i="26"/>
  <c r="AH64" i="26"/>
  <c r="AF64" i="26"/>
  <c r="AE64" i="26"/>
  <c r="AD64" i="26"/>
  <c r="AC64" i="26"/>
  <c r="AA64" i="26"/>
  <c r="G80" i="26"/>
  <c r="F80" i="26"/>
  <c r="E80" i="26"/>
  <c r="D80" i="26"/>
  <c r="C80" i="26"/>
  <c r="L67" i="26"/>
  <c r="L80" i="26" s="1"/>
  <c r="K67" i="26"/>
  <c r="K80" i="26" s="1"/>
  <c r="J67" i="26"/>
  <c r="J80" i="26" s="1"/>
  <c r="I67" i="26"/>
  <c r="I80" i="26" s="1"/>
  <c r="H67" i="26"/>
  <c r="M67" i="26" s="1"/>
  <c r="M80" i="26" s="1"/>
  <c r="AQ57" i="26"/>
  <c r="AP57" i="26"/>
  <c r="AO57" i="26"/>
  <c r="AN57" i="26"/>
  <c r="AM57" i="26"/>
  <c r="AL57" i="26"/>
  <c r="AK57" i="26"/>
  <c r="AJ57" i="26"/>
  <c r="AI57" i="26"/>
  <c r="AH57" i="26"/>
  <c r="AG57" i="26"/>
  <c r="AF57" i="26"/>
  <c r="AE57" i="26"/>
  <c r="AD57" i="26"/>
  <c r="AC57" i="26"/>
  <c r="AB57" i="26"/>
  <c r="AA57" i="26"/>
  <c r="Z57" i="26"/>
  <c r="Y57" i="26"/>
  <c r="X57" i="26"/>
  <c r="W57" i="26"/>
  <c r="V57" i="26"/>
  <c r="U57" i="26"/>
  <c r="T57" i="26"/>
  <c r="S57" i="26"/>
  <c r="R57" i="26"/>
  <c r="Q57" i="26"/>
  <c r="P57" i="26"/>
  <c r="O57" i="26"/>
  <c r="N57" i="26"/>
  <c r="M57" i="26"/>
  <c r="L57" i="26"/>
  <c r="K57" i="26"/>
  <c r="J57" i="26"/>
  <c r="I57" i="26"/>
  <c r="H57" i="26"/>
  <c r="G57" i="26"/>
  <c r="F57" i="26"/>
  <c r="E57" i="26"/>
  <c r="D57" i="26"/>
  <c r="C57" i="26"/>
  <c r="AB54" i="26"/>
  <c r="R54" i="26"/>
  <c r="AB49" i="26"/>
  <c r="R49" i="26"/>
  <c r="E67" i="2"/>
  <c r="AB142" i="2"/>
  <c r="AB149" i="2" s="1"/>
  <c r="AA142" i="2"/>
  <c r="AA149" i="2" s="1"/>
  <c r="Z142" i="2"/>
  <c r="Z149" i="2" s="1"/>
  <c r="Y142" i="2"/>
  <c r="Y149" i="2" s="1"/>
  <c r="W142" i="2"/>
  <c r="W149" i="2" s="1"/>
  <c r="V142" i="2"/>
  <c r="V149" i="2" s="1"/>
  <c r="U142" i="2"/>
  <c r="U149" i="2" s="1"/>
  <c r="T142" i="2"/>
  <c r="T149" i="2" s="1"/>
  <c r="R142" i="2"/>
  <c r="R148" i="2" s="1"/>
  <c r="Q142" i="2"/>
  <c r="Q149" i="2" s="1"/>
  <c r="P142" i="2"/>
  <c r="P147" i="2" s="1"/>
  <c r="O142" i="2"/>
  <c r="O145" i="2" s="1"/>
  <c r="O69" i="2" s="1"/>
  <c r="M142" i="2"/>
  <c r="M149" i="2" s="1"/>
  <c r="L142" i="2"/>
  <c r="L149" i="2" s="1"/>
  <c r="K142" i="2"/>
  <c r="K149" i="2" s="1"/>
  <c r="J142" i="2"/>
  <c r="J149" i="2" s="1"/>
  <c r="I142" i="2"/>
  <c r="I149" i="2" s="1"/>
  <c r="H142" i="2"/>
  <c r="H145" i="2" s="1"/>
  <c r="H69" i="2" s="1"/>
  <c r="G142" i="2"/>
  <c r="G145" i="2" s="1"/>
  <c r="G69" i="2" s="1"/>
  <c r="F142" i="2"/>
  <c r="F148" i="2" s="1"/>
  <c r="E142" i="2"/>
  <c r="E149" i="2" s="1"/>
  <c r="X139" i="2"/>
  <c r="X142" i="2" s="1"/>
  <c r="X148" i="2" s="1"/>
  <c r="S139" i="2"/>
  <c r="S142" i="2" s="1"/>
  <c r="S149" i="2" s="1"/>
  <c r="N139" i="2"/>
  <c r="N142" i="2" s="1"/>
  <c r="N149" i="2" s="1"/>
  <c r="Z34" i="26"/>
  <c r="Z76" i="26" s="1"/>
  <c r="Y34" i="26"/>
  <c r="Y76" i="26" s="1"/>
  <c r="X34" i="26"/>
  <c r="X76" i="26" s="1"/>
  <c r="V34" i="26"/>
  <c r="V76" i="26" s="1"/>
  <c r="U34" i="26"/>
  <c r="U76" i="26" s="1"/>
  <c r="T34" i="26"/>
  <c r="T76" i="26" s="1"/>
  <c r="S34" i="26"/>
  <c r="S76" i="26" s="1"/>
  <c r="R34" i="26"/>
  <c r="R76" i="26" s="1"/>
  <c r="P34" i="26"/>
  <c r="P76" i="26" s="1"/>
  <c r="O34" i="26"/>
  <c r="O76" i="26" s="1"/>
  <c r="M34" i="26"/>
  <c r="M76" i="26" s="1"/>
  <c r="K34" i="26"/>
  <c r="K76" i="26" s="1"/>
  <c r="J34" i="26"/>
  <c r="J76" i="26" s="1"/>
  <c r="H34" i="26"/>
  <c r="H76" i="26" s="1"/>
  <c r="F34" i="26"/>
  <c r="F76" i="26" s="1"/>
  <c r="E34" i="26"/>
  <c r="E76" i="26" s="1"/>
  <c r="D34" i="26"/>
  <c r="D76" i="26" s="1"/>
  <c r="C34" i="26"/>
  <c r="C76" i="26" s="1"/>
  <c r="AQ23" i="26"/>
  <c r="AQ64" i="26" s="1"/>
  <c r="AL23" i="26"/>
  <c r="AL64" i="26" s="1"/>
  <c r="AG23" i="26"/>
  <c r="AG64" i="26" s="1"/>
  <c r="Z144" i="26"/>
  <c r="Y144" i="26"/>
  <c r="Y23" i="26" s="1"/>
  <c r="Y64" i="26" s="1"/>
  <c r="X144" i="26"/>
  <c r="X23" i="26" s="1"/>
  <c r="X64" i="26" s="1"/>
  <c r="W144" i="26"/>
  <c r="W23" i="26" s="1"/>
  <c r="W64" i="26" s="1"/>
  <c r="U144" i="26"/>
  <c r="T144" i="26"/>
  <c r="T23" i="26" s="1"/>
  <c r="T64" i="26" s="1"/>
  <c r="S144" i="26"/>
  <c r="S23" i="26" s="1"/>
  <c r="S64" i="26" s="1"/>
  <c r="R144" i="26"/>
  <c r="R23" i="26" s="1"/>
  <c r="R64" i="26" s="1"/>
  <c r="P144" i="26"/>
  <c r="P23" i="26" s="1"/>
  <c r="P64" i="26" s="1"/>
  <c r="O144" i="26"/>
  <c r="O23" i="26" s="1"/>
  <c r="O64" i="26" s="1"/>
  <c r="N144" i="26"/>
  <c r="N23" i="26" s="1"/>
  <c r="N64" i="26" s="1"/>
  <c r="M144" i="26"/>
  <c r="M23" i="26" s="1"/>
  <c r="M64" i="26" s="1"/>
  <c r="K144" i="26"/>
  <c r="K23" i="26" s="1"/>
  <c r="K64" i="26" s="1"/>
  <c r="J144" i="26"/>
  <c r="J23" i="26" s="1"/>
  <c r="J64" i="26" s="1"/>
  <c r="I144" i="26"/>
  <c r="I23" i="26" s="1"/>
  <c r="I64" i="26" s="1"/>
  <c r="H144" i="26"/>
  <c r="H23" i="26" s="1"/>
  <c r="H64" i="26" s="1"/>
  <c r="G144" i="26"/>
  <c r="G23" i="26" s="1"/>
  <c r="G64" i="26" s="1"/>
  <c r="F144" i="26"/>
  <c r="F23" i="26" s="1"/>
  <c r="F64" i="26" s="1"/>
  <c r="E144" i="26"/>
  <c r="E23" i="26" s="1"/>
  <c r="E64" i="26" s="1"/>
  <c r="D144" i="26"/>
  <c r="D23" i="26" s="1"/>
  <c r="D64" i="26" s="1"/>
  <c r="C144" i="26"/>
  <c r="C23" i="26" s="1"/>
  <c r="C64" i="26" s="1"/>
  <c r="L141" i="26"/>
  <c r="Q141" i="26"/>
  <c r="V141" i="26"/>
  <c r="V144" i="26" s="1"/>
  <c r="V23" i="26" s="1"/>
  <c r="V64" i="26" s="1"/>
  <c r="AB12" i="26"/>
  <c r="AB8" i="26"/>
  <c r="R8" i="26"/>
  <c r="R12" i="26"/>
  <c r="AB59" i="26" l="1"/>
  <c r="AB70" i="26" s="1"/>
  <c r="AB83" i="26" s="1"/>
  <c r="S49" i="26"/>
  <c r="R59" i="26"/>
  <c r="R70" i="26" s="1"/>
  <c r="R83" i="26" s="1"/>
  <c r="W59" i="26"/>
  <c r="W70" i="26" s="1"/>
  <c r="W83" i="26" s="1"/>
  <c r="R18" i="26"/>
  <c r="R111" i="26" s="1"/>
  <c r="R112" i="26" s="1"/>
  <c r="AB18" i="26"/>
  <c r="AB111" i="26" s="1"/>
  <c r="AB112" i="26" s="1"/>
  <c r="AG54" i="26"/>
  <c r="AC54" i="26" s="1"/>
  <c r="AD54" i="26" s="1"/>
  <c r="AE54" i="26" s="1"/>
  <c r="AF54" i="26" s="1"/>
  <c r="X54" i="26"/>
  <c r="Y54" i="26" s="1"/>
  <c r="Z54" i="26" s="1"/>
  <c r="AA54" i="26" s="1"/>
  <c r="X49" i="26"/>
  <c r="AG8" i="26"/>
  <c r="X8" i="26"/>
  <c r="AG12" i="26"/>
  <c r="X12" i="26"/>
  <c r="Y12" i="26" s="1"/>
  <c r="Z12" i="26" s="1"/>
  <c r="AA12" i="26" s="1"/>
  <c r="M8" i="26"/>
  <c r="S8" i="26"/>
  <c r="M54" i="26"/>
  <c r="S54" i="26"/>
  <c r="T54" i="26" s="1"/>
  <c r="U54" i="26" s="1"/>
  <c r="V54" i="26" s="1"/>
  <c r="M12" i="26"/>
  <c r="S12" i="26"/>
  <c r="T12" i="26" s="1"/>
  <c r="U12" i="26" s="1"/>
  <c r="V12" i="26" s="1"/>
  <c r="M49" i="26"/>
  <c r="AG49" i="26"/>
  <c r="AG59" i="26" s="1"/>
  <c r="H80" i="26"/>
  <c r="N67" i="26"/>
  <c r="N80" i="26" s="1"/>
  <c r="O67" i="26"/>
  <c r="P67" i="26"/>
  <c r="Q67" i="26"/>
  <c r="R67" i="26"/>
  <c r="W145" i="2"/>
  <c r="W69" i="2" s="1"/>
  <c r="AB147" i="2"/>
  <c r="P145" i="2"/>
  <c r="R147" i="2"/>
  <c r="W147" i="2"/>
  <c r="G148" i="2"/>
  <c r="P148" i="2"/>
  <c r="W148" i="2"/>
  <c r="G149" i="2"/>
  <c r="R145" i="2"/>
  <c r="F149" i="2"/>
  <c r="F147" i="2"/>
  <c r="H149" i="2"/>
  <c r="F145" i="2"/>
  <c r="F69" i="2" s="1"/>
  <c r="G147" i="2"/>
  <c r="H148" i="2"/>
  <c r="O149" i="2"/>
  <c r="H147" i="2"/>
  <c r="O148" i="2"/>
  <c r="P149" i="2"/>
  <c r="O147" i="2"/>
  <c r="R149" i="2"/>
  <c r="X149" i="2"/>
  <c r="I145" i="2"/>
  <c r="I69" i="2" s="1"/>
  <c r="Q145" i="2"/>
  <c r="Y145" i="2"/>
  <c r="I147" i="2"/>
  <c r="Q147" i="2"/>
  <c r="Y147" i="2"/>
  <c r="I148" i="2"/>
  <c r="Q148" i="2"/>
  <c r="Y148" i="2"/>
  <c r="X147" i="2"/>
  <c r="J145" i="2"/>
  <c r="Z145" i="2"/>
  <c r="J147" i="2"/>
  <c r="Z147" i="2"/>
  <c r="J148" i="2"/>
  <c r="Z148" i="2"/>
  <c r="K145" i="2"/>
  <c r="S145" i="2"/>
  <c r="AA145" i="2"/>
  <c r="K147" i="2"/>
  <c r="S147" i="2"/>
  <c r="AA147" i="2"/>
  <c r="K148" i="2"/>
  <c r="S148" i="2"/>
  <c r="AA148" i="2"/>
  <c r="L145" i="2"/>
  <c r="T145" i="2"/>
  <c r="AB145" i="2"/>
  <c r="L147" i="2"/>
  <c r="T147" i="2"/>
  <c r="L148" i="2"/>
  <c r="T148" i="2"/>
  <c r="AB148" i="2"/>
  <c r="X145" i="2"/>
  <c r="E145" i="2"/>
  <c r="E69" i="2" s="1"/>
  <c r="M145" i="2"/>
  <c r="U145" i="2"/>
  <c r="E147" i="2"/>
  <c r="M147" i="2"/>
  <c r="U147" i="2"/>
  <c r="E148" i="2"/>
  <c r="M148" i="2"/>
  <c r="U148" i="2"/>
  <c r="N145" i="2"/>
  <c r="V145" i="2"/>
  <c r="N147" i="2"/>
  <c r="V147" i="2"/>
  <c r="N148" i="2"/>
  <c r="V148" i="2"/>
  <c r="Q144" i="26"/>
  <c r="Q23" i="26" s="1"/>
  <c r="Q64" i="26" s="1"/>
  <c r="L144" i="26"/>
  <c r="L23" i="26" s="1"/>
  <c r="L64" i="26" s="1"/>
  <c r="Y49" i="26" l="1"/>
  <c r="X59" i="26"/>
  <c r="T49" i="26"/>
  <c r="S59" i="26"/>
  <c r="S70" i="26" s="1"/>
  <c r="S83" i="26" s="1"/>
  <c r="M59" i="26"/>
  <c r="M70" i="26" s="1"/>
  <c r="M83" i="26" s="1"/>
  <c r="W146" i="2"/>
  <c r="M18" i="26"/>
  <c r="M111" i="26" s="1"/>
  <c r="M112" i="26" s="1"/>
  <c r="Y8" i="26"/>
  <c r="X18" i="26"/>
  <c r="X111" i="26" s="1"/>
  <c r="X112" i="26" s="1"/>
  <c r="AC8" i="26"/>
  <c r="AG18" i="26"/>
  <c r="AG111" i="26" s="1"/>
  <c r="AG112" i="26" s="1"/>
  <c r="T8" i="26"/>
  <c r="S18" i="26"/>
  <c r="S111" i="26" s="1"/>
  <c r="S112" i="26" s="1"/>
  <c r="H54" i="26"/>
  <c r="N54" i="26"/>
  <c r="O54" i="26" s="1"/>
  <c r="P54" i="26" s="1"/>
  <c r="Q54" i="26" s="1"/>
  <c r="AL12" i="26"/>
  <c r="AH12" i="26" s="1"/>
  <c r="AI12" i="26" s="1"/>
  <c r="AJ12" i="26" s="1"/>
  <c r="AK12" i="26" s="1"/>
  <c r="H8" i="26"/>
  <c r="N8" i="26"/>
  <c r="AL49" i="26"/>
  <c r="AL8" i="26"/>
  <c r="AC49" i="26"/>
  <c r="AC59" i="26" s="1"/>
  <c r="AL54" i="26"/>
  <c r="X70" i="26"/>
  <c r="X83" i="26" s="1"/>
  <c r="H49" i="26"/>
  <c r="N49" i="26"/>
  <c r="H12" i="26"/>
  <c r="N12" i="26"/>
  <c r="O12" i="26" s="1"/>
  <c r="P12" i="26" s="1"/>
  <c r="Q12" i="26" s="1"/>
  <c r="AC12" i="26"/>
  <c r="AD12" i="26" s="1"/>
  <c r="AE12" i="26" s="1"/>
  <c r="AF12" i="26" s="1"/>
  <c r="AG70" i="26"/>
  <c r="AG83" i="26" s="1"/>
  <c r="S67" i="26"/>
  <c r="T67" i="26"/>
  <c r="O80" i="26"/>
  <c r="V67" i="26"/>
  <c r="Q80" i="26"/>
  <c r="U67" i="26"/>
  <c r="P80" i="26"/>
  <c r="W67" i="26"/>
  <c r="R80" i="26"/>
  <c r="U69" i="2"/>
  <c r="U146" i="2"/>
  <c r="N69" i="2"/>
  <c r="N146" i="2"/>
  <c r="M69" i="2"/>
  <c r="M146" i="2"/>
  <c r="AB69" i="2"/>
  <c r="AB146" i="2"/>
  <c r="AG145" i="2"/>
  <c r="Z69" i="2"/>
  <c r="Z146" i="2"/>
  <c r="AE145" i="2"/>
  <c r="P69" i="2"/>
  <c r="P146" i="2"/>
  <c r="V69" i="2"/>
  <c r="V146" i="2"/>
  <c r="T69" i="2"/>
  <c r="T146" i="2"/>
  <c r="AA69" i="2"/>
  <c r="AA146" i="2"/>
  <c r="AF145" i="2"/>
  <c r="J69" i="2"/>
  <c r="J146" i="2"/>
  <c r="Y69" i="2"/>
  <c r="Y146" i="2"/>
  <c r="R69" i="2"/>
  <c r="R146" i="2"/>
  <c r="X69" i="2"/>
  <c r="AC145" i="2"/>
  <c r="X146" i="2"/>
  <c r="L69" i="2"/>
  <c r="L146" i="2"/>
  <c r="S69" i="2"/>
  <c r="S146" i="2"/>
  <c r="Q69" i="2"/>
  <c r="Q146" i="2"/>
  <c r="K69" i="2"/>
  <c r="K146" i="2"/>
  <c r="O146" i="2"/>
  <c r="N59" i="26" l="1"/>
  <c r="N70" i="26" s="1"/>
  <c r="N83" i="26" s="1"/>
  <c r="I49" i="26"/>
  <c r="J49" i="26" s="1"/>
  <c r="H59" i="26"/>
  <c r="H70" i="26" s="1"/>
  <c r="H83" i="26" s="1"/>
  <c r="AH49" i="26"/>
  <c r="AL59" i="26"/>
  <c r="U49" i="26"/>
  <c r="T59" i="26"/>
  <c r="T70" i="26" s="1"/>
  <c r="T83" i="26" s="1"/>
  <c r="Z49" i="26"/>
  <c r="Y59" i="26"/>
  <c r="Y70" i="26" s="1"/>
  <c r="Y83" i="26" s="1"/>
  <c r="H18" i="26"/>
  <c r="H111" i="26" s="1"/>
  <c r="O8" i="26"/>
  <c r="N18" i="26"/>
  <c r="N111" i="26" s="1"/>
  <c r="N112" i="26" s="1"/>
  <c r="U8" i="26"/>
  <c r="T18" i="26"/>
  <c r="T111" i="26" s="1"/>
  <c r="T112" i="26" s="1"/>
  <c r="AD8" i="26"/>
  <c r="AC18" i="26"/>
  <c r="AC111" i="26" s="1"/>
  <c r="AC112" i="26" s="1"/>
  <c r="AH8" i="26"/>
  <c r="AL18" i="26"/>
  <c r="AL111" i="26" s="1"/>
  <c r="AL112" i="26" s="1"/>
  <c r="Z8" i="26"/>
  <c r="Y18" i="26"/>
  <c r="Y111" i="26" s="1"/>
  <c r="Y112" i="26" s="1"/>
  <c r="AQ49" i="26"/>
  <c r="AQ54" i="26"/>
  <c r="AM54" i="26" s="1"/>
  <c r="AN54" i="26" s="1"/>
  <c r="AO54" i="26" s="1"/>
  <c r="AP54" i="26" s="1"/>
  <c r="AQ8" i="26"/>
  <c r="AQ12" i="26"/>
  <c r="AM12" i="26" s="1"/>
  <c r="AN12" i="26" s="1"/>
  <c r="AO12" i="26" s="1"/>
  <c r="AP12" i="26" s="1"/>
  <c r="O49" i="26"/>
  <c r="O59" i="26" s="1"/>
  <c r="C49" i="26"/>
  <c r="AI49" i="26"/>
  <c r="AD49" i="26"/>
  <c r="AD59" i="26" s="1"/>
  <c r="AC70" i="26"/>
  <c r="AC83" i="26" s="1"/>
  <c r="AL70" i="26"/>
  <c r="AL83" i="26" s="1"/>
  <c r="C12" i="26"/>
  <c r="D12" i="26" s="1"/>
  <c r="E12" i="26" s="1"/>
  <c r="F12" i="26" s="1"/>
  <c r="G12" i="26" s="1"/>
  <c r="I12" i="26"/>
  <c r="J12" i="26" s="1"/>
  <c r="K12" i="26" s="1"/>
  <c r="L12" i="26" s="1"/>
  <c r="AH54" i="26"/>
  <c r="AI54" i="26" s="1"/>
  <c r="AJ54" i="26" s="1"/>
  <c r="AK54" i="26" s="1"/>
  <c r="C8" i="26"/>
  <c r="I8" i="26"/>
  <c r="C54" i="26"/>
  <c r="D54" i="26" s="1"/>
  <c r="E54" i="26" s="1"/>
  <c r="F54" i="26" s="1"/>
  <c r="G54" i="26" s="1"/>
  <c r="I54" i="26"/>
  <c r="J54" i="26" s="1"/>
  <c r="K54" i="26" s="1"/>
  <c r="L54" i="26" s="1"/>
  <c r="X67" i="26"/>
  <c r="X80" i="26" s="1"/>
  <c r="S80" i="26"/>
  <c r="T80" i="26"/>
  <c r="Y67" i="26"/>
  <c r="W80" i="26"/>
  <c r="AB67" i="26"/>
  <c r="U80" i="26"/>
  <c r="Z67" i="26"/>
  <c r="V80" i="26"/>
  <c r="AA67" i="26"/>
  <c r="AG69" i="2"/>
  <c r="AL145" i="2"/>
  <c r="AH145" i="2"/>
  <c r="AI145" i="2" s="1"/>
  <c r="AC69" i="2"/>
  <c r="AD145" i="2"/>
  <c r="AK145" i="2"/>
  <c r="AF69" i="2"/>
  <c r="AE69" i="2"/>
  <c r="AJ145" i="2"/>
  <c r="AA49" i="26" l="1"/>
  <c r="AA59" i="26" s="1"/>
  <c r="AA70" i="26" s="1"/>
  <c r="AA83" i="26" s="1"/>
  <c r="Z59" i="26"/>
  <c r="Z70" i="26" s="1"/>
  <c r="Z83" i="26" s="1"/>
  <c r="V49" i="26"/>
  <c r="V59" i="26" s="1"/>
  <c r="V70" i="26" s="1"/>
  <c r="V83" i="26" s="1"/>
  <c r="U59" i="26"/>
  <c r="U70" i="26" s="1"/>
  <c r="U83" i="26" s="1"/>
  <c r="AI59" i="26"/>
  <c r="AI70" i="26" s="1"/>
  <c r="AI83" i="26" s="1"/>
  <c r="D49" i="26"/>
  <c r="D59" i="26" s="1"/>
  <c r="D70" i="26" s="1"/>
  <c r="C59" i="26"/>
  <c r="C70" i="26" s="1"/>
  <c r="C83" i="26" s="1"/>
  <c r="AM49" i="26"/>
  <c r="AM59" i="26" s="1"/>
  <c r="AM70" i="26" s="1"/>
  <c r="AM83" i="26" s="1"/>
  <c r="AQ59" i="26"/>
  <c r="AQ70" i="26" s="1"/>
  <c r="AQ83" i="26" s="1"/>
  <c r="J59" i="26"/>
  <c r="J70" i="26" s="1"/>
  <c r="J83" i="26" s="1"/>
  <c r="AH59" i="26"/>
  <c r="AH70" i="26" s="1"/>
  <c r="AH83" i="26" s="1"/>
  <c r="I59" i="26"/>
  <c r="AI8" i="26"/>
  <c r="AH18" i="26"/>
  <c r="AH111" i="26" s="1"/>
  <c r="AH112" i="26" s="1"/>
  <c r="AE8" i="26"/>
  <c r="AD18" i="26"/>
  <c r="AD111" i="26" s="1"/>
  <c r="AD112" i="26" s="1"/>
  <c r="AM8" i="26"/>
  <c r="AQ18" i="26"/>
  <c r="AQ111" i="26" s="1"/>
  <c r="AQ112" i="26" s="1"/>
  <c r="J8" i="26"/>
  <c r="I18" i="26"/>
  <c r="I111" i="26" s="1"/>
  <c r="D8" i="26"/>
  <c r="C18" i="26"/>
  <c r="C111" i="26" s="1"/>
  <c r="V8" i="26"/>
  <c r="V18" i="26" s="1"/>
  <c r="V111" i="26" s="1"/>
  <c r="V112" i="26" s="1"/>
  <c r="U18" i="26"/>
  <c r="U111" i="26" s="1"/>
  <c r="U112" i="26" s="1"/>
  <c r="AA8" i="26"/>
  <c r="AA18" i="26" s="1"/>
  <c r="AA111" i="26" s="1"/>
  <c r="AA112" i="26" s="1"/>
  <c r="Z18" i="26"/>
  <c r="Z111" i="26" s="1"/>
  <c r="Z112" i="26" s="1"/>
  <c r="P8" i="26"/>
  <c r="O18" i="26"/>
  <c r="O111" i="26" s="1"/>
  <c r="O112" i="26" s="1"/>
  <c r="I70" i="26"/>
  <c r="I83" i="26" s="1"/>
  <c r="AE49" i="26"/>
  <c r="AE59" i="26" s="1"/>
  <c r="AD70" i="26"/>
  <c r="AD83" i="26" s="1"/>
  <c r="P49" i="26"/>
  <c r="P59" i="26" s="1"/>
  <c r="O70" i="26"/>
  <c r="O83" i="26" s="1"/>
  <c r="AJ49" i="26"/>
  <c r="AJ59" i="26" s="1"/>
  <c r="K49" i="26"/>
  <c r="K59" i="26" s="1"/>
  <c r="AC67" i="26"/>
  <c r="AC80" i="26" s="1"/>
  <c r="Y80" i="26"/>
  <c r="AD67" i="26"/>
  <c r="Z80" i="26"/>
  <c r="AE67" i="26"/>
  <c r="AA80" i="26"/>
  <c r="AF67" i="26"/>
  <c r="AB80" i="26"/>
  <c r="AG67" i="26"/>
  <c r="AJ69" i="2"/>
  <c r="AO145" i="2"/>
  <c r="AQ145" i="2"/>
  <c r="AQ69" i="2" s="1"/>
  <c r="AL69" i="2"/>
  <c r="AI69" i="2"/>
  <c r="AI146" i="2"/>
  <c r="AD69" i="2"/>
  <c r="AD146" i="2"/>
  <c r="AK69" i="2"/>
  <c r="AP145" i="2"/>
  <c r="AP69" i="2" s="1"/>
  <c r="AM145" i="2"/>
  <c r="AH69" i="2"/>
  <c r="AN49" i="26" l="1"/>
  <c r="AN59" i="26" s="1"/>
  <c r="AN70" i="26" s="1"/>
  <c r="AN83" i="26" s="1"/>
  <c r="E49" i="26"/>
  <c r="E59" i="26" s="1"/>
  <c r="E70" i="26" s="1"/>
  <c r="AJ8" i="26"/>
  <c r="AI18" i="26"/>
  <c r="AI111" i="26" s="1"/>
  <c r="AI112" i="26" s="1"/>
  <c r="Q8" i="26"/>
  <c r="Q18" i="26" s="1"/>
  <c r="Q111" i="26" s="1"/>
  <c r="Q112" i="26" s="1"/>
  <c r="P18" i="26"/>
  <c r="P111" i="26" s="1"/>
  <c r="P112" i="26" s="1"/>
  <c r="K8" i="26"/>
  <c r="J18" i="26"/>
  <c r="J111" i="26" s="1"/>
  <c r="J112" i="26" s="1"/>
  <c r="AN8" i="26"/>
  <c r="AM18" i="26"/>
  <c r="AM111" i="26" s="1"/>
  <c r="AM112" i="26" s="1"/>
  <c r="E8" i="26"/>
  <c r="D18" i="26"/>
  <c r="D111" i="26" s="1"/>
  <c r="AF8" i="26"/>
  <c r="AF18" i="26" s="1"/>
  <c r="AF111" i="26" s="1"/>
  <c r="AF112" i="26" s="1"/>
  <c r="AE18" i="26"/>
  <c r="AE111" i="26" s="1"/>
  <c r="AE112" i="26" s="1"/>
  <c r="AK49" i="26"/>
  <c r="AJ70" i="26"/>
  <c r="AJ83" i="26" s="1"/>
  <c r="L49" i="26"/>
  <c r="K70" i="26"/>
  <c r="K83" i="26" s="1"/>
  <c r="AF49" i="26"/>
  <c r="AE70" i="26"/>
  <c r="AE83" i="26" s="1"/>
  <c r="Q49" i="26"/>
  <c r="P70" i="26"/>
  <c r="P83" i="26" s="1"/>
  <c r="AH67" i="26"/>
  <c r="AM67" i="26" s="1"/>
  <c r="AD80" i="26"/>
  <c r="AI67" i="26"/>
  <c r="D83" i="26"/>
  <c r="F49" i="26"/>
  <c r="F59" i="26" s="1"/>
  <c r="AK67" i="26"/>
  <c r="AF80" i="26"/>
  <c r="AJ67" i="26"/>
  <c r="AE80" i="26"/>
  <c r="AL67" i="26"/>
  <c r="AG80" i="26"/>
  <c r="AO69" i="2"/>
  <c r="AR145" i="2"/>
  <c r="AR69" i="2" s="1"/>
  <c r="AM69" i="2"/>
  <c r="AN145" i="2"/>
  <c r="AO49" i="26" l="1"/>
  <c r="AO59" i="26" s="1"/>
  <c r="AO70" i="26" s="1"/>
  <c r="AO83" i="26" s="1"/>
  <c r="Q59" i="26"/>
  <c r="Q70" i="26" s="1"/>
  <c r="Q83" i="26" s="1"/>
  <c r="L59" i="26"/>
  <c r="L70" i="26" s="1"/>
  <c r="L83" i="26" s="1"/>
  <c r="AF59" i="26"/>
  <c r="AF70" i="26" s="1"/>
  <c r="AF83" i="26" s="1"/>
  <c r="AK59" i="26"/>
  <c r="AK70" i="26" s="1"/>
  <c r="AK83" i="26" s="1"/>
  <c r="F8" i="26"/>
  <c r="E18" i="26"/>
  <c r="E111" i="26" s="1"/>
  <c r="AK8" i="26"/>
  <c r="AK18" i="26" s="1"/>
  <c r="AK111" i="26" s="1"/>
  <c r="AK112" i="26" s="1"/>
  <c r="AJ18" i="26"/>
  <c r="AJ111" i="26" s="1"/>
  <c r="AJ112" i="26" s="1"/>
  <c r="AO8" i="26"/>
  <c r="AN18" i="26"/>
  <c r="AN111" i="26" s="1"/>
  <c r="AN112" i="26" s="1"/>
  <c r="L8" i="26"/>
  <c r="L18" i="26" s="1"/>
  <c r="L111" i="26" s="1"/>
  <c r="L112" i="26" s="1"/>
  <c r="K18" i="26"/>
  <c r="K111" i="26" s="1"/>
  <c r="K112" i="26" s="1"/>
  <c r="AH80" i="26"/>
  <c r="AI80" i="26"/>
  <c r="AN67" i="26"/>
  <c r="F70" i="26"/>
  <c r="G49" i="26"/>
  <c r="AJ80" i="26"/>
  <c r="AO67" i="26"/>
  <c r="E83" i="26"/>
  <c r="AL80" i="26"/>
  <c r="AQ67" i="26"/>
  <c r="AQ80" i="26" s="1"/>
  <c r="AK80" i="26"/>
  <c r="AP67" i="26"/>
  <c r="AM80" i="26"/>
  <c r="AS145" i="2"/>
  <c r="AS69" i="2" s="1"/>
  <c r="AN69" i="2"/>
  <c r="AN146" i="2"/>
  <c r="AP49" i="26" l="1"/>
  <c r="G59" i="26"/>
  <c r="G70" i="26" s="1"/>
  <c r="G83" i="26" s="1"/>
  <c r="AP59" i="26"/>
  <c r="AP70" i="26" s="1"/>
  <c r="AP83" i="26" s="1"/>
  <c r="G8" i="26"/>
  <c r="G18" i="26" s="1"/>
  <c r="G111" i="26" s="1"/>
  <c r="F18" i="26"/>
  <c r="F111" i="26" s="1"/>
  <c r="AP8" i="26"/>
  <c r="AP18" i="26" s="1"/>
  <c r="AP111" i="26" s="1"/>
  <c r="AP112" i="26" s="1"/>
  <c r="AO18" i="26"/>
  <c r="AO111" i="26" s="1"/>
  <c r="AO112" i="26" s="1"/>
  <c r="AN80" i="26"/>
  <c r="AO80" i="26"/>
  <c r="F83" i="26"/>
  <c r="AP80" i="26"/>
  <c r="AS146" i="2"/>
  <c r="BI11" i="5"/>
  <c r="BY13" i="5"/>
  <c r="BI10" i="5"/>
  <c r="BQ14" i="5"/>
  <c r="BY7" i="5"/>
  <c r="BI12" i="5"/>
  <c r="BY14" i="5"/>
  <c r="BI9" i="5"/>
  <c r="BY12" i="5"/>
  <c r="BQ13" i="5"/>
  <c r="BI13" i="5"/>
  <c r="BQ9" i="5"/>
  <c r="BQ10" i="5"/>
  <c r="BY10" i="5"/>
  <c r="BY11" i="5"/>
  <c r="BQ7" i="5"/>
  <c r="BY9" i="5"/>
  <c r="BI7" i="5"/>
  <c r="BQ11" i="5"/>
  <c r="BI14" i="5"/>
  <c r="BQ12" i="5"/>
  <c r="BS7" i="5"/>
  <c r="CA14" i="5"/>
  <c r="BS10" i="5"/>
  <c r="BK7" i="5"/>
  <c r="CA11" i="5"/>
  <c r="CA13" i="5"/>
  <c r="CA7" i="5"/>
  <c r="CA9" i="5"/>
  <c r="BK13" i="5"/>
  <c r="BS12" i="5"/>
  <c r="BK10" i="5"/>
  <c r="BS9" i="5"/>
  <c r="BK14" i="5"/>
  <c r="BK11" i="5"/>
  <c r="BK12" i="5"/>
  <c r="BK9" i="5"/>
  <c r="CA10" i="5"/>
  <c r="BS11" i="5"/>
  <c r="BS13" i="5"/>
  <c r="BS14" i="5"/>
  <c r="CA12" i="5"/>
  <c r="CC7" i="5"/>
  <c r="CC13" i="5"/>
  <c r="BU7" i="5"/>
  <c r="CC14" i="5"/>
  <c r="CC12" i="5"/>
  <c r="BM13" i="5"/>
  <c r="CC11" i="5"/>
  <c r="CC10" i="5"/>
  <c r="BM12" i="5"/>
  <c r="BU12" i="5"/>
  <c r="BM10" i="5"/>
  <c r="BM11" i="5"/>
  <c r="BU9" i="5"/>
  <c r="BM9" i="5"/>
  <c r="BU13" i="5"/>
  <c r="BU11" i="5"/>
  <c r="BM14" i="5"/>
  <c r="BM7" i="5"/>
  <c r="BU10" i="5"/>
  <c r="CC9" i="5"/>
  <c r="BU14" i="5"/>
  <c r="AY11" i="5"/>
  <c r="AY9" i="5"/>
  <c r="AY14" i="5"/>
  <c r="AY13" i="5"/>
  <c r="AY10" i="5"/>
  <c r="AY7" i="5"/>
  <c r="AY12" i="5"/>
  <c r="BO13" i="5"/>
  <c r="BG14" i="5"/>
  <c r="BW10" i="5"/>
  <c r="BO12" i="5"/>
  <c r="BW13" i="5"/>
  <c r="BW11" i="5"/>
  <c r="BG13" i="5"/>
  <c r="BO11" i="5"/>
  <c r="BW12" i="5"/>
  <c r="BO14" i="5"/>
  <c r="BO7" i="5"/>
  <c r="BO10" i="5"/>
  <c r="BG7" i="5"/>
  <c r="BW14" i="5"/>
  <c r="BG9" i="5"/>
  <c r="BW9" i="5"/>
  <c r="BW7" i="5"/>
  <c r="BG10" i="5"/>
  <c r="BG11" i="5"/>
  <c r="BO9" i="5"/>
  <c r="BG12" i="5"/>
  <c r="AW11" i="5"/>
  <c r="AW9" i="5"/>
  <c r="AW14" i="5"/>
  <c r="AW13" i="5"/>
  <c r="AW10" i="5"/>
  <c r="AW7" i="5"/>
  <c r="AW12" i="5"/>
  <c r="BE10" i="5"/>
  <c r="BE11" i="5"/>
  <c r="BE7" i="5"/>
  <c r="BE9" i="5"/>
  <c r="BE12" i="5"/>
  <c r="BE14" i="5"/>
  <c r="BE13" i="5"/>
  <c r="AU12" i="5"/>
  <c r="AU7" i="5"/>
  <c r="AU11" i="5"/>
  <c r="AU13" i="5"/>
  <c r="AU9" i="5"/>
  <c r="AU14" i="5"/>
  <c r="AU10" i="5"/>
  <c r="BC13" i="5"/>
  <c r="BC10" i="5"/>
  <c r="BC9" i="5"/>
  <c r="BC7" i="5"/>
  <c r="BC11" i="5"/>
  <c r="BC14" i="5"/>
  <c r="BC12" i="5"/>
  <c r="BA12" i="5"/>
  <c r="BA9" i="5"/>
  <c r="BA14" i="5"/>
  <c r="BA10" i="5"/>
  <c r="BA11" i="5"/>
  <c r="BA13" i="5"/>
  <c r="BA7" i="5"/>
  <c r="AS14" i="5"/>
  <c r="AR7" i="5"/>
  <c r="AS13" i="5"/>
  <c r="AR10" i="5"/>
  <c r="AR14" i="5"/>
  <c r="AR9" i="5"/>
  <c r="AS12" i="5"/>
  <c r="AR11" i="5"/>
  <c r="AS10" i="5"/>
  <c r="AR12" i="5"/>
  <c r="AR13" i="5"/>
  <c r="AS11" i="5"/>
  <c r="AS9" i="5"/>
  <c r="AS7" i="5"/>
  <c r="AJ10" i="5"/>
  <c r="F11" i="5" a="1"/>
  <c r="F11" i="5"/>
  <c r="AJ14" i="5"/>
  <c r="F10" i="5" a="1"/>
  <c r="F10" i="5"/>
  <c r="AI9" i="5"/>
  <c r="AI11" i="5"/>
  <c r="AI7" i="5"/>
  <c r="AJ7" i="5"/>
  <c r="F9" i="5" a="1"/>
  <c r="F9" i="5"/>
  <c r="F14" i="5" a="1"/>
  <c r="F14" i="5"/>
  <c r="F7" i="5" a="1"/>
  <c r="F7" i="5"/>
  <c r="AI13" i="5"/>
  <c r="AJ12" i="5"/>
  <c r="AJ11" i="5"/>
  <c r="AJ9" i="5"/>
  <c r="AI12" i="5"/>
  <c r="AI14" i="5"/>
  <c r="AI10" i="5"/>
  <c r="F12" i="5" a="1"/>
  <c r="F12" i="5"/>
  <c r="AJ13" i="5"/>
  <c r="F13" i="5" a="1"/>
  <c r="F13" i="5"/>
  <c r="CU12" i="5"/>
  <c r="CE12" i="5"/>
  <c r="CM9" i="5"/>
  <c r="CE14" i="5"/>
  <c r="CM11" i="5"/>
  <c r="CM13" i="5"/>
  <c r="CE10" i="5"/>
  <c r="CM10" i="5"/>
  <c r="CU11" i="5"/>
  <c r="CM7" i="5"/>
  <c r="CE11" i="5"/>
  <c r="CU13" i="5"/>
  <c r="CU14" i="5"/>
  <c r="CM12" i="5"/>
  <c r="CU10" i="5"/>
  <c r="CU7" i="5"/>
  <c r="CE7" i="5"/>
  <c r="CU9" i="5"/>
  <c r="CM14" i="5"/>
  <c r="CE13" i="5"/>
  <c r="CE9" i="5"/>
  <c r="DA12" i="5"/>
  <c r="DA13" i="5"/>
  <c r="CS11" i="5"/>
  <c r="DA7" i="5"/>
  <c r="CS14" i="5"/>
  <c r="CS12" i="5"/>
  <c r="CS9" i="5"/>
  <c r="DA9" i="5"/>
  <c r="DA10" i="5"/>
  <c r="DA14" i="5"/>
  <c r="CS10" i="5"/>
  <c r="CS7" i="5"/>
  <c r="CS13" i="5"/>
  <c r="DA11" i="5"/>
  <c r="CQ9" i="5"/>
  <c r="CQ14" i="5"/>
  <c r="CI10" i="5"/>
  <c r="CQ13" i="5"/>
  <c r="CQ7" i="5"/>
  <c r="CI13" i="5"/>
  <c r="CQ12" i="5"/>
  <c r="CY12" i="5"/>
  <c r="CY11" i="5"/>
  <c r="CY7" i="5"/>
  <c r="CY13" i="5"/>
  <c r="CY14" i="5"/>
  <c r="CQ10" i="5"/>
  <c r="CI9" i="5"/>
  <c r="CI14" i="5"/>
  <c r="CI7" i="5"/>
  <c r="CY9" i="5"/>
  <c r="CY10" i="5"/>
  <c r="CI11" i="5"/>
  <c r="CI12" i="5"/>
  <c r="CQ11" i="5"/>
  <c r="CK12" i="5"/>
  <c r="CK13" i="5"/>
  <c r="CK10" i="5"/>
  <c r="CK9" i="5"/>
  <c r="CK11" i="5"/>
  <c r="CK14" i="5"/>
  <c r="CK7" i="5"/>
  <c r="CO12" i="5"/>
  <c r="CW14" i="5"/>
  <c r="CG13" i="5"/>
  <c r="CW13" i="5"/>
  <c r="CO13" i="5"/>
  <c r="CW12" i="5"/>
  <c r="CO7" i="5"/>
  <c r="CG10" i="5"/>
  <c r="CG7" i="5"/>
  <c r="CO10" i="5"/>
  <c r="CW11" i="5"/>
  <c r="CG11" i="5"/>
  <c r="CG9" i="5"/>
  <c r="CO9" i="5"/>
  <c r="CW9" i="5"/>
  <c r="CW10" i="5"/>
  <c r="CO11" i="5"/>
  <c r="CO14" i="5"/>
  <c r="CG12" i="5"/>
  <c r="CW7" i="5"/>
  <c r="CG14" i="5"/>
  <c r="AN14" i="5"/>
  <c r="AN11" i="5"/>
  <c r="AL10" i="5"/>
  <c r="AN10" i="5"/>
  <c r="AP10" i="5"/>
  <c r="AL14" i="5"/>
  <c r="AN7" i="5"/>
  <c r="AP13" i="5"/>
  <c r="AL11" i="5"/>
  <c r="AN12" i="5"/>
  <c r="AL13" i="5"/>
  <c r="AP12" i="5"/>
  <c r="AN13" i="5"/>
  <c r="AN9" i="5"/>
  <c r="AP11" i="5"/>
  <c r="AL9" i="5"/>
  <c r="AL12" i="5"/>
  <c r="AL7" i="5"/>
  <c r="AP9" i="5"/>
  <c r="AP7" i="5"/>
  <c r="AP14" i="5"/>
  <c r="AQ8" i="23" a="1"/>
  <c r="AQ8" i="23"/>
  <c r="D8" i="23" a="1"/>
  <c r="D8" i="23"/>
  <c r="AQ6" i="23" a="1"/>
  <c r="AQ6" i="23"/>
  <c r="D6" i="23" a="1"/>
  <c r="D6" i="23"/>
  <c r="C24" i="6"/>
  <c r="AJ6" i="5"/>
  <c r="BG6" i="5"/>
  <c r="BE6" i="5"/>
  <c r="AN6" i="5"/>
  <c r="CO6" i="5"/>
  <c r="CG6" i="5"/>
  <c r="CW6" i="5"/>
  <c r="DA6" i="5"/>
  <c r="AL6" i="5"/>
  <c r="BO6" i="5"/>
  <c r="BS6" i="5"/>
  <c r="BI6" i="5"/>
  <c r="AI6" i="5"/>
  <c r="CY6" i="5"/>
  <c r="AY6" i="5"/>
  <c r="BW6" i="5"/>
  <c r="AU6" i="5"/>
  <c r="CA6" i="5"/>
  <c r="CM6" i="5"/>
  <c r="CE6" i="5"/>
  <c r="BK6" i="5"/>
  <c r="AP6" i="5"/>
  <c r="BY6" i="5"/>
  <c r="CU6" i="5"/>
  <c r="CQ6" i="5"/>
  <c r="BA6" i="5"/>
  <c r="CI6" i="5"/>
  <c r="AW6" i="5"/>
  <c r="BQ6" i="5"/>
  <c r="CK6" i="5"/>
  <c r="BC6" i="5"/>
  <c r="CS6" i="5"/>
  <c r="G38" i="26"/>
  <c r="F38" i="26"/>
  <c r="E38" i="26"/>
  <c r="D38" i="26"/>
  <c r="C38" i="26"/>
  <c r="AQ14" i="26"/>
  <c r="AQ16" i="26" s="1"/>
  <c r="AQ28" i="26" s="1"/>
  <c r="AQ41" i="26" s="1"/>
  <c r="AP14" i="26"/>
  <c r="AP16" i="26" s="1"/>
  <c r="AP28" i="26" s="1"/>
  <c r="AP41" i="26" s="1"/>
  <c r="AO14" i="26"/>
  <c r="AO16" i="26" s="1"/>
  <c r="AO28" i="26" s="1"/>
  <c r="AO41" i="26" s="1"/>
  <c r="AN14" i="26"/>
  <c r="AN16" i="26" s="1"/>
  <c r="AN28" i="26" s="1"/>
  <c r="AN41" i="26" s="1"/>
  <c r="AM14" i="26"/>
  <c r="AM16" i="26" s="1"/>
  <c r="AM28" i="26" s="1"/>
  <c r="AM41" i="26" s="1"/>
  <c r="AL14" i="26"/>
  <c r="AL16" i="26" s="1"/>
  <c r="AL28" i="26" s="1"/>
  <c r="AL41" i="26" s="1"/>
  <c r="AK14" i="26"/>
  <c r="AK16" i="26" s="1"/>
  <c r="AK28" i="26" s="1"/>
  <c r="AK41" i="26" s="1"/>
  <c r="AJ14" i="26"/>
  <c r="AJ16" i="26" s="1"/>
  <c r="AJ28" i="26" s="1"/>
  <c r="AJ41" i="26" s="1"/>
  <c r="AI14" i="26"/>
  <c r="AI16" i="26" s="1"/>
  <c r="AI28" i="26" s="1"/>
  <c r="AI41" i="26" s="1"/>
  <c r="AH14" i="26"/>
  <c r="AH16" i="26" s="1"/>
  <c r="AH28" i="26" s="1"/>
  <c r="AH41" i="26" s="1"/>
  <c r="AG14" i="26"/>
  <c r="AG16" i="26" s="1"/>
  <c r="AG28" i="26" s="1"/>
  <c r="AG41" i="26" s="1"/>
  <c r="AF14" i="26"/>
  <c r="AF16" i="26" s="1"/>
  <c r="AF28" i="26" s="1"/>
  <c r="AF41" i="26" s="1"/>
  <c r="AE14" i="26"/>
  <c r="AE16" i="26" s="1"/>
  <c r="AE28" i="26" s="1"/>
  <c r="AE41" i="26" s="1"/>
  <c r="AD14" i="26"/>
  <c r="AD16" i="26" s="1"/>
  <c r="AD28" i="26" s="1"/>
  <c r="AD41" i="26" s="1"/>
  <c r="AC14" i="26"/>
  <c r="AC16" i="26" s="1"/>
  <c r="AC28" i="26" s="1"/>
  <c r="AC41" i="26" s="1"/>
  <c r="AB14" i="26"/>
  <c r="AB16" i="26" s="1"/>
  <c r="AA14" i="26"/>
  <c r="AA16" i="26" s="1"/>
  <c r="AA28" i="26" s="1"/>
  <c r="AA41" i="26" s="1"/>
  <c r="Z14" i="26"/>
  <c r="Z16" i="26" s="1"/>
  <c r="Z28" i="26" s="1"/>
  <c r="Z41" i="26" s="1"/>
  <c r="Y14" i="26"/>
  <c r="Y16" i="26" s="1"/>
  <c r="Y28" i="26" s="1"/>
  <c r="Y41" i="26" s="1"/>
  <c r="X14" i="26"/>
  <c r="X16" i="26" s="1"/>
  <c r="X28" i="26" s="1"/>
  <c r="X41" i="26" s="1"/>
  <c r="W14" i="26"/>
  <c r="W16" i="26" s="1"/>
  <c r="W28" i="26" s="1"/>
  <c r="W41" i="26" s="1"/>
  <c r="V14" i="26"/>
  <c r="V16" i="26" s="1"/>
  <c r="V28" i="26" s="1"/>
  <c r="V41" i="26" s="1"/>
  <c r="U14" i="26"/>
  <c r="U16" i="26" s="1"/>
  <c r="U28" i="26" s="1"/>
  <c r="U41" i="26" s="1"/>
  <c r="T14" i="26"/>
  <c r="T16" i="26" s="1"/>
  <c r="T28" i="26" s="1"/>
  <c r="T41" i="26" s="1"/>
  <c r="S14" i="26"/>
  <c r="S16" i="26" s="1"/>
  <c r="S28" i="26" s="1"/>
  <c r="S41" i="26" s="1"/>
  <c r="R14" i="26"/>
  <c r="R16" i="26" s="1"/>
  <c r="R28" i="26" s="1"/>
  <c r="R41" i="26" s="1"/>
  <c r="Q14" i="26"/>
  <c r="Q16" i="26" s="1"/>
  <c r="Q28" i="26" s="1"/>
  <c r="Q41" i="26" s="1"/>
  <c r="P14" i="26"/>
  <c r="P16" i="26" s="1"/>
  <c r="P28" i="26" s="1"/>
  <c r="P41" i="26" s="1"/>
  <c r="O14" i="26"/>
  <c r="O16" i="26" s="1"/>
  <c r="O28" i="26" s="1"/>
  <c r="O41" i="26" s="1"/>
  <c r="N14" i="26"/>
  <c r="N16" i="26" s="1"/>
  <c r="N28" i="26" s="1"/>
  <c r="N41" i="26" s="1"/>
  <c r="M14" i="26"/>
  <c r="M16" i="26" s="1"/>
  <c r="M28" i="26" s="1"/>
  <c r="M41" i="26" s="1"/>
  <c r="L14" i="26"/>
  <c r="L16" i="26" s="1"/>
  <c r="L28" i="26" s="1"/>
  <c r="L41" i="26" s="1"/>
  <c r="K14" i="26"/>
  <c r="K16" i="26" s="1"/>
  <c r="K28" i="26" s="1"/>
  <c r="K41" i="26" s="1"/>
  <c r="J14" i="26"/>
  <c r="J16" i="26" s="1"/>
  <c r="J28" i="26" s="1"/>
  <c r="J41" i="26" s="1"/>
  <c r="I14" i="26"/>
  <c r="I16" i="26" s="1"/>
  <c r="I28" i="26" s="1"/>
  <c r="I41" i="26" s="1"/>
  <c r="H14" i="26"/>
  <c r="H16" i="26" s="1"/>
  <c r="H28" i="26" s="1"/>
  <c r="H41" i="26" s="1"/>
  <c r="G14" i="26"/>
  <c r="G16" i="26" s="1"/>
  <c r="G28" i="26" s="1"/>
  <c r="G41" i="26" s="1"/>
  <c r="F14" i="26"/>
  <c r="F16" i="26" s="1"/>
  <c r="F28" i="26" s="1"/>
  <c r="F41" i="26" s="1"/>
  <c r="E14" i="26"/>
  <c r="E16" i="26" s="1"/>
  <c r="E28" i="26" s="1"/>
  <c r="E41" i="26" s="1"/>
  <c r="D14" i="26"/>
  <c r="D16" i="26" s="1"/>
  <c r="D28" i="26" s="1"/>
  <c r="D41" i="26" s="1"/>
  <c r="C14" i="26"/>
  <c r="C16" i="26" s="1"/>
  <c r="C28" i="26" s="1"/>
  <c r="C41" i="26" s="1"/>
  <c r="L25" i="26"/>
  <c r="K25" i="26"/>
  <c r="P25" i="26" s="1"/>
  <c r="U25" i="26" s="1"/>
  <c r="Z25" i="26" s="1"/>
  <c r="AE25" i="26" s="1"/>
  <c r="AJ25" i="26" s="1"/>
  <c r="AO25" i="26" s="1"/>
  <c r="AO38" i="26" s="1"/>
  <c r="J25" i="26"/>
  <c r="O25" i="26" s="1"/>
  <c r="O38" i="26" s="1"/>
  <c r="I25" i="26"/>
  <c r="N25" i="26" s="1"/>
  <c r="S25" i="26" s="1"/>
  <c r="X25" i="26" s="1"/>
  <c r="AC25" i="26" s="1"/>
  <c r="AH25" i="26" s="1"/>
  <c r="AM25" i="26" s="1"/>
  <c r="AM38" i="26" s="1"/>
  <c r="H25" i="26"/>
  <c r="Z22" i="26"/>
  <c r="Z63" i="26" s="1"/>
  <c r="Y22" i="26"/>
  <c r="Y63" i="26" s="1"/>
  <c r="X22" i="26"/>
  <c r="V22" i="26"/>
  <c r="V63" i="26" s="1"/>
  <c r="U22" i="26"/>
  <c r="U63" i="26" s="1"/>
  <c r="T22" i="26"/>
  <c r="T63" i="26" s="1"/>
  <c r="S22" i="26"/>
  <c r="Q22" i="26"/>
  <c r="Q63" i="26" s="1"/>
  <c r="P22" i="26"/>
  <c r="P63" i="26" s="1"/>
  <c r="O22" i="26"/>
  <c r="O63" i="26" s="1"/>
  <c r="N22" i="26"/>
  <c r="M22" i="26"/>
  <c r="M63" i="26" s="1"/>
  <c r="L22" i="26"/>
  <c r="L63" i="26" s="1"/>
  <c r="K22" i="26"/>
  <c r="K63" i="26" s="1"/>
  <c r="J22" i="26"/>
  <c r="J63" i="26" s="1"/>
  <c r="I22" i="26"/>
  <c r="I63" i="26" s="1"/>
  <c r="H22" i="26"/>
  <c r="H63" i="26" s="1"/>
  <c r="G22" i="26"/>
  <c r="F22" i="26"/>
  <c r="E22" i="26"/>
  <c r="D22" i="26"/>
  <c r="C22" i="26"/>
  <c r="M69" i="26" l="1"/>
  <c r="M72" i="26" s="1"/>
  <c r="V69" i="26"/>
  <c r="V72" i="26" s="1"/>
  <c r="L69" i="26"/>
  <c r="L72" i="26" s="1"/>
  <c r="O69" i="26"/>
  <c r="O72" i="26" s="1"/>
  <c r="Y69" i="26"/>
  <c r="Y72" i="26" s="1"/>
  <c r="P69" i="26"/>
  <c r="P72" i="26" s="1"/>
  <c r="I69" i="26"/>
  <c r="I72" i="26" s="1"/>
  <c r="Q69" i="26"/>
  <c r="Q72" i="26" s="1"/>
  <c r="J69" i="26"/>
  <c r="J72" i="26" s="1"/>
  <c r="H69" i="26"/>
  <c r="H72" i="26" s="1"/>
  <c r="K69" i="26"/>
  <c r="K72" i="26" s="1"/>
  <c r="T69" i="26"/>
  <c r="T72" i="26" s="1"/>
  <c r="E27" i="26"/>
  <c r="E30" i="26" s="1"/>
  <c r="E63" i="26"/>
  <c r="F27" i="26"/>
  <c r="F30" i="26" s="1"/>
  <c r="F63" i="26"/>
  <c r="N27" i="26"/>
  <c r="N30" i="26" s="1"/>
  <c r="N63" i="26"/>
  <c r="X27" i="26"/>
  <c r="X30" i="26" s="1"/>
  <c r="X63" i="26"/>
  <c r="X69" i="26" s="1"/>
  <c r="G27" i="26"/>
  <c r="G30" i="26" s="1"/>
  <c r="G63" i="26"/>
  <c r="S27" i="26"/>
  <c r="S30" i="26" s="1"/>
  <c r="S63" i="26"/>
  <c r="D27" i="26"/>
  <c r="D30" i="26" s="1"/>
  <c r="D63" i="26"/>
  <c r="C27" i="26"/>
  <c r="C30" i="26" s="1"/>
  <c r="C63" i="26"/>
  <c r="O27" i="26"/>
  <c r="O30" i="26" s="1"/>
  <c r="J27" i="26"/>
  <c r="J30" i="26" s="1"/>
  <c r="L27" i="26"/>
  <c r="L30" i="26" s="1"/>
  <c r="H27" i="26"/>
  <c r="H30" i="26" s="1"/>
  <c r="I27" i="26"/>
  <c r="I30" i="26" s="1"/>
  <c r="AB28" i="26"/>
  <c r="AB41" i="26" s="1"/>
  <c r="P27" i="26"/>
  <c r="P30" i="26" s="1"/>
  <c r="Z23" i="26"/>
  <c r="U23" i="26"/>
  <c r="K27" i="26"/>
  <c r="K30" i="26" s="1"/>
  <c r="I38" i="26"/>
  <c r="J38" i="26"/>
  <c r="X38" i="26"/>
  <c r="AC38" i="26"/>
  <c r="Z38" i="26"/>
  <c r="K38" i="26"/>
  <c r="N38" i="26"/>
  <c r="AE38" i="26"/>
  <c r="AH38" i="26"/>
  <c r="P38" i="26"/>
  <c r="AJ38" i="26"/>
  <c r="S38" i="26"/>
  <c r="U38" i="26"/>
  <c r="M25" i="26"/>
  <c r="M27" i="26" s="1"/>
  <c r="H38" i="26"/>
  <c r="Q25" i="26"/>
  <c r="Q27" i="26" s="1"/>
  <c r="L38" i="26"/>
  <c r="T25" i="26"/>
  <c r="T27" i="26" s="1"/>
  <c r="D69" i="26" l="1"/>
  <c r="D72" i="26" s="1"/>
  <c r="F69" i="26"/>
  <c r="F72" i="26" s="1"/>
  <c r="G69" i="26"/>
  <c r="G72" i="26" s="1"/>
  <c r="E69" i="26"/>
  <c r="E72" i="26" s="1"/>
  <c r="N69" i="26"/>
  <c r="N72" i="26" s="1"/>
  <c r="S69" i="26"/>
  <c r="S72" i="26" s="1"/>
  <c r="C69" i="26"/>
  <c r="C72" i="26" s="1"/>
  <c r="X72" i="26"/>
  <c r="U27" i="26"/>
  <c r="U30" i="26" s="1"/>
  <c r="U64" i="26"/>
  <c r="AB23" i="26"/>
  <c r="AB64" i="26" s="1"/>
  <c r="Z64" i="26"/>
  <c r="Z69" i="26" s="1"/>
  <c r="Z72" i="26" s="1"/>
  <c r="Z27" i="26"/>
  <c r="Z30" i="26" s="1"/>
  <c r="M30" i="26"/>
  <c r="V25" i="26"/>
  <c r="V27" i="26" s="1"/>
  <c r="Q38" i="26"/>
  <c r="Q30" i="26"/>
  <c r="R25" i="26"/>
  <c r="M38" i="26"/>
  <c r="Y25" i="26"/>
  <c r="Y27" i="26" s="1"/>
  <c r="T38" i="26"/>
  <c r="T30" i="26"/>
  <c r="Z13" i="5"/>
  <c r="AB13" i="5"/>
  <c r="U69" i="26" l="1"/>
  <c r="U72" i="26" s="1"/>
  <c r="AD25" i="26"/>
  <c r="Y38" i="26"/>
  <c r="AA25" i="26"/>
  <c r="V38" i="26"/>
  <c r="V30" i="26"/>
  <c r="W25" i="26"/>
  <c r="R38" i="26"/>
  <c r="Y30" i="26"/>
  <c r="J13" i="5"/>
  <c r="L13" i="5" s="1"/>
  <c r="S13" i="5"/>
  <c r="AD38" i="26" l="1"/>
  <c r="AI25" i="26"/>
  <c r="AF25" i="26"/>
  <c r="AA38" i="26"/>
  <c r="AB25" i="26"/>
  <c r="W38" i="26"/>
  <c r="X13" i="5"/>
  <c r="V13" i="5"/>
  <c r="T13" i="5"/>
  <c r="N13" i="5"/>
  <c r="AK25" i="26" l="1"/>
  <c r="AF38" i="26"/>
  <c r="AG25" i="26"/>
  <c r="AB38" i="26"/>
  <c r="AI38" i="26"/>
  <c r="AN25" i="26"/>
  <c r="P13" i="5"/>
  <c r="R13" i="5"/>
  <c r="G33" i="6"/>
  <c r="AP25" i="26" l="1"/>
  <c r="AP38" i="26" s="1"/>
  <c r="AK38" i="26"/>
  <c r="AN38" i="26"/>
  <c r="AL25" i="26"/>
  <c r="AG38" i="26"/>
  <c r="J164" i="2"/>
  <c r="AB159" i="2"/>
  <c r="AA159" i="2"/>
  <c r="Z159" i="2"/>
  <c r="Y159" i="2"/>
  <c r="X159" i="2"/>
  <c r="W159" i="2"/>
  <c r="V159" i="2"/>
  <c r="U159" i="2"/>
  <c r="T159" i="2"/>
  <c r="S159" i="2"/>
  <c r="R159" i="2"/>
  <c r="Q159" i="2"/>
  <c r="P159" i="2"/>
  <c r="N159" i="2"/>
  <c r="M159" i="2"/>
  <c r="L159" i="2"/>
  <c r="K159" i="2"/>
  <c r="F186" i="2"/>
  <c r="G186" i="2" s="1"/>
  <c r="H186" i="2" s="1"/>
  <c r="I186" i="2" s="1"/>
  <c r="J186" i="2" s="1"/>
  <c r="K186" i="2" s="1"/>
  <c r="L186" i="2" s="1"/>
  <c r="M186" i="2" s="1"/>
  <c r="N186" i="2" s="1"/>
  <c r="O186" i="2" s="1"/>
  <c r="P186" i="2" s="1"/>
  <c r="Q186" i="2" s="1"/>
  <c r="R186" i="2" s="1"/>
  <c r="S186" i="2" s="1"/>
  <c r="T186" i="2" s="1"/>
  <c r="U186" i="2" s="1"/>
  <c r="V186" i="2" s="1"/>
  <c r="W186" i="2" s="1"/>
  <c r="X186" i="2" s="1"/>
  <c r="Y186" i="2" s="1"/>
  <c r="Z186" i="2" s="1"/>
  <c r="AA186" i="2" s="1"/>
  <c r="AB186" i="2" s="1"/>
  <c r="AC186" i="2" s="1"/>
  <c r="AD186" i="2" s="1"/>
  <c r="AE186" i="2" s="1"/>
  <c r="AF186" i="2" s="1"/>
  <c r="AG186" i="2" s="1"/>
  <c r="AH186" i="2" s="1"/>
  <c r="AI186" i="2" s="1"/>
  <c r="AJ186" i="2" s="1"/>
  <c r="AK186" i="2" s="1"/>
  <c r="AL186" i="2" s="1"/>
  <c r="AM186" i="2" s="1"/>
  <c r="AN186" i="2" s="1"/>
  <c r="AO186" i="2" s="1"/>
  <c r="AP186" i="2" s="1"/>
  <c r="AQ186" i="2" s="1"/>
  <c r="AR186" i="2" s="1"/>
  <c r="AS186" i="2" s="1"/>
  <c r="F182" i="2"/>
  <c r="G182" i="2" s="1"/>
  <c r="H182" i="2" s="1"/>
  <c r="I182" i="2" s="1"/>
  <c r="J182" i="2" s="1"/>
  <c r="K182" i="2" s="1"/>
  <c r="L182" i="2" s="1"/>
  <c r="M182" i="2" s="1"/>
  <c r="N182" i="2" s="1"/>
  <c r="O182" i="2" s="1"/>
  <c r="P182" i="2" s="1"/>
  <c r="Q182" i="2" s="1"/>
  <c r="R182" i="2" s="1"/>
  <c r="S182" i="2" s="1"/>
  <c r="T182" i="2" s="1"/>
  <c r="U182" i="2" s="1"/>
  <c r="V182" i="2" s="1"/>
  <c r="W182" i="2" s="1"/>
  <c r="X182" i="2" s="1"/>
  <c r="Y182" i="2" s="1"/>
  <c r="Z182" i="2" s="1"/>
  <c r="AA182" i="2" s="1"/>
  <c r="AB182" i="2" s="1"/>
  <c r="AC182" i="2" s="1"/>
  <c r="AD182" i="2" s="1"/>
  <c r="AE182" i="2" s="1"/>
  <c r="AF182" i="2" s="1"/>
  <c r="AG182" i="2" s="1"/>
  <c r="AH182" i="2" s="1"/>
  <c r="AI182" i="2" s="1"/>
  <c r="AJ182" i="2" s="1"/>
  <c r="AK182" i="2" s="1"/>
  <c r="AL182" i="2" s="1"/>
  <c r="AM182" i="2" s="1"/>
  <c r="AN182" i="2" s="1"/>
  <c r="AO182" i="2" s="1"/>
  <c r="AP182" i="2" s="1"/>
  <c r="AQ182" i="2" s="1"/>
  <c r="AR182" i="2" s="1"/>
  <c r="AS182" i="2" s="1"/>
  <c r="F178" i="2"/>
  <c r="G178" i="2" s="1"/>
  <c r="H178" i="2" s="1"/>
  <c r="I178" i="2" s="1"/>
  <c r="J178" i="2" s="1"/>
  <c r="K178" i="2" s="1"/>
  <c r="L178" i="2" s="1"/>
  <c r="M178" i="2" s="1"/>
  <c r="N178" i="2" s="1"/>
  <c r="O178" i="2" s="1"/>
  <c r="P178" i="2" s="1"/>
  <c r="Q178" i="2" s="1"/>
  <c r="R178" i="2" s="1"/>
  <c r="S178" i="2" s="1"/>
  <c r="T178" i="2" s="1"/>
  <c r="U178" i="2" s="1"/>
  <c r="V178" i="2" s="1"/>
  <c r="W178" i="2" s="1"/>
  <c r="X178" i="2" s="1"/>
  <c r="Y178" i="2" s="1"/>
  <c r="Z178" i="2" s="1"/>
  <c r="AA178" i="2" s="1"/>
  <c r="AB178" i="2" s="1"/>
  <c r="AC178" i="2" s="1"/>
  <c r="AD178" i="2" s="1"/>
  <c r="AE178" i="2" s="1"/>
  <c r="AF178" i="2" s="1"/>
  <c r="AG178" i="2" s="1"/>
  <c r="AH178" i="2" s="1"/>
  <c r="AI178" i="2" s="1"/>
  <c r="AJ178" i="2" s="1"/>
  <c r="AK178" i="2" s="1"/>
  <c r="AL178" i="2" s="1"/>
  <c r="AM178" i="2" s="1"/>
  <c r="AN178" i="2" s="1"/>
  <c r="AO178" i="2" s="1"/>
  <c r="AP178" i="2" s="1"/>
  <c r="AQ178" i="2" s="1"/>
  <c r="AR178" i="2" s="1"/>
  <c r="AS178" i="2" s="1"/>
  <c r="AY184" i="2"/>
  <c r="AZ184" i="2" s="1"/>
  <c r="BA184" i="2" s="1"/>
  <c r="BB184" i="2" s="1"/>
  <c r="BC184" i="2" s="1"/>
  <c r="BD184" i="2" s="1"/>
  <c r="BE184" i="2" s="1"/>
  <c r="BF184" i="2" s="1"/>
  <c r="BG184" i="2" s="1"/>
  <c r="AW186" i="2"/>
  <c r="AW187" i="2" s="1"/>
  <c r="AW188" i="2" s="1"/>
  <c r="AW189" i="2" s="1"/>
  <c r="AW190" i="2" s="1"/>
  <c r="AW191" i="2" s="1"/>
  <c r="AW192" i="2" s="1"/>
  <c r="AW193" i="2" s="1"/>
  <c r="AW194" i="2" s="1"/>
  <c r="AA225" i="2"/>
  <c r="AA227" i="2" s="1"/>
  <c r="AB225" i="2"/>
  <c r="AB227" i="2" s="1"/>
  <c r="AB207" i="2"/>
  <c r="AQ25" i="26" l="1"/>
  <c r="AQ38" i="26" s="1"/>
  <c r="AL38" i="26"/>
  <c r="E193" i="2"/>
  <c r="AA185" i="2"/>
  <c r="AA187" i="2" s="1"/>
  <c r="AB177" i="2"/>
  <c r="AB179" i="2" s="1"/>
  <c r="AA177" i="2"/>
  <c r="AA179" i="2" s="1"/>
  <c r="Z177" i="2"/>
  <c r="Z179" i="2" s="1"/>
  <c r="X177" i="2"/>
  <c r="X179" i="2" s="1"/>
  <c r="W177" i="2"/>
  <c r="W179" i="2" s="1"/>
  <c r="V177" i="2"/>
  <c r="V179" i="2" s="1"/>
  <c r="U177" i="2"/>
  <c r="U179" i="2" s="1"/>
  <c r="S177" i="2"/>
  <c r="S179" i="2" s="1"/>
  <c r="R177" i="2"/>
  <c r="R179" i="2" s="1"/>
  <c r="Q177" i="2"/>
  <c r="Q179" i="2" s="1"/>
  <c r="P177" i="2"/>
  <c r="P179" i="2" s="1"/>
  <c r="O177" i="2"/>
  <c r="O179" i="2" s="1"/>
  <c r="N177" i="2"/>
  <c r="N179" i="2" s="1"/>
  <c r="M177" i="2"/>
  <c r="M179" i="2" s="1"/>
  <c r="L177" i="2"/>
  <c r="L179" i="2" s="1"/>
  <c r="K177" i="2"/>
  <c r="K179" i="2" s="1"/>
  <c r="J177" i="2"/>
  <c r="J179" i="2" s="1"/>
  <c r="I177" i="2"/>
  <c r="I179" i="2" s="1"/>
  <c r="H177" i="2"/>
  <c r="H179" i="2" s="1"/>
  <c r="G177" i="2"/>
  <c r="G179" i="2" s="1"/>
  <c r="F177" i="2"/>
  <c r="F179" i="2" s="1"/>
  <c r="E177" i="2"/>
  <c r="E179" i="2" s="1"/>
  <c r="AB54" i="2"/>
  <c r="AB105" i="2"/>
  <c r="AA105" i="2"/>
  <c r="Z105" i="2"/>
  <c r="X105" i="2"/>
  <c r="W105" i="2"/>
  <c r="V105" i="2"/>
  <c r="U105" i="2"/>
  <c r="S105" i="2"/>
  <c r="R105" i="2"/>
  <c r="Q105" i="2"/>
  <c r="P105" i="2"/>
  <c r="O105" i="2"/>
  <c r="N105" i="2"/>
  <c r="M105" i="2"/>
  <c r="L105" i="2"/>
  <c r="K105" i="2"/>
  <c r="J105" i="2"/>
  <c r="AA42" i="2"/>
  <c r="AA181" i="2" s="1"/>
  <c r="AA183" i="2" s="1"/>
  <c r="E59" i="2"/>
  <c r="E97" i="2" s="1"/>
  <c r="W50" i="2"/>
  <c r="W42" i="2" s="1"/>
  <c r="W181" i="2" s="1"/>
  <c r="W183" i="2" s="1"/>
  <c r="V50" i="2"/>
  <c r="V42" i="2" s="1"/>
  <c r="V181" i="2" s="1"/>
  <c r="V183" i="2" s="1"/>
  <c r="U50" i="2"/>
  <c r="U185" i="2" s="1"/>
  <c r="U187" i="2" s="1"/>
  <c r="Z50" i="2"/>
  <c r="AB50" i="2"/>
  <c r="AB42" i="2" s="1"/>
  <c r="AB181" i="2" s="1"/>
  <c r="AB183" i="2" s="1"/>
  <c r="X50" i="2"/>
  <c r="X42" i="2" s="1"/>
  <c r="X181" i="2" s="1"/>
  <c r="X183" i="2" s="1"/>
  <c r="AB22" i="2"/>
  <c r="AA22" i="2"/>
  <c r="Z22" i="2"/>
  <c r="X22" i="2"/>
  <c r="W22" i="2"/>
  <c r="V22" i="2"/>
  <c r="U22" i="2"/>
  <c r="T22" i="2"/>
  <c r="R22" i="2"/>
  <c r="Q22" i="2"/>
  <c r="O22" i="2"/>
  <c r="M22" i="2"/>
  <c r="L22" i="2"/>
  <c r="J22" i="2"/>
  <c r="H22" i="2"/>
  <c r="G22" i="2"/>
  <c r="F22" i="2"/>
  <c r="E22" i="2"/>
  <c r="Y23" i="2"/>
  <c r="W34" i="26" s="1"/>
  <c r="W76" i="26" s="1"/>
  <c r="P23" i="2"/>
  <c r="N34" i="26" s="1"/>
  <c r="N76" i="26" s="1"/>
  <c r="K23" i="2"/>
  <c r="I34" i="26" s="1"/>
  <c r="I76" i="26" s="1"/>
  <c r="I23" i="2"/>
  <c r="G34" i="26" s="1"/>
  <c r="G76" i="26" s="1"/>
  <c r="AB36" i="2"/>
  <c r="AB91" i="2" s="1"/>
  <c r="Z36" i="2"/>
  <c r="Y36" i="2"/>
  <c r="X36" i="2"/>
  <c r="C52" i="30" s="1"/>
  <c r="C54" i="30" s="1"/>
  <c r="W36" i="2"/>
  <c r="V36" i="2"/>
  <c r="U36" i="2"/>
  <c r="AA36" i="2"/>
  <c r="Y53" i="2"/>
  <c r="T53" i="2"/>
  <c r="T59" i="2" s="1"/>
  <c r="T97" i="2" s="1"/>
  <c r="J53" i="2"/>
  <c r="J59" i="2" s="1"/>
  <c r="J97" i="2" s="1"/>
  <c r="O53" i="2"/>
  <c r="O59" i="2" s="1"/>
  <c r="O97" i="2" s="1"/>
  <c r="AA54" i="2"/>
  <c r="Z54" i="2"/>
  <c r="Y54" i="2"/>
  <c r="X54" i="2"/>
  <c r="W54" i="2"/>
  <c r="V54" i="2"/>
  <c r="U54" i="2"/>
  <c r="O119" i="2" l="1"/>
  <c r="O102" i="2"/>
  <c r="T119" i="2"/>
  <c r="T102" i="2"/>
  <c r="E119" i="2"/>
  <c r="E102" i="2"/>
  <c r="J119" i="2"/>
  <c r="J102" i="2"/>
  <c r="Y59" i="2"/>
  <c r="Y97" i="2" s="1"/>
  <c r="Y102" i="2" s="1"/>
  <c r="AD53" i="2"/>
  <c r="W81" i="2"/>
  <c r="W79" i="2" s="1"/>
  <c r="W85" i="2" s="1"/>
  <c r="X78" i="2" s="1"/>
  <c r="V81" i="2"/>
  <c r="V79" i="2" s="1"/>
  <c r="U81" i="2"/>
  <c r="U79" i="2" s="1"/>
  <c r="U85" i="2" s="1"/>
  <c r="U94" i="2" s="1"/>
  <c r="AD36" i="2"/>
  <c r="AB92" i="2"/>
  <c r="Z42" i="2"/>
  <c r="Z40" i="2" s="1"/>
  <c r="Z81" i="2"/>
  <c r="Z79" i="2" s="1"/>
  <c r="AB81" i="2"/>
  <c r="AB79" i="2" s="1"/>
  <c r="AA81" i="2"/>
  <c r="AA79" i="2" s="1"/>
  <c r="X81" i="2"/>
  <c r="X79" i="2" s="1"/>
  <c r="E106" i="2"/>
  <c r="E122" i="2" s="1"/>
  <c r="E125" i="2" s="1"/>
  <c r="E129" i="2" s="1"/>
  <c r="AA191" i="2"/>
  <c r="AA189" i="2"/>
  <c r="W185" i="2"/>
  <c r="W187" i="2" s="1"/>
  <c r="W191" i="2" s="1"/>
  <c r="X185" i="2"/>
  <c r="X187" i="2" s="1"/>
  <c r="X191" i="2" s="1"/>
  <c r="Z185" i="2"/>
  <c r="Z187" i="2" s="1"/>
  <c r="AB185" i="2"/>
  <c r="AB187" i="2" s="1"/>
  <c r="AB191" i="2" s="1"/>
  <c r="V185" i="2"/>
  <c r="V187" i="2" s="1"/>
  <c r="V191" i="2" s="1"/>
  <c r="O106" i="2"/>
  <c r="O122" i="2" s="1"/>
  <c r="O61" i="2"/>
  <c r="T61" i="2"/>
  <c r="J106" i="2"/>
  <c r="J122" i="2" s="1"/>
  <c r="J61" i="2"/>
  <c r="AB43" i="2"/>
  <c r="Y48" i="2"/>
  <c r="AA43" i="2"/>
  <c r="Y39" i="2"/>
  <c r="Z39" i="2"/>
  <c r="Z37" i="2"/>
  <c r="X39" i="2"/>
  <c r="AB39" i="2"/>
  <c r="AB37" i="2"/>
  <c r="AA39" i="2"/>
  <c r="AA37" i="2"/>
  <c r="U39" i="2"/>
  <c r="V39" i="2"/>
  <c r="W39" i="2"/>
  <c r="N23" i="2"/>
  <c r="L34" i="26" s="1"/>
  <c r="L76" i="26" s="1"/>
  <c r="S23" i="2"/>
  <c r="Q34" i="26" s="1"/>
  <c r="Q76" i="26" s="1"/>
  <c r="I22" i="2"/>
  <c r="AA40" i="2"/>
  <c r="AF40" i="2" s="1"/>
  <c r="X40" i="2"/>
  <c r="AC40" i="2" s="1"/>
  <c r="AB40" i="2"/>
  <c r="AG40" i="2" s="1"/>
  <c r="Y50" i="2"/>
  <c r="V40" i="2"/>
  <c r="W40" i="2"/>
  <c r="U42" i="2"/>
  <c r="U181" i="2" s="1"/>
  <c r="U183" i="2" s="1"/>
  <c r="U191" i="2" s="1"/>
  <c r="P22" i="2"/>
  <c r="Y22" i="2"/>
  <c r="K22" i="2"/>
  <c r="Y55" i="2"/>
  <c r="Y56" i="2" s="1"/>
  <c r="AB94" i="2" l="1"/>
  <c r="C45" i="30"/>
  <c r="Y61" i="2"/>
  <c r="V78" i="2"/>
  <c r="V94" i="2" s="1"/>
  <c r="W94" i="2"/>
  <c r="O123" i="2"/>
  <c r="O125" i="2"/>
  <c r="J123" i="2"/>
  <c r="J125" i="2"/>
  <c r="AG91" i="2"/>
  <c r="AE40" i="2"/>
  <c r="AL40" i="2"/>
  <c r="AG42" i="2"/>
  <c r="AG43" i="2" s="1"/>
  <c r="AH40" i="2"/>
  <c r="I14" i="8" s="1"/>
  <c r="AC42" i="2"/>
  <c r="AC43" i="2" s="1"/>
  <c r="Z181" i="2"/>
  <c r="Z183" i="2" s="1"/>
  <c r="Z191" i="2" s="1"/>
  <c r="AK40" i="2"/>
  <c r="AF42" i="2"/>
  <c r="AF43" i="2" s="1"/>
  <c r="D14" i="8"/>
  <c r="X85" i="2"/>
  <c r="X94" i="2" s="1"/>
  <c r="AC88" i="2"/>
  <c r="AF91" i="2"/>
  <c r="AC91" i="2"/>
  <c r="Y81" i="2"/>
  <c r="J107" i="2"/>
  <c r="AA190" i="2"/>
  <c r="AB189" i="2"/>
  <c r="AB190" i="2" s="1"/>
  <c r="W189" i="2"/>
  <c r="W190" i="2" s="1"/>
  <c r="X189" i="2"/>
  <c r="X190" i="2" s="1"/>
  <c r="U189" i="2"/>
  <c r="U190" i="2" s="1"/>
  <c r="V189" i="2"/>
  <c r="V190" i="2" s="1"/>
  <c r="Y49" i="2"/>
  <c r="Y185" i="2"/>
  <c r="Y187" i="2" s="1"/>
  <c r="O107" i="2"/>
  <c r="AB41" i="2"/>
  <c r="H14" i="8"/>
  <c r="AA41" i="2"/>
  <c r="G14" i="8"/>
  <c r="U40" i="2"/>
  <c r="Z41" i="2" s="1"/>
  <c r="Z43" i="2"/>
  <c r="S22" i="2"/>
  <c r="N22" i="2"/>
  <c r="Y42" i="2"/>
  <c r="Y181" i="2" s="1"/>
  <c r="Y183" i="2" s="1"/>
  <c r="J129" i="2" l="1"/>
  <c r="J126" i="2"/>
  <c r="O129" i="2"/>
  <c r="O126" i="2"/>
  <c r="D13" i="8"/>
  <c r="AP40" i="2"/>
  <c r="AM40" i="2"/>
  <c r="N14" i="8" s="1"/>
  <c r="AD42" i="2"/>
  <c r="AJ40" i="2"/>
  <c r="AE42" i="2"/>
  <c r="AE181" i="2" s="1"/>
  <c r="AE183" i="2" s="1"/>
  <c r="AQ40" i="2"/>
  <c r="Z189" i="2"/>
  <c r="Z190" i="2" s="1"/>
  <c r="F14" i="8"/>
  <c r="Y85" i="2"/>
  <c r="Y94" i="2" s="1"/>
  <c r="Y95" i="2" s="1"/>
  <c r="Y119" i="2" s="1"/>
  <c r="Z78" i="2"/>
  <c r="Z85" i="2" s="1"/>
  <c r="AA78" i="2" s="1"/>
  <c r="AA85" i="2" s="1"/>
  <c r="AC92" i="2"/>
  <c r="AC94" i="2" s="1"/>
  <c r="AD91" i="2"/>
  <c r="AD90" i="2" s="1"/>
  <c r="AC181" i="2"/>
  <c r="AC183" i="2" s="1"/>
  <c r="G13" i="8"/>
  <c r="L14" i="8"/>
  <c r="M14" i="8"/>
  <c r="H13" i="8"/>
  <c r="Y40" i="2"/>
  <c r="AB53" i="2"/>
  <c r="AA53" i="2"/>
  <c r="AA48" i="2" s="1"/>
  <c r="Z53" i="2"/>
  <c r="Z48" i="2" s="1"/>
  <c r="X53" i="2"/>
  <c r="X48" i="2" s="1"/>
  <c r="W53" i="2"/>
  <c r="W48" i="2" s="1"/>
  <c r="V53" i="2"/>
  <c r="V48" i="2" s="1"/>
  <c r="U53" i="2"/>
  <c r="U48" i="2" s="1"/>
  <c r="S53" i="2"/>
  <c r="S59" i="2" s="1"/>
  <c r="S97" i="2" s="1"/>
  <c r="R53" i="2"/>
  <c r="R59" i="2" s="1"/>
  <c r="R97" i="2" s="1"/>
  <c r="Q53" i="2"/>
  <c r="Q59" i="2" s="1"/>
  <c r="Q97" i="2" s="1"/>
  <c r="P53" i="2"/>
  <c r="P59" i="2" s="1"/>
  <c r="P97" i="2" s="1"/>
  <c r="N53" i="2"/>
  <c r="N59" i="2" s="1"/>
  <c r="N97" i="2" s="1"/>
  <c r="M53" i="2"/>
  <c r="M59" i="2" s="1"/>
  <c r="M97" i="2" s="1"/>
  <c r="L53" i="2"/>
  <c r="L59" i="2" s="1"/>
  <c r="L97" i="2" s="1"/>
  <c r="K53" i="2"/>
  <c r="K59" i="2" s="1"/>
  <c r="K97" i="2" s="1"/>
  <c r="I53" i="2"/>
  <c r="I59" i="2" s="1"/>
  <c r="I97" i="2" s="1"/>
  <c r="H53" i="2"/>
  <c r="H59" i="2" s="1"/>
  <c r="H97" i="2" s="1"/>
  <c r="G53" i="2"/>
  <c r="G59" i="2" s="1"/>
  <c r="G97" i="2" s="1"/>
  <c r="F53" i="2"/>
  <c r="F59" i="2" s="1"/>
  <c r="F97" i="2" s="1"/>
  <c r="AA49" i="2"/>
  <c r="I119" i="2" l="1"/>
  <c r="I102" i="2"/>
  <c r="L119" i="2"/>
  <c r="L102" i="2"/>
  <c r="M119" i="2"/>
  <c r="M102" i="2"/>
  <c r="S119" i="2"/>
  <c r="S102" i="2"/>
  <c r="N119" i="2"/>
  <c r="N102" i="2"/>
  <c r="R119" i="2"/>
  <c r="R102" i="2"/>
  <c r="P119" i="2"/>
  <c r="P102" i="2"/>
  <c r="H119" i="2"/>
  <c r="H102" i="2"/>
  <c r="K119" i="2"/>
  <c r="K120" i="2" s="1"/>
  <c r="K102" i="2"/>
  <c r="F119" i="2"/>
  <c r="F102" i="2"/>
  <c r="G119" i="2"/>
  <c r="G102" i="2"/>
  <c r="Q119" i="2"/>
  <c r="Q102" i="2"/>
  <c r="F13" i="8"/>
  <c r="AO40" i="2"/>
  <c r="K14" i="8"/>
  <c r="AD40" i="2"/>
  <c r="AD41" i="2" s="1"/>
  <c r="AD43" i="2"/>
  <c r="AR40" i="2"/>
  <c r="AB48" i="2"/>
  <c r="AE43" i="2"/>
  <c r="Z94" i="2"/>
  <c r="AD78" i="2"/>
  <c r="AD79" i="2" s="1"/>
  <c r="Y79" i="2"/>
  <c r="AB78" i="2"/>
  <c r="AA94" i="2"/>
  <c r="AE88" i="2"/>
  <c r="AE92" i="2" s="1"/>
  <c r="AE94" i="2" s="1"/>
  <c r="AD92" i="2"/>
  <c r="F106" i="2"/>
  <c r="F122" i="2" s="1"/>
  <c r="AD181" i="2"/>
  <c r="AD183" i="2" s="1"/>
  <c r="E13" i="8"/>
  <c r="AG181" i="2"/>
  <c r="AG183" i="2" s="1"/>
  <c r="AF181" i="2"/>
  <c r="AF183" i="2" s="1"/>
  <c r="S106" i="2"/>
  <c r="S122" i="2" s="1"/>
  <c r="S61" i="2"/>
  <c r="S60" i="2"/>
  <c r="K106" i="2"/>
  <c r="K122" i="2" s="1"/>
  <c r="K60" i="2"/>
  <c r="K61" i="2"/>
  <c r="N106" i="2"/>
  <c r="N122" i="2" s="1"/>
  <c r="N60" i="2"/>
  <c r="N61" i="2"/>
  <c r="I106" i="2"/>
  <c r="I122" i="2" s="1"/>
  <c r="I60" i="2"/>
  <c r="M106" i="2"/>
  <c r="M122" i="2" s="1"/>
  <c r="M60" i="2"/>
  <c r="M61" i="2"/>
  <c r="P106" i="2"/>
  <c r="P122" i="2" s="1"/>
  <c r="P60" i="2"/>
  <c r="P61" i="2"/>
  <c r="L106" i="2"/>
  <c r="L122" i="2" s="1"/>
  <c r="L61" i="2"/>
  <c r="L60" i="2"/>
  <c r="G106" i="2"/>
  <c r="G122" i="2" s="1"/>
  <c r="G60" i="2"/>
  <c r="Q106" i="2"/>
  <c r="Q122" i="2" s="1"/>
  <c r="Q60" i="2"/>
  <c r="Q61" i="2"/>
  <c r="H106" i="2"/>
  <c r="H122" i="2" s="1"/>
  <c r="H60" i="2"/>
  <c r="R106" i="2"/>
  <c r="R60" i="2"/>
  <c r="R61" i="2"/>
  <c r="AA55" i="2"/>
  <c r="AA59" i="2"/>
  <c r="AA97" i="2" s="1"/>
  <c r="AA102" i="2" s="1"/>
  <c r="W55" i="2"/>
  <c r="W59" i="2"/>
  <c r="W97" i="2" s="1"/>
  <c r="U55" i="2"/>
  <c r="U59" i="2"/>
  <c r="U97" i="2" s="1"/>
  <c r="X55" i="2"/>
  <c r="X59" i="2"/>
  <c r="X97" i="2" s="1"/>
  <c r="Z55" i="2"/>
  <c r="Z68" i="2" s="1"/>
  <c r="Z59" i="2"/>
  <c r="Z97" i="2" s="1"/>
  <c r="Z102" i="2" s="1"/>
  <c r="V55" i="2"/>
  <c r="V59" i="2"/>
  <c r="V97" i="2" s="1"/>
  <c r="L120" i="2" l="1"/>
  <c r="G125" i="2"/>
  <c r="G129" i="2" s="1"/>
  <c r="R120" i="2"/>
  <c r="I120" i="2"/>
  <c r="S120" i="2"/>
  <c r="I125" i="2"/>
  <c r="I129" i="2" s="1"/>
  <c r="G120" i="2"/>
  <c r="P120" i="2"/>
  <c r="N120" i="2"/>
  <c r="F125" i="2"/>
  <c r="F129" i="2" s="1"/>
  <c r="H125" i="2"/>
  <c r="H129" i="2" s="1"/>
  <c r="Q120" i="2"/>
  <c r="M120" i="2"/>
  <c r="H120" i="2"/>
  <c r="X95" i="2"/>
  <c r="X119" i="2" s="1"/>
  <c r="X102" i="2"/>
  <c r="U95" i="2"/>
  <c r="U119" i="2" s="1"/>
  <c r="U120" i="2" s="1"/>
  <c r="U102" i="2"/>
  <c r="V95" i="2"/>
  <c r="V119" i="2" s="1"/>
  <c r="V102" i="2"/>
  <c r="W95" i="2"/>
  <c r="W119" i="2" s="1"/>
  <c r="W102" i="2"/>
  <c r="AI88" i="2"/>
  <c r="AD94" i="2"/>
  <c r="P14" i="8"/>
  <c r="S125" i="2"/>
  <c r="S123" i="2"/>
  <c r="K125" i="2"/>
  <c r="K123" i="2"/>
  <c r="M123" i="2"/>
  <c r="M125" i="2"/>
  <c r="L125" i="2"/>
  <c r="L123" i="2"/>
  <c r="Q123" i="2"/>
  <c r="Q125" i="2"/>
  <c r="N123" i="2"/>
  <c r="N125" i="2"/>
  <c r="R107" i="2"/>
  <c r="R122" i="2"/>
  <c r="P123" i="2"/>
  <c r="P125" i="2"/>
  <c r="Z95" i="2"/>
  <c r="Z119" i="2" s="1"/>
  <c r="AA95" i="2"/>
  <c r="AF88" i="2"/>
  <c r="AF92" i="2" s="1"/>
  <c r="AF94" i="2" s="1"/>
  <c r="Z70" i="2"/>
  <c r="W56" i="2"/>
  <c r="W68" i="2"/>
  <c r="W70" i="2" s="1"/>
  <c r="U56" i="2"/>
  <c r="U68" i="2"/>
  <c r="V56" i="2"/>
  <c r="V68" i="2"/>
  <c r="V70" i="2" s="1"/>
  <c r="X56" i="2"/>
  <c r="X68" i="2"/>
  <c r="X70" i="2" s="1"/>
  <c r="AA56" i="2"/>
  <c r="AA68" i="2"/>
  <c r="AA70" i="2" s="1"/>
  <c r="K107" i="2"/>
  <c r="P107" i="2"/>
  <c r="R14" i="8"/>
  <c r="Q14" i="8"/>
  <c r="S14" i="8"/>
  <c r="E14" i="8"/>
  <c r="N107" i="2"/>
  <c r="Q107" i="2"/>
  <c r="M107" i="2"/>
  <c r="L107" i="2"/>
  <c r="V106" i="2"/>
  <c r="V60" i="2"/>
  <c r="V61" i="2"/>
  <c r="W106" i="2"/>
  <c r="W60" i="2"/>
  <c r="W61" i="2"/>
  <c r="X106" i="2"/>
  <c r="C47" i="30" s="1"/>
  <c r="X60" i="2"/>
  <c r="X61" i="2"/>
  <c r="AA106" i="2"/>
  <c r="AA108" i="2" s="1"/>
  <c r="AA61" i="2"/>
  <c r="AA60" i="2"/>
  <c r="S107" i="2"/>
  <c r="Z106" i="2"/>
  <c r="Z108" i="2" s="1"/>
  <c r="Z61" i="2"/>
  <c r="Z60" i="2"/>
  <c r="U106" i="2"/>
  <c r="U122" i="2" s="1"/>
  <c r="U60" i="2"/>
  <c r="U61" i="2"/>
  <c r="Z56" i="2"/>
  <c r="AB47" i="2"/>
  <c r="AA47" i="2"/>
  <c r="Z47" i="2"/>
  <c r="Y47" i="2"/>
  <c r="X47" i="2"/>
  <c r="W47" i="2"/>
  <c r="V47" i="2"/>
  <c r="U47" i="2"/>
  <c r="S46" i="2"/>
  <c r="R46" i="2"/>
  <c r="Q46" i="2"/>
  <c r="P46" i="2"/>
  <c r="N46" i="2"/>
  <c r="M46" i="2"/>
  <c r="L46" i="2"/>
  <c r="K46" i="2"/>
  <c r="I46" i="2"/>
  <c r="H46" i="2"/>
  <c r="G46" i="2"/>
  <c r="F46" i="2"/>
  <c r="E46" i="2"/>
  <c r="I4" i="2"/>
  <c r="G2" i="26" s="1"/>
  <c r="G47" i="26" s="1"/>
  <c r="G98" i="26" s="1"/>
  <c r="H4" i="2"/>
  <c r="F2" i="26" s="1"/>
  <c r="F47" i="26" s="1"/>
  <c r="F98" i="26" s="1"/>
  <c r="G4" i="2"/>
  <c r="E2" i="26" s="1"/>
  <c r="E47" i="26" s="1"/>
  <c r="E98" i="26" s="1"/>
  <c r="F4" i="2"/>
  <c r="D2" i="26" s="1"/>
  <c r="D47" i="26" s="1"/>
  <c r="D98" i="26" s="1"/>
  <c r="I653" i="2"/>
  <c r="I652" i="2"/>
  <c r="I569" i="2" s="1"/>
  <c r="I568" i="2"/>
  <c r="I565" i="2"/>
  <c r="I564" i="2"/>
  <c r="I562" i="2"/>
  <c r="I561" i="2"/>
  <c r="I560" i="2"/>
  <c r="I559" i="2"/>
  <c r="I558" i="2"/>
  <c r="I557" i="2"/>
  <c r="I556" i="2"/>
  <c r="I555" i="2"/>
  <c r="I554" i="2"/>
  <c r="I553" i="2"/>
  <c r="I552" i="2"/>
  <c r="I551" i="2"/>
  <c r="I548" i="2"/>
  <c r="I547" i="2"/>
  <c r="I546" i="2"/>
  <c r="I545" i="2"/>
  <c r="I544" i="2"/>
  <c r="I543" i="2"/>
  <c r="I540" i="2"/>
  <c r="I539" i="2"/>
  <c r="I538" i="2"/>
  <c r="I536" i="2"/>
  <c r="I535" i="2"/>
  <c r="I534" i="2"/>
  <c r="I533" i="2"/>
  <c r="I532" i="2"/>
  <c r="I531" i="2"/>
  <c r="I530" i="2"/>
  <c r="I529" i="2"/>
  <c r="I528" i="2"/>
  <c r="I527" i="2"/>
  <c r="I524" i="2"/>
  <c r="I523" i="2"/>
  <c r="I522" i="2"/>
  <c r="I521" i="2"/>
  <c r="I520" i="2"/>
  <c r="I519" i="2"/>
  <c r="I518" i="2"/>
  <c r="I517" i="2"/>
  <c r="I516" i="2"/>
  <c r="I515" i="2"/>
  <c r="I514" i="2"/>
  <c r="I512" i="2"/>
  <c r="I511" i="2"/>
  <c r="I510" i="2"/>
  <c r="I509" i="2"/>
  <c r="I508" i="2"/>
  <c r="I507" i="2"/>
  <c r="I506" i="2"/>
  <c r="I505" i="2"/>
  <c r="I503" i="2"/>
  <c r="I502" i="2"/>
  <c r="I501" i="2"/>
  <c r="I495" i="2"/>
  <c r="I488" i="2"/>
  <c r="I251" i="2"/>
  <c r="H251" i="2"/>
  <c r="G251" i="2"/>
  <c r="F251" i="2"/>
  <c r="I227" i="2"/>
  <c r="H227" i="2"/>
  <c r="G227" i="2"/>
  <c r="F225" i="2"/>
  <c r="F227" i="2" s="1"/>
  <c r="I221" i="2"/>
  <c r="H221" i="2"/>
  <c r="G221" i="2"/>
  <c r="F221" i="2"/>
  <c r="I217" i="2"/>
  <c r="H217" i="2"/>
  <c r="I215" i="2"/>
  <c r="H215" i="2"/>
  <c r="I207" i="2"/>
  <c r="H207" i="2"/>
  <c r="G207" i="2"/>
  <c r="F207" i="2"/>
  <c r="I205" i="2"/>
  <c r="H205" i="2"/>
  <c r="G205" i="2"/>
  <c r="F205" i="2"/>
  <c r="I198" i="2"/>
  <c r="H198" i="2"/>
  <c r="G198" i="2"/>
  <c r="F198" i="2"/>
  <c r="I196" i="2"/>
  <c r="H196" i="2"/>
  <c r="G196" i="2"/>
  <c r="F196" i="2"/>
  <c r="I162" i="2"/>
  <c r="I193" i="2" s="1"/>
  <c r="H162" i="2"/>
  <c r="H193" i="2" s="1"/>
  <c r="G162" i="2"/>
  <c r="G193" i="2" s="1"/>
  <c r="F162" i="2"/>
  <c r="F193" i="2" s="1"/>
  <c r="I3" i="2"/>
  <c r="H3" i="2"/>
  <c r="G3" i="2"/>
  <c r="F3" i="2"/>
  <c r="F213" i="2" a="1"/>
  <c r="G28" i="2" a="1"/>
  <c r="H322" i="2" a="1"/>
  <c r="H295" i="2" a="1"/>
  <c r="F249" i="2" a="1"/>
  <c r="I330" i="2" a="1"/>
  <c r="G314" i="2" a="1"/>
  <c r="G284" i="2" a="1"/>
  <c r="F292" i="2" a="1"/>
  <c r="F27" i="2" a="1"/>
  <c r="G282" i="2" a="1"/>
  <c r="I296" i="2" a="1"/>
  <c r="I329" i="2" a="1"/>
  <c r="I62" i="2" a="1"/>
  <c r="I27" i="2" a="1"/>
  <c r="H317" i="2" a="1"/>
  <c r="H292" i="2" a="1"/>
  <c r="F170" i="2" a="1"/>
  <c r="G323" i="2" a="1"/>
  <c r="G296" i="2" a="1"/>
  <c r="G281" i="2" a="1"/>
  <c r="F285" i="2" a="1"/>
  <c r="F317" i="2" a="1"/>
  <c r="F281" i="2" a="1"/>
  <c r="I322" i="2" a="1"/>
  <c r="I295" i="2" a="1"/>
  <c r="G249" i="2" a="1"/>
  <c r="H62" i="2" a="1"/>
  <c r="G27" i="2" a="1"/>
  <c r="H316" i="2" a="1"/>
  <c r="H287" i="2" a="1"/>
  <c r="F168" i="2" a="1"/>
  <c r="G322" i="2" a="1"/>
  <c r="G295" i="2" a="1"/>
  <c r="I249" i="2" a="1"/>
  <c r="F282" i="2" a="1"/>
  <c r="F316" i="2" a="1"/>
  <c r="I318" i="2" a="1"/>
  <c r="I293" i="2" a="1"/>
  <c r="G228" i="2" a="1"/>
  <c r="F322" i="2" a="1"/>
  <c r="H293" i="2" a="1"/>
  <c r="F318" i="2" a="1"/>
  <c r="I110" i="2" a="1"/>
  <c r="F228" i="2" a="1"/>
  <c r="F284" i="2" a="1"/>
  <c r="G62" i="2" a="1"/>
  <c r="H27" i="2" a="1"/>
  <c r="H315" i="2" a="1"/>
  <c r="H285" i="2" a="1"/>
  <c r="H110" i="2" a="1"/>
  <c r="G318" i="2" a="1"/>
  <c r="G293" i="2" a="1"/>
  <c r="I228" i="2" a="1"/>
  <c r="H249" i="2" a="1"/>
  <c r="F315" i="2" a="1"/>
  <c r="H170" i="2" a="1"/>
  <c r="I317" i="2" a="1"/>
  <c r="I292" i="2" a="1"/>
  <c r="G168" i="2" a="1"/>
  <c r="F28" i="2" a="1"/>
  <c r="F330" i="2" a="1"/>
  <c r="H284" i="2" a="1"/>
  <c r="F287" i="2" a="1"/>
  <c r="G292" i="2" a="1"/>
  <c r="F314" i="2" a="1"/>
  <c r="I316" i="2" a="1"/>
  <c r="F298" i="2" a="1"/>
  <c r="I282" i="2" a="1"/>
  <c r="H318" i="2" a="1"/>
  <c r="I323" i="2" a="1"/>
  <c r="G213" i="2" a="1"/>
  <c r="H314" i="2" a="1"/>
  <c r="G317" i="2" a="1"/>
  <c r="I170" i="2" a="1"/>
  <c r="H330" i="2" a="1"/>
  <c r="H168" i="2" a="1"/>
  <c r="I287" i="2" a="1"/>
  <c r="G329" i="2" a="1"/>
  <c r="F62" i="2" a="1"/>
  <c r="G298" i="2" a="1"/>
  <c r="I281" i="2" a="1"/>
  <c r="I213" i="2" a="1"/>
  <c r="I28" i="2" a="1"/>
  <c r="F329" i="2" a="1"/>
  <c r="H298" i="2" a="1"/>
  <c r="H282" i="2" a="1"/>
  <c r="H228" i="2" a="1"/>
  <c r="G316" i="2" a="1"/>
  <c r="G287" i="2" a="1"/>
  <c r="I168" i="2" a="1"/>
  <c r="H329" i="2" a="1"/>
  <c r="F296" i="2" a="1"/>
  <c r="F110" i="2" a="1"/>
  <c r="I315" i="2" a="1"/>
  <c r="I285" i="2" a="1"/>
  <c r="H213" i="2" a="1"/>
  <c r="H28" i="2" a="1"/>
  <c r="H323" i="2" a="1"/>
  <c r="H296" i="2" a="1"/>
  <c r="H281" i="2" a="1"/>
  <c r="G170" i="2" a="1"/>
  <c r="G315" i="2" a="1"/>
  <c r="G285" i="2" a="1"/>
  <c r="G110" i="2" a="1"/>
  <c r="F323" i="2" a="1"/>
  <c r="F295" i="2" a="1"/>
  <c r="G330" i="2" a="1"/>
  <c r="I314" i="2" a="1"/>
  <c r="I284" i="2" a="1"/>
  <c r="I298" i="2" a="1"/>
  <c r="F293" i="2" a="1"/>
  <c r="W120" i="2" l="1"/>
  <c r="X120" i="2"/>
  <c r="Z120" i="2"/>
  <c r="X96" i="2"/>
  <c r="V120" i="2"/>
  <c r="W96" i="2"/>
  <c r="V96" i="2"/>
  <c r="AA122" i="2"/>
  <c r="AF122" i="2" s="1"/>
  <c r="AA107" i="2"/>
  <c r="AA119" i="2"/>
  <c r="AA120" i="2" s="1"/>
  <c r="AB95" i="2"/>
  <c r="Z96" i="2"/>
  <c r="W107" i="2"/>
  <c r="W122" i="2"/>
  <c r="N126" i="2"/>
  <c r="N129" i="2"/>
  <c r="X122" i="2"/>
  <c r="L129" i="2"/>
  <c r="L126" i="2"/>
  <c r="Z122" i="2"/>
  <c r="Q129" i="2"/>
  <c r="Q126" i="2"/>
  <c r="K126" i="2"/>
  <c r="K129" i="2"/>
  <c r="M126" i="2"/>
  <c r="M129" i="2"/>
  <c r="U123" i="2"/>
  <c r="U125" i="2"/>
  <c r="V107" i="2"/>
  <c r="V122" i="2"/>
  <c r="R123" i="2"/>
  <c r="R125" i="2"/>
  <c r="P126" i="2"/>
  <c r="P129" i="2"/>
  <c r="S126" i="2"/>
  <c r="S129" i="2"/>
  <c r="U107" i="2"/>
  <c r="M7" i="30"/>
  <c r="AA96" i="2"/>
  <c r="AG88" i="2"/>
  <c r="Y68" i="2"/>
  <c r="U70" i="2"/>
  <c r="Y70" i="2" s="1"/>
  <c r="I575" i="2"/>
  <c r="F213" i="2"/>
  <c r="H213" i="2"/>
  <c r="I213" i="2"/>
  <c r="G213" i="2"/>
  <c r="H165" i="2"/>
  <c r="Z107" i="2"/>
  <c r="X107" i="2"/>
  <c r="K50" i="2"/>
  <c r="K48" i="2"/>
  <c r="I50" i="2"/>
  <c r="I48" i="2"/>
  <c r="L50" i="2"/>
  <c r="L48" i="2"/>
  <c r="H50" i="2"/>
  <c r="H48" i="2"/>
  <c r="M50" i="2"/>
  <c r="M48" i="2"/>
  <c r="S50" i="2"/>
  <c r="S48" i="2"/>
  <c r="E50" i="2"/>
  <c r="E48" i="2"/>
  <c r="N50" i="2"/>
  <c r="N48" i="2"/>
  <c r="F50" i="2"/>
  <c r="F48" i="2"/>
  <c r="P50" i="2"/>
  <c r="P48" i="2"/>
  <c r="R50" i="2"/>
  <c r="R48" i="2"/>
  <c r="G50" i="2"/>
  <c r="G48" i="2"/>
  <c r="Q50" i="2"/>
  <c r="Q48" i="2"/>
  <c r="G62" i="2"/>
  <c r="G63" i="2" s="1"/>
  <c r="H62" i="2"/>
  <c r="H63" i="2" s="1"/>
  <c r="I62" i="2"/>
  <c r="I63" i="2" s="1"/>
  <c r="F62" i="2"/>
  <c r="F63" i="2" s="1"/>
  <c r="G28" i="2"/>
  <c r="G33" i="2" s="1"/>
  <c r="H28" i="2"/>
  <c r="H33" i="2" s="1"/>
  <c r="I28" i="2"/>
  <c r="I33" i="2" s="1"/>
  <c r="F28" i="2"/>
  <c r="F33" i="2" s="1"/>
  <c r="H27" i="2"/>
  <c r="H32" i="2" s="1"/>
  <c r="G27" i="2"/>
  <c r="G32" i="2" s="1"/>
  <c r="I27" i="2"/>
  <c r="I32" i="2" s="1"/>
  <c r="F27" i="2"/>
  <c r="F32" i="2" s="1"/>
  <c r="N36" i="2"/>
  <c r="N54" i="2"/>
  <c r="F36" i="2"/>
  <c r="F54" i="2"/>
  <c r="G54" i="2"/>
  <c r="G36" i="2"/>
  <c r="Q36" i="2"/>
  <c r="Q54" i="2"/>
  <c r="E36" i="2"/>
  <c r="E39" i="2" s="1"/>
  <c r="E54" i="2"/>
  <c r="H36" i="2"/>
  <c r="H54" i="2"/>
  <c r="R54" i="2"/>
  <c r="R36" i="2"/>
  <c r="I36" i="2"/>
  <c r="AH36" i="2" s="1"/>
  <c r="I54" i="2"/>
  <c r="S54" i="2"/>
  <c r="S36" i="2"/>
  <c r="M36" i="2"/>
  <c r="M38" i="2" s="1"/>
  <c r="M54" i="2"/>
  <c r="P36" i="2"/>
  <c r="P54" i="2"/>
  <c r="K54" i="2"/>
  <c r="K36" i="2"/>
  <c r="L36" i="2"/>
  <c r="L54" i="2"/>
  <c r="J46" i="2"/>
  <c r="J48" i="2" s="1"/>
  <c r="T46" i="2"/>
  <c r="T48" i="2" s="1"/>
  <c r="O46" i="2"/>
  <c r="O48" i="2" s="1"/>
  <c r="I577" i="2"/>
  <c r="I649" i="2"/>
  <c r="G168" i="2"/>
  <c r="G173" i="2" s="1"/>
  <c r="G228" i="2"/>
  <c r="G249" i="2"/>
  <c r="I281" i="2"/>
  <c r="I282" i="2"/>
  <c r="I284" i="2"/>
  <c r="I285" i="2"/>
  <c r="I287" i="2"/>
  <c r="I292" i="2"/>
  <c r="I293" i="2"/>
  <c r="I295" i="2"/>
  <c r="I296" i="2"/>
  <c r="I298" i="2"/>
  <c r="I314" i="2"/>
  <c r="I315" i="2"/>
  <c r="I316" i="2"/>
  <c r="I317" i="2"/>
  <c r="I318" i="2"/>
  <c r="I322" i="2"/>
  <c r="I323" i="2"/>
  <c r="G329" i="2"/>
  <c r="G330" i="2"/>
  <c r="F110" i="2"/>
  <c r="H168" i="2"/>
  <c r="H173" i="2" s="1"/>
  <c r="H170" i="2"/>
  <c r="H174" i="2" s="1"/>
  <c r="I110" i="2"/>
  <c r="F281" i="2"/>
  <c r="F284" i="2"/>
  <c r="F292" i="2"/>
  <c r="F295" i="2"/>
  <c r="F296" i="2"/>
  <c r="F314" i="2"/>
  <c r="F315" i="2"/>
  <c r="F316" i="2"/>
  <c r="F317" i="2"/>
  <c r="F318" i="2"/>
  <c r="F322" i="2"/>
  <c r="F323" i="2"/>
  <c r="H329" i="2"/>
  <c r="H330" i="2"/>
  <c r="H249" i="2"/>
  <c r="F282" i="2"/>
  <c r="F285" i="2"/>
  <c r="F293" i="2"/>
  <c r="F298" i="2"/>
  <c r="G110" i="2"/>
  <c r="I168" i="2"/>
  <c r="I173" i="2" s="1"/>
  <c r="I170" i="2"/>
  <c r="I174" i="2" s="1"/>
  <c r="I228" i="2"/>
  <c r="I249" i="2"/>
  <c r="G281" i="2"/>
  <c r="G282" i="2"/>
  <c r="G284" i="2"/>
  <c r="G285" i="2"/>
  <c r="G287" i="2"/>
  <c r="G292" i="2"/>
  <c r="G293" i="2"/>
  <c r="G295" i="2"/>
  <c r="G296" i="2"/>
  <c r="G298" i="2"/>
  <c r="G314" i="2"/>
  <c r="G315" i="2"/>
  <c r="G316" i="2"/>
  <c r="G317" i="2"/>
  <c r="G318" i="2"/>
  <c r="G322" i="2"/>
  <c r="G323" i="2"/>
  <c r="I329" i="2"/>
  <c r="I330" i="2"/>
  <c r="G170" i="2"/>
  <c r="G174" i="2" s="1"/>
  <c r="H228" i="2"/>
  <c r="F287" i="2"/>
  <c r="H110" i="2"/>
  <c r="F168" i="2"/>
  <c r="F170" i="2"/>
  <c r="F228" i="2"/>
  <c r="F249" i="2"/>
  <c r="H281" i="2"/>
  <c r="H282" i="2"/>
  <c r="H284" i="2"/>
  <c r="H285" i="2"/>
  <c r="H287" i="2"/>
  <c r="H292" i="2"/>
  <c r="H293" i="2"/>
  <c r="H295" i="2"/>
  <c r="H296" i="2"/>
  <c r="H298" i="2"/>
  <c r="H314" i="2"/>
  <c r="H315" i="2"/>
  <c r="H316" i="2"/>
  <c r="H317" i="2"/>
  <c r="H318" i="2"/>
  <c r="H322" i="2"/>
  <c r="H323" i="2"/>
  <c r="F329" i="2"/>
  <c r="F330" i="2"/>
  <c r="I165" i="2"/>
  <c r="I570" i="2"/>
  <c r="I566" i="2" s="1"/>
  <c r="G165" i="2"/>
  <c r="AB97" i="2" l="1"/>
  <c r="C44" i="30"/>
  <c r="C48" i="30" s="1"/>
  <c r="C41" i="30" s="1"/>
  <c r="AA123" i="2"/>
  <c r="AM36" i="2"/>
  <c r="AK36" i="2"/>
  <c r="AP36" i="2" s="1"/>
  <c r="AP38" i="2" s="1"/>
  <c r="AL36" i="2"/>
  <c r="AQ36" i="2" s="1"/>
  <c r="AQ38" i="2" s="1"/>
  <c r="AJ36" i="2"/>
  <c r="AO36" i="2" s="1"/>
  <c r="AO38" i="2" s="1"/>
  <c r="M10" i="30"/>
  <c r="AA125" i="2"/>
  <c r="AA129" i="2" s="1"/>
  <c r="AB119" i="2"/>
  <c r="AC119" i="2" s="1"/>
  <c r="AE119" i="2" s="1"/>
  <c r="AF119" i="2" s="1"/>
  <c r="AG119" i="2" s="1"/>
  <c r="AH119" i="2" s="1"/>
  <c r="AJ119" i="2" s="1"/>
  <c r="AK119" i="2" s="1"/>
  <c r="AL119" i="2" s="1"/>
  <c r="AM119" i="2" s="1"/>
  <c r="AO119" i="2" s="1"/>
  <c r="AP119" i="2" s="1"/>
  <c r="AQ119" i="2" s="1"/>
  <c r="AR119" i="2" s="1"/>
  <c r="U129" i="2"/>
  <c r="U126" i="2"/>
  <c r="X125" i="2"/>
  <c r="AC122" i="2"/>
  <c r="X123" i="2"/>
  <c r="AK122" i="2"/>
  <c r="R129" i="2"/>
  <c r="R126" i="2"/>
  <c r="Z123" i="2"/>
  <c r="Z125" i="2"/>
  <c r="AE122" i="2"/>
  <c r="W125" i="2"/>
  <c r="W123" i="2"/>
  <c r="V123" i="2"/>
  <c r="V125" i="2"/>
  <c r="P38" i="2"/>
  <c r="N38" i="2"/>
  <c r="S38" i="2"/>
  <c r="K38" i="2"/>
  <c r="R38" i="2"/>
  <c r="G39" i="2"/>
  <c r="V38" i="2"/>
  <c r="AA38" i="2"/>
  <c r="H39" i="2"/>
  <c r="W38" i="2"/>
  <c r="AB38" i="2"/>
  <c r="F39" i="2"/>
  <c r="U38" i="2"/>
  <c r="Z38" i="2"/>
  <c r="L38" i="2"/>
  <c r="I39" i="2"/>
  <c r="X38" i="2"/>
  <c r="Q38" i="2"/>
  <c r="AG92" i="2"/>
  <c r="AG94" i="2" s="1"/>
  <c r="L55" i="2"/>
  <c r="L56" i="2" s="1"/>
  <c r="Q55" i="2"/>
  <c r="Q56" i="2" s="1"/>
  <c r="K55" i="2"/>
  <c r="K56" i="2" s="1"/>
  <c r="P55" i="2"/>
  <c r="P56" i="2" s="1"/>
  <c r="R55" i="2"/>
  <c r="R56" i="2" s="1"/>
  <c r="G55" i="2"/>
  <c r="G56" i="2" s="1"/>
  <c r="M55" i="2"/>
  <c r="M56" i="2" s="1"/>
  <c r="H55" i="2"/>
  <c r="H56" i="2" s="1"/>
  <c r="F55" i="2"/>
  <c r="F56" i="2" s="1"/>
  <c r="N55" i="2"/>
  <c r="N56" i="2" s="1"/>
  <c r="S55" i="2"/>
  <c r="S56" i="2" s="1"/>
  <c r="I55" i="2"/>
  <c r="I56" i="2" s="1"/>
  <c r="E55" i="2"/>
  <c r="E56" i="2" s="1"/>
  <c r="F173" i="2"/>
  <c r="J168" i="2"/>
  <c r="F174" i="2"/>
  <c r="J170" i="2"/>
  <c r="P42" i="2"/>
  <c r="P181" i="2" s="1"/>
  <c r="P185" i="2"/>
  <c r="P187" i="2" s="1"/>
  <c r="M42" i="2"/>
  <c r="M181" i="2" s="1"/>
  <c r="M185" i="2"/>
  <c r="M187" i="2" s="1"/>
  <c r="G42" i="2"/>
  <c r="G181" i="2" s="1"/>
  <c r="G185" i="2"/>
  <c r="G187" i="2" s="1"/>
  <c r="N42" i="2"/>
  <c r="N181" i="2" s="1"/>
  <c r="N185" i="2"/>
  <c r="N187" i="2" s="1"/>
  <c r="K42" i="2"/>
  <c r="K181" i="2" s="1"/>
  <c r="K185" i="2"/>
  <c r="K187" i="2" s="1"/>
  <c r="S42" i="2"/>
  <c r="S40" i="2" s="1"/>
  <c r="S185" i="2"/>
  <c r="S187" i="2" s="1"/>
  <c r="H42" i="2"/>
  <c r="H181" i="2" s="1"/>
  <c r="H185" i="2"/>
  <c r="H187" i="2" s="1"/>
  <c r="R42" i="2"/>
  <c r="R181" i="2" s="1"/>
  <c r="R185" i="2"/>
  <c r="R187" i="2" s="1"/>
  <c r="E42" i="2"/>
  <c r="E181" i="2" s="1"/>
  <c r="E185" i="2"/>
  <c r="E187" i="2" s="1"/>
  <c r="I42" i="2"/>
  <c r="I181" i="2" s="1"/>
  <c r="I185" i="2"/>
  <c r="I187" i="2" s="1"/>
  <c r="L42" i="2"/>
  <c r="L181" i="2" s="1"/>
  <c r="L185" i="2"/>
  <c r="L187" i="2" s="1"/>
  <c r="Q42" i="2"/>
  <c r="Q181" i="2" s="1"/>
  <c r="Q185" i="2"/>
  <c r="Q187" i="2" s="1"/>
  <c r="F42" i="2"/>
  <c r="F181" i="2" s="1"/>
  <c r="F185" i="2"/>
  <c r="F187" i="2" s="1"/>
  <c r="O50" i="2"/>
  <c r="T50" i="2"/>
  <c r="J50" i="2"/>
  <c r="L39" i="2"/>
  <c r="L37" i="2"/>
  <c r="K39" i="2"/>
  <c r="K37" i="2"/>
  <c r="R39" i="2"/>
  <c r="R37" i="2"/>
  <c r="W37" i="2"/>
  <c r="M39" i="2"/>
  <c r="M37" i="2"/>
  <c r="P39" i="2"/>
  <c r="P37" i="2"/>
  <c r="U37" i="2"/>
  <c r="S39" i="2"/>
  <c r="S37" i="2"/>
  <c r="X37" i="2"/>
  <c r="N39" i="2"/>
  <c r="N37" i="2"/>
  <c r="Q39" i="2"/>
  <c r="Q37" i="2"/>
  <c r="V37" i="2"/>
  <c r="I111" i="2"/>
  <c r="I112" i="2"/>
  <c r="I113" i="2" s="1"/>
  <c r="F111" i="2"/>
  <c r="F112" i="2"/>
  <c r="F113" i="2" s="1"/>
  <c r="H111" i="2"/>
  <c r="H112" i="2"/>
  <c r="H113" i="2" s="1"/>
  <c r="G111" i="2"/>
  <c r="G112" i="2"/>
  <c r="G113" i="2" s="1"/>
  <c r="F26" i="2"/>
  <c r="F31" i="2" s="1"/>
  <c r="I26" i="2"/>
  <c r="I31" i="2" s="1"/>
  <c r="H26" i="2"/>
  <c r="H31" i="2" s="1"/>
  <c r="G26" i="2"/>
  <c r="G31" i="2" s="1"/>
  <c r="O47" i="2"/>
  <c r="O54" i="2"/>
  <c r="O55" i="2" s="1"/>
  <c r="O56" i="2" s="1"/>
  <c r="O36" i="2"/>
  <c r="T47" i="2"/>
  <c r="T54" i="2"/>
  <c r="T55" i="2" s="1"/>
  <c r="T56" i="2" s="1"/>
  <c r="T36" i="2"/>
  <c r="J47" i="2"/>
  <c r="J54" i="2"/>
  <c r="J55" i="2" s="1"/>
  <c r="J56" i="2" s="1"/>
  <c r="J36" i="2"/>
  <c r="F171" i="2"/>
  <c r="H171" i="2"/>
  <c r="G331" i="2"/>
  <c r="G332" i="2"/>
  <c r="G171" i="2"/>
  <c r="I332" i="2"/>
  <c r="I331" i="2"/>
  <c r="H332" i="2"/>
  <c r="H331" i="2"/>
  <c r="F331" i="2"/>
  <c r="F332" i="2"/>
  <c r="I324" i="2"/>
  <c r="I319" i="2"/>
  <c r="I320" i="2"/>
  <c r="G324" i="2"/>
  <c r="F324" i="2"/>
  <c r="H324" i="2"/>
  <c r="G319" i="2"/>
  <c r="G320" i="2"/>
  <c r="F320" i="2"/>
  <c r="F319" i="2"/>
  <c r="H319" i="2"/>
  <c r="H320" i="2"/>
  <c r="I171" i="2"/>
  <c r="AB59" i="2" l="1"/>
  <c r="AB57" i="2" s="1"/>
  <c r="AB55" i="2" s="1"/>
  <c r="AB56" i="2" s="1"/>
  <c r="AB102" i="2"/>
  <c r="AC53" i="2"/>
  <c r="M13" i="30"/>
  <c r="C66" i="30"/>
  <c r="D66" i="30" s="1"/>
  <c r="AR36" i="2"/>
  <c r="AR38" i="2" s="1"/>
  <c r="AM38" i="2"/>
  <c r="AF125" i="2"/>
  <c r="AF132" i="2" s="1"/>
  <c r="AI36" i="2"/>
  <c r="AH42" i="2"/>
  <c r="AH91" i="2"/>
  <c r="AI91" i="2" s="1"/>
  <c r="C70" i="30" s="1"/>
  <c r="AL91" i="2"/>
  <c r="AL42" i="2"/>
  <c r="AO91" i="2"/>
  <c r="AO42" i="2"/>
  <c r="AJ91" i="2"/>
  <c r="AN36" i="2"/>
  <c r="AN38" i="2" s="1"/>
  <c r="AJ42" i="2"/>
  <c r="AQ91" i="2"/>
  <c r="AQ42" i="2"/>
  <c r="AM91" i="2"/>
  <c r="AM42" i="2"/>
  <c r="AP42" i="2"/>
  <c r="AP91" i="2"/>
  <c r="AK91" i="2"/>
  <c r="AK42" i="2"/>
  <c r="AC56" i="2"/>
  <c r="X43" i="2"/>
  <c r="W129" i="2"/>
  <c r="W126" i="2"/>
  <c r="AK125" i="2"/>
  <c r="AK132" i="2" s="1"/>
  <c r="AP122" i="2"/>
  <c r="AP125" i="2" s="1"/>
  <c r="AP132" i="2" s="1"/>
  <c r="AJ122" i="2"/>
  <c r="AE125" i="2"/>
  <c r="AE132" i="2" s="1"/>
  <c r="Z126" i="2"/>
  <c r="Z129" i="2"/>
  <c r="AH122" i="2"/>
  <c r="AC125" i="2"/>
  <c r="AC132" i="2" s="1"/>
  <c r="AD132" i="2" s="1"/>
  <c r="X126" i="2"/>
  <c r="X129" i="2"/>
  <c r="V129" i="2"/>
  <c r="V126" i="2"/>
  <c r="AA126" i="2"/>
  <c r="O38" i="2"/>
  <c r="Y38" i="2"/>
  <c r="T38" i="2"/>
  <c r="AH88" i="2"/>
  <c r="L68" i="2"/>
  <c r="L70" i="2" s="1"/>
  <c r="R68" i="2"/>
  <c r="R70" i="2" s="1"/>
  <c r="E68" i="2"/>
  <c r="E70" i="2" s="1"/>
  <c r="E71" i="2" s="1"/>
  <c r="J67" i="2" s="1"/>
  <c r="P68" i="2"/>
  <c r="P70" i="2" s="1"/>
  <c r="H68" i="2"/>
  <c r="H70" i="2" s="1"/>
  <c r="K68" i="2"/>
  <c r="K70" i="2" s="1"/>
  <c r="F68" i="2"/>
  <c r="F70" i="2" s="1"/>
  <c r="I68" i="2"/>
  <c r="I70" i="2" s="1"/>
  <c r="M68" i="2"/>
  <c r="M70" i="2" s="1"/>
  <c r="S68" i="2"/>
  <c r="S70" i="2" s="1"/>
  <c r="N68" i="2"/>
  <c r="N70" i="2" s="1"/>
  <c r="G68" i="2"/>
  <c r="G70" i="2" s="1"/>
  <c r="Q68" i="2"/>
  <c r="Q70" i="2" s="1"/>
  <c r="I40" i="2"/>
  <c r="G40" i="2"/>
  <c r="L43" i="2"/>
  <c r="H40" i="2"/>
  <c r="L40" i="2"/>
  <c r="Q183" i="2"/>
  <c r="Q191" i="2" s="1"/>
  <c r="Q189" i="2"/>
  <c r="N183" i="2"/>
  <c r="N191" i="2" s="1"/>
  <c r="N189" i="2"/>
  <c r="L183" i="2"/>
  <c r="L191" i="2" s="1"/>
  <c r="L189" i="2"/>
  <c r="H183" i="2"/>
  <c r="H191" i="2" s="1"/>
  <c r="H194" i="2" s="1"/>
  <c r="H189" i="2"/>
  <c r="G183" i="2"/>
  <c r="G191" i="2" s="1"/>
  <c r="G189" i="2"/>
  <c r="R183" i="2"/>
  <c r="R191" i="2" s="1"/>
  <c r="R189" i="2"/>
  <c r="I183" i="2"/>
  <c r="I191" i="2" s="1"/>
  <c r="I189" i="2"/>
  <c r="M183" i="2"/>
  <c r="M191" i="2" s="1"/>
  <c r="M189" i="2"/>
  <c r="F183" i="2"/>
  <c r="F191" i="2" s="1"/>
  <c r="F189" i="2"/>
  <c r="E183" i="2"/>
  <c r="E191" i="2" s="1"/>
  <c r="E189" i="2"/>
  <c r="K183" i="2"/>
  <c r="K191" i="2" s="1"/>
  <c r="K189" i="2"/>
  <c r="P183" i="2"/>
  <c r="P191" i="2" s="1"/>
  <c r="P189" i="2"/>
  <c r="P40" i="2"/>
  <c r="U41" i="2" s="1"/>
  <c r="E40" i="2"/>
  <c r="M43" i="2"/>
  <c r="K43" i="2"/>
  <c r="R43" i="2"/>
  <c r="V43" i="2"/>
  <c r="W43" i="2"/>
  <c r="R40" i="2"/>
  <c r="W41" i="2" s="1"/>
  <c r="N40" i="2"/>
  <c r="Q40" i="2"/>
  <c r="F40" i="2"/>
  <c r="N43" i="2"/>
  <c r="J42" i="2"/>
  <c r="J43" i="2" s="1"/>
  <c r="J185" i="2"/>
  <c r="J187" i="2" s="1"/>
  <c r="S43" i="2"/>
  <c r="O49" i="2"/>
  <c r="O185" i="2"/>
  <c r="O187" i="2" s="1"/>
  <c r="K40" i="2"/>
  <c r="T42" i="2"/>
  <c r="T181" i="2" s="1"/>
  <c r="T183" i="2" s="1"/>
  <c r="T185" i="2"/>
  <c r="T187" i="2" s="1"/>
  <c r="S181" i="2"/>
  <c r="U43" i="2"/>
  <c r="M40" i="2"/>
  <c r="P43" i="2"/>
  <c r="Q43" i="2"/>
  <c r="O42" i="2"/>
  <c r="T49" i="2"/>
  <c r="J49" i="2"/>
  <c r="O39" i="2"/>
  <c r="O37" i="2"/>
  <c r="J39" i="2"/>
  <c r="J37" i="2"/>
  <c r="X41" i="2"/>
  <c r="T39" i="2"/>
  <c r="T37" i="2"/>
  <c r="Y37" i="2"/>
  <c r="I326" i="2"/>
  <c r="I325" i="2"/>
  <c r="H326" i="2"/>
  <c r="H325" i="2"/>
  <c r="F325" i="2"/>
  <c r="F326" i="2"/>
  <c r="G326" i="2"/>
  <c r="G325" i="2"/>
  <c r="AB68" i="2" l="1"/>
  <c r="AB70" i="2" s="1"/>
  <c r="AD55" i="2"/>
  <c r="AD56" i="2" s="1"/>
  <c r="AB60" i="2"/>
  <c r="AB61" i="2"/>
  <c r="AG106" i="2"/>
  <c r="AI38" i="2"/>
  <c r="C72" i="30"/>
  <c r="AH92" i="2"/>
  <c r="AH94" i="2" s="1"/>
  <c r="AF126" i="2"/>
  <c r="AF129" i="2"/>
  <c r="AF135" i="2" s="1"/>
  <c r="AR91" i="2"/>
  <c r="AS91" i="2" s="1"/>
  <c r="AS36" i="2"/>
  <c r="AS38" i="2" s="1"/>
  <c r="AR42" i="2"/>
  <c r="AR43" i="2" s="1"/>
  <c r="AH43" i="2"/>
  <c r="AH181" i="2"/>
  <c r="AH183" i="2" s="1"/>
  <c r="AI42" i="2"/>
  <c r="I13" i="8"/>
  <c r="AN91" i="2"/>
  <c r="AN90" i="2" s="1"/>
  <c r="AQ43" i="2"/>
  <c r="AQ181" i="2"/>
  <c r="AQ183" i="2" s="1"/>
  <c r="R13" i="8"/>
  <c r="AL43" i="2"/>
  <c r="M13" i="8"/>
  <c r="AL181" i="2"/>
  <c r="AL183" i="2" s="1"/>
  <c r="P13" i="8"/>
  <c r="AO43" i="2"/>
  <c r="AO181" i="2"/>
  <c r="AO183" i="2" s="1"/>
  <c r="AK43" i="2"/>
  <c r="L13" i="8"/>
  <c r="AK181" i="2"/>
  <c r="AK183" i="2" s="1"/>
  <c r="AJ181" i="2"/>
  <c r="AJ183" i="2" s="1"/>
  <c r="K13" i="8"/>
  <c r="AJ43" i="2"/>
  <c r="AN42" i="2"/>
  <c r="AP43" i="2"/>
  <c r="AP181" i="2"/>
  <c r="AP183" i="2" s="1"/>
  <c r="Q13" i="8"/>
  <c r="AI90" i="2"/>
  <c r="AM43" i="2"/>
  <c r="N13" i="8"/>
  <c r="AM181" i="2"/>
  <c r="AM183" i="2" s="1"/>
  <c r="AD46" i="2"/>
  <c r="AC21" i="2"/>
  <c r="AE129" i="2"/>
  <c r="AE135" i="2" s="1"/>
  <c r="AE126" i="2"/>
  <c r="AC129" i="2"/>
  <c r="AC135" i="2" s="1"/>
  <c r="AC126" i="2"/>
  <c r="AO122" i="2"/>
  <c r="AO125" i="2" s="1"/>
  <c r="AO132" i="2" s="1"/>
  <c r="AJ125" i="2"/>
  <c r="AJ132" i="2" s="1"/>
  <c r="AM122" i="2"/>
  <c r="AH125" i="2"/>
  <c r="AH132" i="2" s="1"/>
  <c r="AP129" i="2"/>
  <c r="AP135" i="2" s="1"/>
  <c r="AP126" i="2"/>
  <c r="AK126" i="2"/>
  <c r="AK129" i="2"/>
  <c r="AK135" i="2" s="1"/>
  <c r="F67" i="2"/>
  <c r="F71" i="2" s="1"/>
  <c r="G67" i="2" s="1"/>
  <c r="E73" i="2"/>
  <c r="J68" i="2"/>
  <c r="O70" i="2"/>
  <c r="T68" i="2"/>
  <c r="T70" i="2"/>
  <c r="J70" i="2"/>
  <c r="J71" i="2" s="1"/>
  <c r="J73" i="2" s="1"/>
  <c r="O68" i="2"/>
  <c r="L41" i="2"/>
  <c r="Q41" i="2"/>
  <c r="N41" i="2"/>
  <c r="M41" i="2"/>
  <c r="I190" i="2"/>
  <c r="I194" i="2"/>
  <c r="K190" i="2"/>
  <c r="T40" i="2"/>
  <c r="Y41" i="2" s="1"/>
  <c r="F190" i="2"/>
  <c r="F194" i="2"/>
  <c r="G190" i="2"/>
  <c r="G194" i="2"/>
  <c r="Q190" i="2"/>
  <c r="J40" i="2"/>
  <c r="J41" i="2" s="1"/>
  <c r="V41" i="2"/>
  <c r="P190" i="2"/>
  <c r="M190" i="2"/>
  <c r="H190" i="2"/>
  <c r="S41" i="2"/>
  <c r="S183" i="2"/>
  <c r="S191" i="2" s="1"/>
  <c r="S189" i="2"/>
  <c r="L190" i="2"/>
  <c r="E190" i="2"/>
  <c r="R190" i="2"/>
  <c r="N190" i="2"/>
  <c r="J181" i="2"/>
  <c r="R41" i="2"/>
  <c r="K41" i="2"/>
  <c r="Y43" i="2"/>
  <c r="P41" i="2"/>
  <c r="O43" i="2"/>
  <c r="O181" i="2"/>
  <c r="T43" i="2"/>
  <c r="O40" i="2"/>
  <c r="AB107" i="2" l="1"/>
  <c r="AB122" i="2"/>
  <c r="AB123" i="2" s="1"/>
  <c r="AB108" i="2"/>
  <c r="AI92" i="2"/>
  <c r="AS90" i="2"/>
  <c r="S13" i="8"/>
  <c r="AR181" i="2"/>
  <c r="AR183" i="2" s="1"/>
  <c r="AS42" i="2"/>
  <c r="AS43" i="2" s="1"/>
  <c r="AN181" i="2"/>
  <c r="AN183" i="2" s="1"/>
  <c r="AN43" i="2"/>
  <c r="AN40" i="2"/>
  <c r="O13" i="8"/>
  <c r="AI43" i="2"/>
  <c r="AI40" i="2"/>
  <c r="AI181" i="2"/>
  <c r="AI183" i="2" s="1"/>
  <c r="J13" i="8"/>
  <c r="AC54" i="2"/>
  <c r="AC57" i="2" s="1"/>
  <c r="AD21" i="2"/>
  <c r="AD47" i="2" s="1"/>
  <c r="Y39" i="3"/>
  <c r="AD48" i="2"/>
  <c r="AD50" i="2"/>
  <c r="AC185" i="2"/>
  <c r="AC187" i="2" s="1"/>
  <c r="AC23" i="2"/>
  <c r="AJ129" i="2"/>
  <c r="AJ135" i="2" s="1"/>
  <c r="AJ126" i="2"/>
  <c r="AO129" i="2"/>
  <c r="AO135" i="2" s="1"/>
  <c r="AO126" i="2"/>
  <c r="AH129" i="2"/>
  <c r="AH135" i="2" s="1"/>
  <c r="AH126" i="2"/>
  <c r="AM125" i="2"/>
  <c r="AM132" i="2" s="1"/>
  <c r="AR122" i="2"/>
  <c r="AR125" i="2" s="1"/>
  <c r="AR132" i="2" s="1"/>
  <c r="G71" i="2"/>
  <c r="H67" i="2" s="1"/>
  <c r="J74" i="2"/>
  <c r="H35" i="26"/>
  <c r="H77" i="26"/>
  <c r="C35" i="26"/>
  <c r="E74" i="2"/>
  <c r="C77" i="26"/>
  <c r="F73" i="2"/>
  <c r="O67" i="2"/>
  <c r="K67" i="2"/>
  <c r="O41" i="2"/>
  <c r="S190" i="2"/>
  <c r="J183" i="2"/>
  <c r="J191" i="2" s="1"/>
  <c r="J189" i="2"/>
  <c r="O183" i="2"/>
  <c r="O191" i="2" s="1"/>
  <c r="O189" i="2"/>
  <c r="T41" i="2"/>
  <c r="AB125" i="2" l="1"/>
  <c r="AD125" i="2" s="1"/>
  <c r="AG122" i="2"/>
  <c r="AG125" i="2" s="1"/>
  <c r="AG132" i="2" s="1"/>
  <c r="AI132" i="2" s="1"/>
  <c r="AN88" i="2"/>
  <c r="AI94" i="2"/>
  <c r="C63" i="30" s="1"/>
  <c r="D63" i="30" s="1"/>
  <c r="AJ88" i="2"/>
  <c r="AJ92" i="2" s="1"/>
  <c r="AJ94" i="2" s="1"/>
  <c r="T13" i="8"/>
  <c r="AS181" i="2"/>
  <c r="AS183" i="2" s="1"/>
  <c r="AD57" i="2"/>
  <c r="AC59" i="2"/>
  <c r="AC97" i="2" s="1"/>
  <c r="AS40" i="2"/>
  <c r="AS41" i="2" s="1"/>
  <c r="AN41" i="2"/>
  <c r="O14" i="8"/>
  <c r="AI41" i="2"/>
  <c r="J14" i="8"/>
  <c r="AD49" i="2"/>
  <c r="AD185" i="2"/>
  <c r="AD187" i="2" s="1"/>
  <c r="Z39" i="3"/>
  <c r="Y35" i="3"/>
  <c r="AA34" i="26"/>
  <c r="AA76" i="26" s="1"/>
  <c r="Y31" i="3"/>
  <c r="AD23" i="2"/>
  <c r="D16" i="8"/>
  <c r="AD54" i="2"/>
  <c r="AC68" i="2"/>
  <c r="AR129" i="2"/>
  <c r="AR135" i="2" s="1"/>
  <c r="AR126" i="2"/>
  <c r="AD129" i="2"/>
  <c r="AM129" i="2"/>
  <c r="AM135" i="2" s="1"/>
  <c r="AM126" i="2"/>
  <c r="H71" i="2"/>
  <c r="I67" i="2" s="1"/>
  <c r="K71" i="2"/>
  <c r="L67" i="2" s="1"/>
  <c r="D35" i="26"/>
  <c r="F74" i="2"/>
  <c r="D77" i="26"/>
  <c r="O71" i="2"/>
  <c r="T67" i="2" s="1"/>
  <c r="G73" i="2"/>
  <c r="O190" i="2"/>
  <c r="J190" i="2"/>
  <c r="AB126" i="2" l="1"/>
  <c r="AI125" i="2"/>
  <c r="AI126" i="2" s="1"/>
  <c r="AB129" i="2"/>
  <c r="AL122" i="2"/>
  <c r="AL125" i="2" s="1"/>
  <c r="AL132" i="2" s="1"/>
  <c r="AN132" i="2" s="1"/>
  <c r="AG129" i="2"/>
  <c r="AG135" i="2" s="1"/>
  <c r="AG126" i="2"/>
  <c r="AC95" i="2"/>
  <c r="AC102" i="2"/>
  <c r="AK88" i="2"/>
  <c r="AK92" i="2" s="1"/>
  <c r="AK94" i="2" s="1"/>
  <c r="T14" i="8"/>
  <c r="AC106" i="2"/>
  <c r="AC108" i="2" s="1"/>
  <c r="AC70" i="2"/>
  <c r="AD70" i="2" s="1"/>
  <c r="AD68" i="2"/>
  <c r="AD22" i="2"/>
  <c r="Z35" i="3" s="1"/>
  <c r="AB34" i="26"/>
  <c r="AB76" i="26" s="1"/>
  <c r="E16" i="8"/>
  <c r="Z31" i="3"/>
  <c r="AI129" i="2"/>
  <c r="AL129" i="2"/>
  <c r="AL135" i="2" s="1"/>
  <c r="H73" i="2"/>
  <c r="H74" i="2" s="1"/>
  <c r="O73" i="2"/>
  <c r="M35" i="26" s="1"/>
  <c r="K73" i="2"/>
  <c r="K74" i="2" s="1"/>
  <c r="T71" i="2"/>
  <c r="U67" i="2" s="1"/>
  <c r="L71" i="2"/>
  <c r="M67" i="2" s="1"/>
  <c r="I71" i="2"/>
  <c r="I73" i="2" s="1"/>
  <c r="E35" i="26"/>
  <c r="G74" i="2"/>
  <c r="E77" i="26"/>
  <c r="P67" i="2"/>
  <c r="AL126" i="2" l="1"/>
  <c r="AQ122" i="2"/>
  <c r="AQ125" i="2" s="1"/>
  <c r="AQ132" i="2" s="1"/>
  <c r="AS132" i="2" s="1"/>
  <c r="AN125" i="2"/>
  <c r="AN126" i="2" s="1"/>
  <c r="AL88" i="2"/>
  <c r="AL92" i="2" s="1"/>
  <c r="AL94" i="2" s="1"/>
  <c r="AS125" i="2"/>
  <c r="AS126" i="2" s="1"/>
  <c r="AQ129" i="2"/>
  <c r="AQ135" i="2" s="1"/>
  <c r="D15" i="8"/>
  <c r="Y46" i="3"/>
  <c r="D17" i="24"/>
  <c r="AC61" i="2"/>
  <c r="AC60" i="2"/>
  <c r="AI53" i="2"/>
  <c r="AD59" i="2"/>
  <c r="AD97" i="2" s="1"/>
  <c r="AE53" i="2"/>
  <c r="F35" i="26"/>
  <c r="F77" i="26"/>
  <c r="M77" i="26"/>
  <c r="O74" i="2"/>
  <c r="T73" i="2"/>
  <c r="T74" i="2" s="1"/>
  <c r="I77" i="26"/>
  <c r="I35" i="26"/>
  <c r="L73" i="2"/>
  <c r="J35" i="26" s="1"/>
  <c r="Y67" i="2"/>
  <c r="Y71" i="2" s="1"/>
  <c r="Y73" i="2" s="1"/>
  <c r="U71" i="2"/>
  <c r="V67" i="2" s="1"/>
  <c r="P71" i="2"/>
  <c r="Q67" i="2" s="1"/>
  <c r="G35" i="26"/>
  <c r="I74" i="2"/>
  <c r="G77" i="26"/>
  <c r="M71" i="2"/>
  <c r="N67" i="2" s="1"/>
  <c r="AN129" i="2" l="1"/>
  <c r="AQ126" i="2"/>
  <c r="AD95" i="2"/>
  <c r="AD102" i="2"/>
  <c r="AS129" i="2"/>
  <c r="AE56" i="2"/>
  <c r="Z46" i="3"/>
  <c r="AD61" i="2"/>
  <c r="E15" i="8"/>
  <c r="AA22" i="26"/>
  <c r="D17" i="8"/>
  <c r="D18" i="8" s="1"/>
  <c r="Y54" i="3"/>
  <c r="Y50" i="3" s="1"/>
  <c r="AC158" i="2"/>
  <c r="U12" i="23" s="1"/>
  <c r="AC177" i="2"/>
  <c r="AM88" i="2"/>
  <c r="AM92" i="2" s="1"/>
  <c r="AM94" i="2" s="1"/>
  <c r="R77" i="26"/>
  <c r="R35" i="26"/>
  <c r="L74" i="2"/>
  <c r="J77" i="26"/>
  <c r="W35" i="26"/>
  <c r="Y74" i="2"/>
  <c r="W77" i="26"/>
  <c r="V71" i="2"/>
  <c r="W67" i="2" s="1"/>
  <c r="M73" i="2"/>
  <c r="N71" i="2"/>
  <c r="N73" i="2" s="1"/>
  <c r="Z67" i="2"/>
  <c r="P73" i="2"/>
  <c r="Q71" i="2"/>
  <c r="R67" i="2" s="1"/>
  <c r="AD67" i="2"/>
  <c r="U73" i="2"/>
  <c r="AE21" i="2" l="1"/>
  <c r="AC179" i="2"/>
  <c r="AC191" i="2" s="1"/>
  <c r="AC189" i="2"/>
  <c r="AC159" i="2"/>
  <c r="Y12" i="3" s="1"/>
  <c r="Y8" i="3"/>
  <c r="AC207" i="2"/>
  <c r="AA27" i="26"/>
  <c r="AA63" i="26"/>
  <c r="AA69" i="26" s="1"/>
  <c r="AA72" i="26" s="1"/>
  <c r="AN92" i="2"/>
  <c r="V73" i="2"/>
  <c r="T35" i="26" s="1"/>
  <c r="L35" i="26"/>
  <c r="N74" i="2"/>
  <c r="L77" i="26"/>
  <c r="S35" i="26"/>
  <c r="U74" i="2"/>
  <c r="S77" i="26"/>
  <c r="Q73" i="2"/>
  <c r="R71" i="2"/>
  <c r="S67" i="2" s="1"/>
  <c r="N35" i="26"/>
  <c r="P74" i="2"/>
  <c r="N77" i="26"/>
  <c r="K35" i="26"/>
  <c r="M74" i="2"/>
  <c r="K77" i="26"/>
  <c r="W71" i="2"/>
  <c r="X67" i="2" s="1"/>
  <c r="Z71" i="2"/>
  <c r="AA67" i="2" s="1"/>
  <c r="AD71" i="2"/>
  <c r="AS88" i="2" l="1"/>
  <c r="AN94" i="2"/>
  <c r="AE54" i="2"/>
  <c r="AE57" i="2" s="1"/>
  <c r="AA39" i="3"/>
  <c r="AC164" i="2"/>
  <c r="AC190" i="2"/>
  <c r="AB27" i="26"/>
  <c r="AA30" i="26"/>
  <c r="AE185" i="2"/>
  <c r="AE187" i="2" s="1"/>
  <c r="AE23" i="2"/>
  <c r="AO88" i="2"/>
  <c r="AO92" i="2" s="1"/>
  <c r="AO94" i="2" s="1"/>
  <c r="T77" i="26"/>
  <c r="V74" i="2"/>
  <c r="Z73" i="2"/>
  <c r="X35" i="26" s="1"/>
  <c r="X71" i="2"/>
  <c r="X73" i="2" s="1"/>
  <c r="AE67" i="2"/>
  <c r="AI67" i="2"/>
  <c r="S71" i="2"/>
  <c r="S73" i="2" s="1"/>
  <c r="AA71" i="2"/>
  <c r="AB67" i="2" s="1"/>
  <c r="O35" i="26"/>
  <c r="Q74" i="2"/>
  <c r="O77" i="26"/>
  <c r="W73" i="2"/>
  <c r="AD73" i="2"/>
  <c r="R73" i="2"/>
  <c r="AC34" i="26" l="1"/>
  <c r="AC76" i="26" s="1"/>
  <c r="F16" i="8"/>
  <c r="AA35" i="3"/>
  <c r="AA31" i="3"/>
  <c r="AE68" i="2"/>
  <c r="AE70" i="2" s="1"/>
  <c r="AE71" i="2" s="1"/>
  <c r="AF67" i="2" s="1"/>
  <c r="AP88" i="2"/>
  <c r="AP92" i="2" s="1"/>
  <c r="AP94" i="2" s="1"/>
  <c r="Z74" i="2"/>
  <c r="X77" i="26"/>
  <c r="AA73" i="2"/>
  <c r="Y35" i="26" s="1"/>
  <c r="S74" i="2"/>
  <c r="Q35" i="26"/>
  <c r="Q77" i="26"/>
  <c r="AB35" i="26"/>
  <c r="AD74" i="2"/>
  <c r="AB77" i="26"/>
  <c r="V35" i="26"/>
  <c r="X74" i="2"/>
  <c r="V77" i="26"/>
  <c r="R74" i="2"/>
  <c r="P35" i="26"/>
  <c r="P77" i="26"/>
  <c r="U35" i="26"/>
  <c r="W74" i="2"/>
  <c r="U77" i="26"/>
  <c r="AB71" i="2"/>
  <c r="AC67" i="2" s="1"/>
  <c r="AF53" i="2" l="1"/>
  <c r="AE59" i="2"/>
  <c r="AE97" i="2" s="1"/>
  <c r="AB73" i="2"/>
  <c r="Z77" i="26" s="1"/>
  <c r="AQ88" i="2"/>
  <c r="Y77" i="26"/>
  <c r="AA74" i="2"/>
  <c r="AC71" i="2"/>
  <c r="AC73" i="2" s="1"/>
  <c r="AE73" i="2"/>
  <c r="AF56" i="2" l="1"/>
  <c r="AE95" i="2"/>
  <c r="AE96" i="2" s="1"/>
  <c r="AE102" i="2"/>
  <c r="Z35" i="26"/>
  <c r="AB74" i="2"/>
  <c r="AQ92" i="2"/>
  <c r="AQ94" i="2" s="1"/>
  <c r="AA35" i="26"/>
  <c r="AC74" i="2"/>
  <c r="AA77" i="26"/>
  <c r="AC35" i="26"/>
  <c r="AF21" i="2" l="1"/>
  <c r="AR88" i="2"/>
  <c r="AR92" i="2" s="1"/>
  <c r="AR94" i="2" s="1"/>
  <c r="AF185" i="2" l="1"/>
  <c r="AF187" i="2" s="1"/>
  <c r="AF23" i="2"/>
  <c r="AF54" i="2"/>
  <c r="AB39" i="3"/>
  <c r="AS92" i="2"/>
  <c r="AS94" i="2" s="1"/>
  <c r="AD34" i="26" l="1"/>
  <c r="AD76" i="26" s="1"/>
  <c r="G16" i="8"/>
  <c r="AB31" i="3"/>
  <c r="AB35" i="3"/>
  <c r="AF57" i="2"/>
  <c r="AF68" i="2"/>
  <c r="AF70" i="2" s="1"/>
  <c r="AF71" i="2" s="1"/>
  <c r="AG53" i="2" l="1"/>
  <c r="AF59" i="2"/>
  <c r="AF97" i="2" s="1"/>
  <c r="AG67" i="2"/>
  <c r="AF73" i="2"/>
  <c r="AD35" i="26" s="1"/>
  <c r="AG56" i="2" l="1"/>
  <c r="AF95" i="2"/>
  <c r="AF102" i="2"/>
  <c r="AG21" i="2"/>
  <c r="AG54" i="2" l="1"/>
  <c r="AC39" i="3"/>
  <c r="AG23" i="2"/>
  <c r="AG185" i="2"/>
  <c r="AG187" i="2" s="1"/>
  <c r="AE34" i="26" l="1"/>
  <c r="AE76" i="26" s="1"/>
  <c r="AC35" i="3"/>
  <c r="AC31" i="3"/>
  <c r="H16" i="8"/>
  <c r="AG57" i="2"/>
  <c r="AG68" i="2"/>
  <c r="AH53" i="2" l="1"/>
  <c r="AG59" i="2"/>
  <c r="AG97" i="2" s="1"/>
  <c r="AG102" i="2" s="1"/>
  <c r="AG70" i="2"/>
  <c r="AG95" i="2" l="1"/>
  <c r="AG71" i="2"/>
  <c r="AH46" i="2"/>
  <c r="AH21" i="2" l="1"/>
  <c r="AH47" i="2" s="1"/>
  <c r="AH50" i="2"/>
  <c r="AI46" i="2"/>
  <c r="C74" i="30" s="1"/>
  <c r="C76" i="30" s="1"/>
  <c r="AH67" i="2"/>
  <c r="AG73" i="2"/>
  <c r="AE35" i="26" s="1"/>
  <c r="AI48" i="2" l="1"/>
  <c r="AI50" i="2"/>
  <c r="AH185" i="2"/>
  <c r="AH187" i="2" s="1"/>
  <c r="AH23" i="2"/>
  <c r="AH54" i="2"/>
  <c r="AH39" i="2"/>
  <c r="AD39" i="3"/>
  <c r="AI21" i="2"/>
  <c r="AI47" i="2" s="1"/>
  <c r="AH55" i="2" l="1"/>
  <c r="AI55" i="2" s="1"/>
  <c r="AI56" i="2" s="1"/>
  <c r="AI54" i="2"/>
  <c r="AF34" i="26"/>
  <c r="AF76" i="26" s="1"/>
  <c r="I16" i="8"/>
  <c r="AD31" i="3"/>
  <c r="AH22" i="2"/>
  <c r="AD35" i="3" s="1"/>
  <c r="AI23" i="2"/>
  <c r="AI39" i="2"/>
  <c r="AE39" i="3"/>
  <c r="AI49" i="2"/>
  <c r="AI185" i="2"/>
  <c r="AI187" i="2" s="1"/>
  <c r="AH57" i="2" l="1"/>
  <c r="AI57" i="2" s="1"/>
  <c r="AH68" i="2"/>
  <c r="AH70" i="2" s="1"/>
  <c r="AG34" i="26"/>
  <c r="AG76" i="26" s="1"/>
  <c r="AE31" i="3"/>
  <c r="J16" i="8"/>
  <c r="AI22" i="2"/>
  <c r="AE35" i="3" s="1"/>
  <c r="AI68" i="2" l="1"/>
  <c r="AH59" i="2"/>
  <c r="AH97" i="2" s="1"/>
  <c r="AI70" i="2"/>
  <c r="AI71" i="2" s="1"/>
  <c r="AH71" i="2"/>
  <c r="AH73" i="2" s="1"/>
  <c r="AF35" i="26" s="1"/>
  <c r="AI59" i="2"/>
  <c r="AN53" i="2"/>
  <c r="AJ53" i="2"/>
  <c r="AH95" i="2" l="1"/>
  <c r="AH102" i="2"/>
  <c r="C62" i="30"/>
  <c r="AI97" i="2"/>
  <c r="AJ46" i="2"/>
  <c r="AI73" i="2"/>
  <c r="AG35" i="26" s="1"/>
  <c r="AJ67" i="2"/>
  <c r="AN67" i="2"/>
  <c r="AR562" i="2"/>
  <c r="AQ562" i="2"/>
  <c r="AP562" i="2"/>
  <c r="AO562" i="2"/>
  <c r="AM562" i="2"/>
  <c r="AL562" i="2"/>
  <c r="AK562" i="2"/>
  <c r="AJ562" i="2"/>
  <c r="AH562" i="2"/>
  <c r="AG562" i="2"/>
  <c r="AF562" i="2"/>
  <c r="AE562" i="2"/>
  <c r="AC562" i="2"/>
  <c r="AA569" i="2"/>
  <c r="Z569" i="2"/>
  <c r="Y569" i="2"/>
  <c r="X569" i="2"/>
  <c r="W569" i="2"/>
  <c r="V569" i="2"/>
  <c r="U569" i="2"/>
  <c r="T569" i="2"/>
  <c r="S569" i="2"/>
  <c r="R569" i="2"/>
  <c r="Q569" i="2"/>
  <c r="P569" i="2"/>
  <c r="O569" i="2"/>
  <c r="AB569" i="2"/>
  <c r="R570" i="2"/>
  <c r="Q570" i="2"/>
  <c r="P570" i="2"/>
  <c r="X570" i="2"/>
  <c r="W570" i="2"/>
  <c r="V570" i="2"/>
  <c r="U570" i="2"/>
  <c r="AB570" i="2"/>
  <c r="AC569" i="2" s="1"/>
  <c r="AA570" i="2"/>
  <c r="AI524" i="2"/>
  <c r="AI523" i="2"/>
  <c r="AI522" i="2"/>
  <c r="AI521" i="2"/>
  <c r="AI520" i="2"/>
  <c r="AI519" i="2"/>
  <c r="AI518" i="2"/>
  <c r="AI517" i="2"/>
  <c r="AI516" i="2"/>
  <c r="AI515" i="2"/>
  <c r="AN524" i="2"/>
  <c r="AN523" i="2"/>
  <c r="AN522" i="2"/>
  <c r="AN521" i="2"/>
  <c r="AN520" i="2"/>
  <c r="AN519" i="2"/>
  <c r="AN518" i="2"/>
  <c r="AN517" i="2"/>
  <c r="AN516" i="2"/>
  <c r="AN515" i="2"/>
  <c r="AS524" i="2"/>
  <c r="AS523" i="2"/>
  <c r="AS522" i="2"/>
  <c r="AS521" i="2"/>
  <c r="AS520" i="2"/>
  <c r="AS519" i="2"/>
  <c r="AS518" i="2"/>
  <c r="AS517" i="2"/>
  <c r="AS516" i="2"/>
  <c r="AS515" i="2"/>
  <c r="AS512" i="2"/>
  <c r="AS511" i="2"/>
  <c r="AS510" i="2"/>
  <c r="AS509" i="2"/>
  <c r="AS508" i="2"/>
  <c r="AS507" i="2"/>
  <c r="AS506" i="2"/>
  <c r="AS505" i="2"/>
  <c r="AS502" i="2"/>
  <c r="AN502" i="2"/>
  <c r="AI502" i="2"/>
  <c r="AS532" i="2"/>
  <c r="AS529" i="2"/>
  <c r="AN529" i="2"/>
  <c r="AI529" i="2"/>
  <c r="AS528" i="2"/>
  <c r="AN528" i="2"/>
  <c r="AI528" i="2"/>
  <c r="AS568" i="2"/>
  <c r="AN568" i="2"/>
  <c r="AI568" i="2"/>
  <c r="AS565" i="2"/>
  <c r="AN565" i="2"/>
  <c r="AI565" i="2"/>
  <c r="AS564" i="2"/>
  <c r="AN564" i="2"/>
  <c r="AI564" i="2"/>
  <c r="AS561" i="2"/>
  <c r="AN561" i="2"/>
  <c r="AI561" i="2"/>
  <c r="AS560" i="2"/>
  <c r="AN560" i="2"/>
  <c r="AI560" i="2"/>
  <c r="AS559" i="2"/>
  <c r="AN559" i="2"/>
  <c r="AI559" i="2"/>
  <c r="AS558" i="2"/>
  <c r="AN558" i="2"/>
  <c r="AI558" i="2"/>
  <c r="AS557" i="2"/>
  <c r="AN557" i="2"/>
  <c r="AI557" i="2"/>
  <c r="AS556" i="2"/>
  <c r="AN556" i="2"/>
  <c r="AI556" i="2"/>
  <c r="AS555" i="2"/>
  <c r="AN555" i="2"/>
  <c r="AI555" i="2"/>
  <c r="AS554" i="2"/>
  <c r="AN554" i="2"/>
  <c r="AI554" i="2"/>
  <c r="AS553" i="2"/>
  <c r="AN553" i="2"/>
  <c r="AI553" i="2"/>
  <c r="AS552" i="2"/>
  <c r="AN552" i="2"/>
  <c r="AI552" i="2"/>
  <c r="AS551" i="2"/>
  <c r="AN551" i="2"/>
  <c r="AI551" i="2"/>
  <c r="AS546" i="2"/>
  <c r="AN546" i="2"/>
  <c r="AI546" i="2"/>
  <c r="AS545" i="2"/>
  <c r="AN545" i="2"/>
  <c r="AI545" i="2"/>
  <c r="AS544" i="2"/>
  <c r="AN544" i="2"/>
  <c r="AI544" i="2"/>
  <c r="AS543" i="2"/>
  <c r="AN543" i="2"/>
  <c r="AI543" i="2"/>
  <c r="AS539" i="2"/>
  <c r="AN539" i="2"/>
  <c r="AI539" i="2"/>
  <c r="AS538" i="2"/>
  <c r="AN538" i="2"/>
  <c r="AI538" i="2"/>
  <c r="AS536" i="2"/>
  <c r="AN536" i="2"/>
  <c r="AI536" i="2"/>
  <c r="AS535" i="2"/>
  <c r="AN535" i="2"/>
  <c r="AI535" i="2"/>
  <c r="AS534" i="2"/>
  <c r="AN534" i="2"/>
  <c r="AI534" i="2"/>
  <c r="AN532" i="2"/>
  <c r="AI532" i="2"/>
  <c r="AS530" i="2"/>
  <c r="AN530" i="2"/>
  <c r="AI530" i="2"/>
  <c r="AC547" i="2"/>
  <c r="AC548" i="2" s="1"/>
  <c r="AI95" i="2" l="1"/>
  <c r="AI102" i="2"/>
  <c r="D62" i="30"/>
  <c r="D65" i="30" s="1"/>
  <c r="D67" i="30" s="1"/>
  <c r="D78" i="30" s="1"/>
  <c r="AJ50" i="2"/>
  <c r="AJ21" i="2"/>
  <c r="AJ47" i="2" s="1"/>
  <c r="AI562" i="2"/>
  <c r="AN562" i="2"/>
  <c r="AS562" i="2"/>
  <c r="AJ54" i="2" l="1"/>
  <c r="AJ39" i="2"/>
  <c r="AF39" i="3"/>
  <c r="AJ185" i="2"/>
  <c r="AJ187" i="2" s="1"/>
  <c r="AJ23" i="2"/>
  <c r="AC441" i="2"/>
  <c r="AD441" i="2" s="1"/>
  <c r="AE441" i="2" s="1"/>
  <c r="AF441" i="2" s="1"/>
  <c r="AG493" i="2"/>
  <c r="AH493" i="2" s="1"/>
  <c r="AJ493" i="2" s="1"/>
  <c r="AK493" i="2" s="1"/>
  <c r="AL493" i="2" s="1"/>
  <c r="AM493" i="2" s="1"/>
  <c r="AO493" i="2" s="1"/>
  <c r="AP493" i="2" s="1"/>
  <c r="AQ493" i="2" s="1"/>
  <c r="AR493" i="2" s="1"/>
  <c r="AF492" i="2"/>
  <c r="AG492" i="2" s="1"/>
  <c r="AH492" i="2" s="1"/>
  <c r="AJ492" i="2" s="1"/>
  <c r="AK492" i="2" s="1"/>
  <c r="AL492" i="2" s="1"/>
  <c r="AM492" i="2" s="1"/>
  <c r="AO492" i="2" s="1"/>
  <c r="AP492" i="2" s="1"/>
  <c r="AQ492" i="2" s="1"/>
  <c r="AR492" i="2" s="1"/>
  <c r="AC481" i="2"/>
  <c r="AD481" i="2" s="1"/>
  <c r="AE481" i="2" s="1"/>
  <c r="AF481" i="2" s="1"/>
  <c r="AG481" i="2" s="1"/>
  <c r="AH481" i="2" s="1"/>
  <c r="AI481" i="2" s="1"/>
  <c r="AJ481" i="2" s="1"/>
  <c r="AK481" i="2" s="1"/>
  <c r="AL481" i="2" s="1"/>
  <c r="AM481" i="2" s="1"/>
  <c r="AN481" i="2" s="1"/>
  <c r="AO481" i="2" s="1"/>
  <c r="AP481" i="2" s="1"/>
  <c r="AQ481" i="2" s="1"/>
  <c r="AR481" i="2" s="1"/>
  <c r="AS481" i="2" s="1"/>
  <c r="AC477" i="2"/>
  <c r="AD477" i="2" s="1"/>
  <c r="AE477" i="2" s="1"/>
  <c r="AF477" i="2" s="1"/>
  <c r="AG477" i="2" s="1"/>
  <c r="AH477" i="2" s="1"/>
  <c r="AI477" i="2" s="1"/>
  <c r="AJ477" i="2" s="1"/>
  <c r="AK477" i="2" s="1"/>
  <c r="AL477" i="2" s="1"/>
  <c r="AM477" i="2" s="1"/>
  <c r="AN477" i="2" s="1"/>
  <c r="AO477" i="2" s="1"/>
  <c r="AP477" i="2" s="1"/>
  <c r="AQ477" i="2" s="1"/>
  <c r="AR477" i="2" s="1"/>
  <c r="AS477" i="2" s="1"/>
  <c r="AC470" i="2"/>
  <c r="AD470" i="2" s="1"/>
  <c r="AE470" i="2" s="1"/>
  <c r="AF470" i="2" s="1"/>
  <c r="AG470" i="2" s="1"/>
  <c r="AH470" i="2" s="1"/>
  <c r="AI470" i="2" s="1"/>
  <c r="AJ470" i="2" s="1"/>
  <c r="AK470" i="2" s="1"/>
  <c r="AL470" i="2" s="1"/>
  <c r="AM470" i="2" s="1"/>
  <c r="AN470" i="2" s="1"/>
  <c r="AO470" i="2" s="1"/>
  <c r="AP470" i="2" s="1"/>
  <c r="AQ470" i="2" s="1"/>
  <c r="AR470" i="2" s="1"/>
  <c r="AS470" i="2" s="1"/>
  <c r="AC472" i="2"/>
  <c r="AD472" i="2" s="1"/>
  <c r="AE472" i="2" s="1"/>
  <c r="AF472" i="2" s="1"/>
  <c r="AG472" i="2" s="1"/>
  <c r="AH472" i="2" s="1"/>
  <c r="AI472" i="2" s="1"/>
  <c r="AJ472" i="2" s="1"/>
  <c r="AK472" i="2" s="1"/>
  <c r="AL472" i="2" s="1"/>
  <c r="AM472" i="2" s="1"/>
  <c r="AN472" i="2" s="1"/>
  <c r="AO472" i="2" s="1"/>
  <c r="AP472" i="2" s="1"/>
  <c r="AQ472" i="2" s="1"/>
  <c r="AR472" i="2" s="1"/>
  <c r="AS472" i="2" s="1"/>
  <c r="AC471" i="2"/>
  <c r="AD471" i="2" s="1"/>
  <c r="AE471" i="2" s="1"/>
  <c r="AF471" i="2" s="1"/>
  <c r="AG471" i="2" s="1"/>
  <c r="AH471" i="2" s="1"/>
  <c r="AI471" i="2" s="1"/>
  <c r="AJ471" i="2" s="1"/>
  <c r="AK471" i="2" s="1"/>
  <c r="AL471" i="2" s="1"/>
  <c r="AM471" i="2" s="1"/>
  <c r="AN471" i="2" s="1"/>
  <c r="AO471" i="2" s="1"/>
  <c r="AP471" i="2" s="1"/>
  <c r="AQ471" i="2" s="1"/>
  <c r="AR471" i="2" s="1"/>
  <c r="AS471" i="2" s="1"/>
  <c r="AC468" i="2"/>
  <c r="AD468" i="2" s="1"/>
  <c r="AE468" i="2" s="1"/>
  <c r="AF468" i="2" s="1"/>
  <c r="AG468" i="2" s="1"/>
  <c r="AH468" i="2" s="1"/>
  <c r="AI468" i="2" s="1"/>
  <c r="AJ468" i="2" s="1"/>
  <c r="AK468" i="2" s="1"/>
  <c r="AL468" i="2" s="1"/>
  <c r="AM468" i="2" s="1"/>
  <c r="AN468" i="2" s="1"/>
  <c r="AO468" i="2" s="1"/>
  <c r="AP468" i="2" s="1"/>
  <c r="AQ468" i="2" s="1"/>
  <c r="AR468" i="2" s="1"/>
  <c r="AS468" i="2" s="1"/>
  <c r="AC467" i="2"/>
  <c r="AD467" i="2" s="1"/>
  <c r="AE467" i="2" s="1"/>
  <c r="AF467" i="2" s="1"/>
  <c r="AG467" i="2" s="1"/>
  <c r="AH467" i="2" s="1"/>
  <c r="AI467" i="2" s="1"/>
  <c r="AJ467" i="2" s="1"/>
  <c r="AK467" i="2" s="1"/>
  <c r="AL467" i="2" s="1"/>
  <c r="AM467" i="2" s="1"/>
  <c r="AN467" i="2" s="1"/>
  <c r="AO467" i="2" s="1"/>
  <c r="AP467" i="2" s="1"/>
  <c r="AQ467" i="2" s="1"/>
  <c r="AR467" i="2" s="1"/>
  <c r="AS467" i="2" s="1"/>
  <c r="AC462" i="2"/>
  <c r="AD462" i="2" s="1"/>
  <c r="AE462" i="2" s="1"/>
  <c r="AF462" i="2" s="1"/>
  <c r="AG462" i="2" s="1"/>
  <c r="AH462" i="2" s="1"/>
  <c r="AI462" i="2" s="1"/>
  <c r="AJ462" i="2" s="1"/>
  <c r="AK462" i="2" s="1"/>
  <c r="AL462" i="2" s="1"/>
  <c r="AM462" i="2" s="1"/>
  <c r="AN462" i="2" s="1"/>
  <c r="AO462" i="2" s="1"/>
  <c r="AP462" i="2" s="1"/>
  <c r="AQ462" i="2" s="1"/>
  <c r="AR462" i="2" s="1"/>
  <c r="AS462" i="2" s="1"/>
  <c r="AC461" i="2"/>
  <c r="AD461" i="2" s="1"/>
  <c r="AE461" i="2" s="1"/>
  <c r="AF461" i="2" s="1"/>
  <c r="AG461" i="2" s="1"/>
  <c r="AH461" i="2" s="1"/>
  <c r="AI461" i="2" s="1"/>
  <c r="AJ461" i="2" s="1"/>
  <c r="AK461" i="2" s="1"/>
  <c r="AL461" i="2" s="1"/>
  <c r="AM461" i="2" s="1"/>
  <c r="AN461" i="2" s="1"/>
  <c r="AO461" i="2" s="1"/>
  <c r="AP461" i="2" s="1"/>
  <c r="AQ461" i="2" s="1"/>
  <c r="AR461" i="2" s="1"/>
  <c r="AS461" i="2" s="1"/>
  <c r="AC460" i="2"/>
  <c r="AD460" i="2" s="1"/>
  <c r="AE460" i="2" s="1"/>
  <c r="AF460" i="2" s="1"/>
  <c r="AG460" i="2" s="1"/>
  <c r="AH460" i="2" s="1"/>
  <c r="AI460" i="2" s="1"/>
  <c r="AJ460" i="2" s="1"/>
  <c r="AK460" i="2" s="1"/>
  <c r="AL460" i="2" s="1"/>
  <c r="AM460" i="2" s="1"/>
  <c r="AN460" i="2" s="1"/>
  <c r="AO460" i="2" s="1"/>
  <c r="AP460" i="2" s="1"/>
  <c r="AQ460" i="2" s="1"/>
  <c r="AR460" i="2" s="1"/>
  <c r="AS460" i="2" s="1"/>
  <c r="AC459" i="2"/>
  <c r="AD459" i="2" s="1"/>
  <c r="AE459" i="2" s="1"/>
  <c r="AF459" i="2" s="1"/>
  <c r="AG459" i="2" s="1"/>
  <c r="AH459" i="2" s="1"/>
  <c r="AI459" i="2" s="1"/>
  <c r="AJ459" i="2" s="1"/>
  <c r="AK459" i="2" s="1"/>
  <c r="AL459" i="2" s="1"/>
  <c r="AM459" i="2" s="1"/>
  <c r="AN459" i="2" s="1"/>
  <c r="AO459" i="2" s="1"/>
  <c r="AP459" i="2" s="1"/>
  <c r="AQ459" i="2" s="1"/>
  <c r="AR459" i="2" s="1"/>
  <c r="AS459" i="2" s="1"/>
  <c r="AC458" i="2"/>
  <c r="AD458" i="2" s="1"/>
  <c r="AE458" i="2" s="1"/>
  <c r="AF458" i="2" s="1"/>
  <c r="AG458" i="2" s="1"/>
  <c r="AH458" i="2" s="1"/>
  <c r="AI458" i="2" s="1"/>
  <c r="AJ458" i="2" s="1"/>
  <c r="AK458" i="2" s="1"/>
  <c r="AL458" i="2" s="1"/>
  <c r="AM458" i="2" s="1"/>
  <c r="AN458" i="2" s="1"/>
  <c r="AO458" i="2" s="1"/>
  <c r="AP458" i="2" s="1"/>
  <c r="AQ458" i="2" s="1"/>
  <c r="AR458" i="2" s="1"/>
  <c r="AS458" i="2" s="1"/>
  <c r="AC451" i="2"/>
  <c r="AD451" i="2" s="1"/>
  <c r="AE451" i="2" s="1"/>
  <c r="AF451" i="2" s="1"/>
  <c r="AG451" i="2" s="1"/>
  <c r="AH451" i="2" s="1"/>
  <c r="AI451" i="2" s="1"/>
  <c r="AJ451" i="2" s="1"/>
  <c r="AK451" i="2" s="1"/>
  <c r="AL451" i="2" s="1"/>
  <c r="AM451" i="2" s="1"/>
  <c r="AN451" i="2" s="1"/>
  <c r="AO451" i="2" s="1"/>
  <c r="AP451" i="2" s="1"/>
  <c r="AQ451" i="2" s="1"/>
  <c r="AR451" i="2" s="1"/>
  <c r="AS451" i="2" s="1"/>
  <c r="AC450" i="2"/>
  <c r="AD450" i="2" s="1"/>
  <c r="AE450" i="2" s="1"/>
  <c r="AF450" i="2" s="1"/>
  <c r="AG450" i="2" s="1"/>
  <c r="AH450" i="2" s="1"/>
  <c r="AI450" i="2" s="1"/>
  <c r="AJ450" i="2" s="1"/>
  <c r="AK450" i="2" s="1"/>
  <c r="AL450" i="2" s="1"/>
  <c r="AM450" i="2" s="1"/>
  <c r="AN450" i="2" s="1"/>
  <c r="AO450" i="2" s="1"/>
  <c r="AP450" i="2" s="1"/>
  <c r="AQ450" i="2" s="1"/>
  <c r="AR450" i="2" s="1"/>
  <c r="AS450" i="2" s="1"/>
  <c r="AC449" i="2"/>
  <c r="AD449" i="2" s="1"/>
  <c r="AE449" i="2" s="1"/>
  <c r="AF449" i="2" s="1"/>
  <c r="AG449" i="2" s="1"/>
  <c r="AH449" i="2" s="1"/>
  <c r="AI449" i="2" s="1"/>
  <c r="AJ449" i="2" s="1"/>
  <c r="AK449" i="2" s="1"/>
  <c r="AL449" i="2" s="1"/>
  <c r="AM449" i="2" s="1"/>
  <c r="AN449" i="2" s="1"/>
  <c r="AO449" i="2" s="1"/>
  <c r="AP449" i="2" s="1"/>
  <c r="AQ449" i="2" s="1"/>
  <c r="AR449" i="2" s="1"/>
  <c r="AS449" i="2" s="1"/>
  <c r="AC448" i="2"/>
  <c r="AD448" i="2" s="1"/>
  <c r="AE448" i="2" s="1"/>
  <c r="AF448" i="2" s="1"/>
  <c r="AG448" i="2" s="1"/>
  <c r="AH448" i="2" s="1"/>
  <c r="AI448" i="2" s="1"/>
  <c r="AJ448" i="2" s="1"/>
  <c r="AK448" i="2" s="1"/>
  <c r="AL448" i="2" s="1"/>
  <c r="AM448" i="2" s="1"/>
  <c r="AN448" i="2" s="1"/>
  <c r="AO448" i="2" s="1"/>
  <c r="AP448" i="2" s="1"/>
  <c r="AQ448" i="2" s="1"/>
  <c r="AR448" i="2" s="1"/>
  <c r="AS448" i="2" s="1"/>
  <c r="AC447" i="2"/>
  <c r="AD447" i="2" s="1"/>
  <c r="AE447" i="2" s="1"/>
  <c r="AF447" i="2" s="1"/>
  <c r="AG447" i="2" s="1"/>
  <c r="AH447" i="2" s="1"/>
  <c r="AI447" i="2" s="1"/>
  <c r="AJ447" i="2" s="1"/>
  <c r="AK447" i="2" s="1"/>
  <c r="AL447" i="2" s="1"/>
  <c r="AM447" i="2" s="1"/>
  <c r="AN447" i="2" s="1"/>
  <c r="AO447" i="2" s="1"/>
  <c r="AP447" i="2" s="1"/>
  <c r="AQ447" i="2" s="1"/>
  <c r="AR447" i="2" s="1"/>
  <c r="AS447" i="2" s="1"/>
  <c r="AC442" i="2"/>
  <c r="AD442" i="2" s="1"/>
  <c r="AE442" i="2" s="1"/>
  <c r="AF442" i="2" s="1"/>
  <c r="AG442" i="2" s="1"/>
  <c r="AH442" i="2" s="1"/>
  <c r="AI442" i="2" s="1"/>
  <c r="AJ442" i="2" s="1"/>
  <c r="AK442" i="2" s="1"/>
  <c r="AL442" i="2" s="1"/>
  <c r="AM442" i="2" s="1"/>
  <c r="AN442" i="2" s="1"/>
  <c r="AO442" i="2" s="1"/>
  <c r="AP442" i="2" s="1"/>
  <c r="AQ442" i="2" s="1"/>
  <c r="AR442" i="2" s="1"/>
  <c r="AS442" i="2" s="1"/>
  <c r="AH34" i="26" l="1"/>
  <c r="AH76" i="26" s="1"/>
  <c r="K16" i="8"/>
  <c r="AF31" i="3"/>
  <c r="AJ22" i="2"/>
  <c r="AF35" i="3" s="1"/>
  <c r="AJ55" i="2"/>
  <c r="AJ57" i="2" s="1"/>
  <c r="AG441" i="2"/>
  <c r="AH441" i="2" s="1"/>
  <c r="AJ68" i="2" l="1"/>
  <c r="AJ70" i="2" s="1"/>
  <c r="AJ71" i="2" s="1"/>
  <c r="AK67" i="2" s="1"/>
  <c r="AK53" i="2"/>
  <c r="AJ59" i="2"/>
  <c r="AJ97" i="2" s="1"/>
  <c r="AI441" i="2"/>
  <c r="AJ95" i="2" l="1"/>
  <c r="AJ102" i="2"/>
  <c r="AJ73" i="2"/>
  <c r="AJ74" i="2" s="1"/>
  <c r="K15" i="8"/>
  <c r="AF46" i="3"/>
  <c r="AK46" i="2"/>
  <c r="AJ441" i="2"/>
  <c r="AH35" i="26" l="1"/>
  <c r="AH77" i="26"/>
  <c r="AK50" i="2"/>
  <c r="AK21" i="2"/>
  <c r="AK47" i="2" s="1"/>
  <c r="AK441" i="2"/>
  <c r="AK23" i="2" l="1"/>
  <c r="AK185" i="2"/>
  <c r="AK187" i="2" s="1"/>
  <c r="AK54" i="2"/>
  <c r="AK39" i="2"/>
  <c r="AG39" i="3"/>
  <c r="AL441" i="2"/>
  <c r="AK55" i="2" l="1"/>
  <c r="AK57" i="2" s="1"/>
  <c r="AI34" i="26"/>
  <c r="AI76" i="26" s="1"/>
  <c r="L16" i="8"/>
  <c r="AK22" i="2"/>
  <c r="AG35" i="3" s="1"/>
  <c r="AG31" i="3"/>
  <c r="AM441" i="2"/>
  <c r="AK68" i="2" l="1"/>
  <c r="AK70" i="2" s="1"/>
  <c r="AK71" i="2" s="1"/>
  <c r="AL53" i="2"/>
  <c r="AK59" i="2"/>
  <c r="AK97" i="2" s="1"/>
  <c r="AN441" i="2"/>
  <c r="AK95" i="2" l="1"/>
  <c r="AK102" i="2"/>
  <c r="AG46" i="3"/>
  <c r="L15" i="8"/>
  <c r="AK60" i="2"/>
  <c r="AL46" i="2"/>
  <c r="AL67" i="2"/>
  <c r="AK73" i="2"/>
  <c r="AI77" i="26" s="1"/>
  <c r="AO441" i="2"/>
  <c r="AL50" i="2" l="1"/>
  <c r="AL21" i="2"/>
  <c r="AL47" i="2" s="1"/>
  <c r="AI35" i="26"/>
  <c r="AK74" i="2"/>
  <c r="AP441" i="2"/>
  <c r="AL54" i="2" l="1"/>
  <c r="AH39" i="3"/>
  <c r="AL39" i="2"/>
  <c r="AL23" i="2"/>
  <c r="AL185" i="2"/>
  <c r="AL187" i="2" s="1"/>
  <c r="AQ441" i="2"/>
  <c r="AL55" i="2" l="1"/>
  <c r="AL57" i="2" s="1"/>
  <c r="AJ34" i="26"/>
  <c r="AJ76" i="26" s="1"/>
  <c r="AL22" i="2"/>
  <c r="AH35" i="3" s="1"/>
  <c r="M16" i="8"/>
  <c r="AH31" i="3"/>
  <c r="AR441" i="2"/>
  <c r="AL68" i="2" l="1"/>
  <c r="AL70" i="2" s="1"/>
  <c r="AL71" i="2" s="1"/>
  <c r="AM53" i="2"/>
  <c r="AL59" i="2"/>
  <c r="AL97" i="2" s="1"/>
  <c r="AS441" i="2"/>
  <c r="AL95" i="2" l="1"/>
  <c r="AL102" i="2"/>
  <c r="AH46" i="3"/>
  <c r="AL60" i="2"/>
  <c r="M15" i="8"/>
  <c r="AM46" i="2"/>
  <c r="AM67" i="2"/>
  <c r="AL73" i="2"/>
  <c r="AJ77" i="26" s="1"/>
  <c r="AS246" i="2"/>
  <c r="AS245" i="2"/>
  <c r="AS244" i="2"/>
  <c r="AS243" i="2"/>
  <c r="AS242" i="2"/>
  <c r="AS241" i="2"/>
  <c r="AN246" i="2"/>
  <c r="AN245" i="2"/>
  <c r="AN244" i="2"/>
  <c r="AN243" i="2"/>
  <c r="AN242" i="2"/>
  <c r="AN241" i="2"/>
  <c r="AI246" i="2"/>
  <c r="AI245" i="2"/>
  <c r="AI244" i="2"/>
  <c r="AI243" i="2"/>
  <c r="AI242" i="2"/>
  <c r="AI241" i="2"/>
  <c r="AD246" i="2"/>
  <c r="AD245" i="2"/>
  <c r="AD244" i="2"/>
  <c r="AD243" i="2"/>
  <c r="AD242" i="2"/>
  <c r="AD241" i="2"/>
  <c r="Q236" i="2"/>
  <c r="AA495" i="2"/>
  <c r="AB236" i="2" s="1"/>
  <c r="AC236" i="2" s="1"/>
  <c r="AB495" i="2"/>
  <c r="Z495" i="2"/>
  <c r="AA236" i="2" s="1"/>
  <c r="Y495" i="2"/>
  <c r="Z236" i="2" s="1"/>
  <c r="X495" i="2"/>
  <c r="Y236" i="2" s="1"/>
  <c r="W495" i="2"/>
  <c r="X236" i="2" s="1"/>
  <c r="V495" i="2"/>
  <c r="W236" i="2" s="1"/>
  <c r="U495" i="2"/>
  <c r="V236" i="2" s="1"/>
  <c r="T495" i="2"/>
  <c r="U236" i="2" s="1"/>
  <c r="S495" i="2"/>
  <c r="T236" i="2" s="1"/>
  <c r="R495" i="2"/>
  <c r="S236" i="2" s="1"/>
  <c r="Q495" i="2"/>
  <c r="R236" i="2" s="1"/>
  <c r="N495" i="2"/>
  <c r="O236" i="2" s="1"/>
  <c r="O495" i="2"/>
  <c r="P236" i="2" s="1"/>
  <c r="AA238" i="2"/>
  <c r="Z238" i="2"/>
  <c r="Y238" i="2"/>
  <c r="X238" i="2"/>
  <c r="W238" i="2"/>
  <c r="V238" i="2"/>
  <c r="U238" i="2"/>
  <c r="T238" i="2"/>
  <c r="S238" i="2"/>
  <c r="R238" i="2"/>
  <c r="Q238" i="2"/>
  <c r="P238" i="2"/>
  <c r="O238" i="2"/>
  <c r="AB238" i="2"/>
  <c r="AC231" i="2"/>
  <c r="J215" i="2"/>
  <c r="AA215" i="2"/>
  <c r="Z215" i="2"/>
  <c r="Y215" i="2"/>
  <c r="X215" i="2"/>
  <c r="W215" i="2"/>
  <c r="V215" i="2"/>
  <c r="U215" i="2"/>
  <c r="T215" i="2"/>
  <c r="S215" i="2"/>
  <c r="R215" i="2"/>
  <c r="Q215" i="2"/>
  <c r="P215" i="2"/>
  <c r="O215" i="2"/>
  <c r="N215" i="2"/>
  <c r="M215" i="2"/>
  <c r="AB215" i="2"/>
  <c r="AC215" i="2" s="1"/>
  <c r="AB217" i="2"/>
  <c r="AA217" i="2"/>
  <c r="Z217" i="2"/>
  <c r="Y217" i="2"/>
  <c r="X217" i="2"/>
  <c r="W217" i="2"/>
  <c r="V217" i="2"/>
  <c r="U217" i="2"/>
  <c r="T217" i="2"/>
  <c r="S217" i="2"/>
  <c r="R217" i="2"/>
  <c r="Q217" i="2"/>
  <c r="P217" i="2"/>
  <c r="O217" i="2"/>
  <c r="N217" i="2"/>
  <c r="M217" i="2"/>
  <c r="AG202" i="2"/>
  <c r="AL202" i="2" s="1"/>
  <c r="AQ202" i="2" s="1"/>
  <c r="AF202" i="2"/>
  <c r="AK202" i="2" s="1"/>
  <c r="AE202" i="2"/>
  <c r="AC202" i="2"/>
  <c r="AH202" i="2" s="1"/>
  <c r="AA200" i="2"/>
  <c r="AF200" i="2" s="1"/>
  <c r="AK200" i="2" s="1"/>
  <c r="AP200" i="2" s="1"/>
  <c r="Z200" i="2"/>
  <c r="AE200" i="2" s="1"/>
  <c r="Y200" i="2"/>
  <c r="X200" i="2"/>
  <c r="AC200" i="2" s="1"/>
  <c r="W200" i="2"/>
  <c r="V200" i="2"/>
  <c r="U200" i="2"/>
  <c r="T200" i="2"/>
  <c r="S200" i="2"/>
  <c r="R200" i="2"/>
  <c r="Q200" i="2"/>
  <c r="P200" i="2"/>
  <c r="O200" i="2"/>
  <c r="AB200" i="2"/>
  <c r="AG200" i="2" s="1"/>
  <c r="T203" i="2"/>
  <c r="AA203" i="2"/>
  <c r="Z203" i="2"/>
  <c r="Y203" i="2"/>
  <c r="X203" i="2"/>
  <c r="W203" i="2"/>
  <c r="V203" i="2"/>
  <c r="U203" i="2"/>
  <c r="AB203" i="2"/>
  <c r="AA197" i="2"/>
  <c r="Z197" i="2"/>
  <c r="Y197" i="2"/>
  <c r="X197" i="2"/>
  <c r="W197" i="2"/>
  <c r="V197" i="2"/>
  <c r="U197" i="2"/>
  <c r="T197" i="2"/>
  <c r="S197" i="2"/>
  <c r="R197" i="2"/>
  <c r="Q197" i="2"/>
  <c r="P197" i="2"/>
  <c r="O197" i="2"/>
  <c r="AB197" i="2"/>
  <c r="AB196" i="2" s="1"/>
  <c r="AA209" i="2"/>
  <c r="AA212" i="2" s="1"/>
  <c r="Z209" i="2"/>
  <c r="Z212" i="2" s="1"/>
  <c r="Y209" i="2"/>
  <c r="Y212" i="2" s="1"/>
  <c r="X209" i="2"/>
  <c r="X212" i="2" s="1"/>
  <c r="W209" i="2"/>
  <c r="W212" i="2" s="1"/>
  <c r="V209" i="2"/>
  <c r="V212" i="2" s="1"/>
  <c r="U209" i="2"/>
  <c r="U212" i="2" s="1"/>
  <c r="T209" i="2"/>
  <c r="T212" i="2" s="1"/>
  <c r="S209" i="2"/>
  <c r="S212" i="2" s="1"/>
  <c r="R209" i="2"/>
  <c r="R212" i="2" s="1"/>
  <c r="Q209" i="2"/>
  <c r="Q212" i="2" s="1"/>
  <c r="P209" i="2"/>
  <c r="P212" i="2" s="1"/>
  <c r="O209" i="2"/>
  <c r="O212" i="2" s="1"/>
  <c r="N251" i="2"/>
  <c r="M251" i="2"/>
  <c r="L251" i="2"/>
  <c r="K251" i="2"/>
  <c r="AB251" i="2"/>
  <c r="AA251" i="2"/>
  <c r="Z251" i="2"/>
  <c r="Y251" i="2"/>
  <c r="X251" i="2"/>
  <c r="W251" i="2"/>
  <c r="V251" i="2"/>
  <c r="U251" i="2"/>
  <c r="T251" i="2"/>
  <c r="S251" i="2"/>
  <c r="R251" i="2"/>
  <c r="Q251" i="2"/>
  <c r="P251" i="2"/>
  <c r="AB221" i="2"/>
  <c r="AA221" i="2"/>
  <c r="Z221" i="2"/>
  <c r="Y221" i="2"/>
  <c r="X221" i="2"/>
  <c r="W221" i="2"/>
  <c r="V221" i="2"/>
  <c r="U221" i="2"/>
  <c r="T221" i="2"/>
  <c r="S221" i="2"/>
  <c r="R221" i="2"/>
  <c r="Q221" i="2"/>
  <c r="P221" i="2"/>
  <c r="O221" i="2"/>
  <c r="N221" i="2"/>
  <c r="M221" i="2"/>
  <c r="L221" i="2"/>
  <c r="K221" i="2"/>
  <c r="J221" i="2"/>
  <c r="AC222" i="2"/>
  <c r="AE222" i="2" s="1"/>
  <c r="AS206" i="2"/>
  <c r="AN206" i="2"/>
  <c r="AI206" i="2"/>
  <c r="AD206" i="2"/>
  <c r="AM21" i="2" l="1"/>
  <c r="AM47" i="2" s="1"/>
  <c r="AM50" i="2"/>
  <c r="AN46" i="2"/>
  <c r="AN48" i="2" s="1"/>
  <c r="AL74" i="2"/>
  <c r="AJ35" i="26"/>
  <c r="AC235" i="2"/>
  <c r="AE236" i="2"/>
  <c r="U201" i="2"/>
  <c r="V201" i="2"/>
  <c r="W201" i="2"/>
  <c r="AC214" i="2"/>
  <c r="AE215" i="2"/>
  <c r="AD231" i="2"/>
  <c r="AE231" i="2" s="1"/>
  <c r="AF231" i="2" s="1"/>
  <c r="T201" i="2"/>
  <c r="AI202" i="2"/>
  <c r="Y201" i="2"/>
  <c r="Z201" i="2"/>
  <c r="AA201" i="2"/>
  <c r="AM202" i="2"/>
  <c r="AL200" i="2"/>
  <c r="AP202" i="2"/>
  <c r="AH200" i="2"/>
  <c r="X201" i="2"/>
  <c r="AJ202" i="2"/>
  <c r="AD202" i="2"/>
  <c r="AJ200" i="2"/>
  <c r="AB201" i="2"/>
  <c r="AF222" i="2"/>
  <c r="AG222" i="2" s="1"/>
  <c r="AH222" i="2" s="1"/>
  <c r="AJ222" i="2" s="1"/>
  <c r="AD222" i="2"/>
  <c r="AN50" i="2" l="1"/>
  <c r="AM23" i="2"/>
  <c r="AM185" i="2"/>
  <c r="AM187" i="2" s="1"/>
  <c r="AM54" i="2"/>
  <c r="AI39" i="3"/>
  <c r="AM39" i="2"/>
  <c r="AN21" i="2"/>
  <c r="AN47" i="2" s="1"/>
  <c r="AD235" i="2"/>
  <c r="F19" i="31" s="1"/>
  <c r="AC503" i="2"/>
  <c r="AC446" i="2" s="1"/>
  <c r="AD446" i="2" s="1"/>
  <c r="AF236" i="2"/>
  <c r="AD214" i="2"/>
  <c r="AC239" i="2"/>
  <c r="AD239" i="2" s="1"/>
  <c r="AF215" i="2"/>
  <c r="AI203" i="2"/>
  <c r="AG231" i="2"/>
  <c r="AR202" i="2"/>
  <c r="AM200" i="2"/>
  <c r="AQ200" i="2"/>
  <c r="AO200" i="2"/>
  <c r="AD203" i="2"/>
  <c r="AN202" i="2"/>
  <c r="AN203" i="2" s="1"/>
  <c r="AO202" i="2"/>
  <c r="AI222" i="2"/>
  <c r="AK222" i="2"/>
  <c r="AL222" i="2" s="1"/>
  <c r="AM222" i="2" s="1"/>
  <c r="AO222" i="2" s="1"/>
  <c r="AM55" i="2" l="1"/>
  <c r="AN55" i="2" s="1"/>
  <c r="AN56" i="2" s="1"/>
  <c r="AN54" i="2"/>
  <c r="AJ39" i="3"/>
  <c r="AN39" i="2"/>
  <c r="AK34" i="26"/>
  <c r="AK76" i="26" s="1"/>
  <c r="AI31" i="3"/>
  <c r="N16" i="8"/>
  <c r="AM22" i="2"/>
  <c r="AI35" i="3" s="1"/>
  <c r="AN23" i="2"/>
  <c r="AN49" i="2"/>
  <c r="AN185" i="2"/>
  <c r="AN187" i="2" s="1"/>
  <c r="F19" i="6"/>
  <c r="AE547" i="2"/>
  <c r="AE548" i="2" s="1"/>
  <c r="AD495" i="2"/>
  <c r="AE235" i="2" s="1"/>
  <c r="AE503" i="2" s="1"/>
  <c r="AC495" i="2"/>
  <c r="AD236" i="2" s="1"/>
  <c r="AG236" i="2"/>
  <c r="AG215" i="2"/>
  <c r="AS202" i="2"/>
  <c r="AS203" i="2" s="1"/>
  <c r="AH231" i="2"/>
  <c r="AR200" i="2"/>
  <c r="AN222" i="2"/>
  <c r="AP222" i="2"/>
  <c r="AQ222" i="2" s="1"/>
  <c r="AR222" i="2" s="1"/>
  <c r="AS222" i="2" s="1"/>
  <c r="AM57" i="2" l="1"/>
  <c r="AN57" i="2" s="1"/>
  <c r="AM68" i="2"/>
  <c r="AM70" i="2" s="1"/>
  <c r="AL34" i="26"/>
  <c r="AL76" i="26" s="1"/>
  <c r="O16" i="8"/>
  <c r="AJ31" i="3"/>
  <c r="AN22" i="2"/>
  <c r="AJ35" i="3" s="1"/>
  <c r="AN68" i="2"/>
  <c r="AE446" i="2"/>
  <c r="AH236" i="2"/>
  <c r="AH215" i="2"/>
  <c r="AI231" i="2"/>
  <c r="AM59" i="2" l="1"/>
  <c r="AM97" i="2" s="1"/>
  <c r="AN70" i="2"/>
  <c r="AN71" i="2" s="1"/>
  <c r="AM71" i="2"/>
  <c r="AM73" i="2" s="1"/>
  <c r="AO53" i="2"/>
  <c r="AN59" i="2"/>
  <c r="AN97" i="2" s="1"/>
  <c r="AS53" i="2"/>
  <c r="AF547" i="2"/>
  <c r="AF548" i="2" s="1"/>
  <c r="AE495" i="2"/>
  <c r="AF235" i="2" s="1"/>
  <c r="AF503" i="2" s="1"/>
  <c r="AJ236" i="2"/>
  <c r="AJ215" i="2"/>
  <c r="AJ231" i="2"/>
  <c r="AN95" i="2" l="1"/>
  <c r="AN102" i="2"/>
  <c r="AM95" i="2"/>
  <c r="AM102" i="2"/>
  <c r="AI46" i="3"/>
  <c r="N15" i="8"/>
  <c r="AM60" i="2"/>
  <c r="AO46" i="2"/>
  <c r="AM74" i="2"/>
  <c r="AK35" i="26"/>
  <c r="AK77" i="26"/>
  <c r="AN73" i="2"/>
  <c r="AL35" i="26" s="1"/>
  <c r="AO67" i="2"/>
  <c r="AS67" i="2"/>
  <c r="AF446" i="2"/>
  <c r="AK236" i="2"/>
  <c r="AK215" i="2"/>
  <c r="AK231" i="2"/>
  <c r="AO50" i="2" l="1"/>
  <c r="AO21" i="2"/>
  <c r="AO47" i="2" s="1"/>
  <c r="AG547" i="2"/>
  <c r="AF495" i="2"/>
  <c r="AG235" i="2" s="1"/>
  <c r="AL236" i="2"/>
  <c r="AL215" i="2"/>
  <c r="AL231" i="2"/>
  <c r="AO54" i="2" l="1"/>
  <c r="AO39" i="2"/>
  <c r="AK39" i="3"/>
  <c r="AO185" i="2"/>
  <c r="AO187" i="2" s="1"/>
  <c r="AO23" i="2"/>
  <c r="AG503" i="2"/>
  <c r="AG548" i="2"/>
  <c r="AM236" i="2"/>
  <c r="AM215" i="2"/>
  <c r="AM231" i="2"/>
  <c r="AM34" i="26" l="1"/>
  <c r="AM76" i="26" s="1"/>
  <c r="P16" i="8"/>
  <c r="AK31" i="3"/>
  <c r="AO22" i="2"/>
  <c r="AK35" i="3" s="1"/>
  <c r="AO55" i="2"/>
  <c r="AO57" i="2" s="1"/>
  <c r="AG446" i="2"/>
  <c r="AO236" i="2"/>
  <c r="AO215" i="2"/>
  <c r="AN231" i="2"/>
  <c r="AO68" i="2" l="1"/>
  <c r="AO70" i="2" s="1"/>
  <c r="AO71" i="2" s="1"/>
  <c r="AP67" i="2" s="1"/>
  <c r="AP53" i="2"/>
  <c r="AO59" i="2"/>
  <c r="AO97" i="2" s="1"/>
  <c r="AG495" i="2"/>
  <c r="AH235" i="2" s="1"/>
  <c r="AH547" i="2"/>
  <c r="AP236" i="2"/>
  <c r="AP215" i="2"/>
  <c r="AO231" i="2"/>
  <c r="AO95" i="2" l="1"/>
  <c r="AO102" i="2"/>
  <c r="AO73" i="2"/>
  <c r="AO74" i="2" s="1"/>
  <c r="AO61" i="2"/>
  <c r="P15" i="8"/>
  <c r="AK46" i="3"/>
  <c r="AO60" i="2"/>
  <c r="AP46" i="2"/>
  <c r="AH548" i="2"/>
  <c r="AI547" i="2"/>
  <c r="G20" i="31" s="1"/>
  <c r="AH503" i="2"/>
  <c r="AI235" i="2"/>
  <c r="G19" i="31" s="1"/>
  <c r="AQ236" i="2"/>
  <c r="AQ215" i="2"/>
  <c r="AP231" i="2"/>
  <c r="AM77" i="26" l="1"/>
  <c r="AM35" i="26"/>
  <c r="AP50" i="2"/>
  <c r="AP21" i="2"/>
  <c r="G20" i="6"/>
  <c r="G19" i="6"/>
  <c r="AI548" i="2"/>
  <c r="AH446" i="2"/>
  <c r="AI576" i="2" s="1"/>
  <c r="AI503" i="2"/>
  <c r="AR236" i="2"/>
  <c r="AR215" i="2"/>
  <c r="AQ231" i="2"/>
  <c r="AP185" i="2" l="1"/>
  <c r="AP187" i="2" s="1"/>
  <c r="AP23" i="2"/>
  <c r="AP54" i="2"/>
  <c r="AP39" i="2"/>
  <c r="AL39" i="3"/>
  <c r="AP47" i="2"/>
  <c r="AH495" i="2"/>
  <c r="AI236" i="2" s="1"/>
  <c r="AI446" i="2"/>
  <c r="AR231" i="2"/>
  <c r="AP55" i="2" l="1"/>
  <c r="AP57" i="2" s="1"/>
  <c r="AP22" i="2"/>
  <c r="AL35" i="3" s="1"/>
  <c r="Q16" i="8"/>
  <c r="AN34" i="26"/>
  <c r="AN76" i="26" s="1"/>
  <c r="AL31" i="3"/>
  <c r="AJ547" i="2"/>
  <c r="AI495" i="2"/>
  <c r="AJ235" i="2" s="1"/>
  <c r="AS231" i="2"/>
  <c r="C11" i="31" s="1"/>
  <c r="K35" i="31" l="1"/>
  <c r="G35" i="31"/>
  <c r="AP68" i="2"/>
  <c r="AP70" i="2" s="1"/>
  <c r="AQ53" i="2"/>
  <c r="AP59" i="2"/>
  <c r="AP97" i="2" s="1"/>
  <c r="C11" i="6"/>
  <c r="AJ503" i="2"/>
  <c r="AJ548" i="2"/>
  <c r="AP95" i="2" l="1"/>
  <c r="AP102" i="2"/>
  <c r="AP71" i="2"/>
  <c r="AP61" i="2"/>
  <c r="Q15" i="8"/>
  <c r="AL46" i="3"/>
  <c r="AP60" i="2"/>
  <c r="AQ46" i="2"/>
  <c r="G35" i="28"/>
  <c r="K35" i="28"/>
  <c r="AJ446" i="2"/>
  <c r="K198" i="2"/>
  <c r="AB198" i="2"/>
  <c r="AA198" i="2"/>
  <c r="Z198" i="2"/>
  <c r="Y198" i="2"/>
  <c r="X198" i="2"/>
  <c r="W198" i="2"/>
  <c r="V198" i="2"/>
  <c r="U198" i="2"/>
  <c r="T198" i="2"/>
  <c r="S198" i="2"/>
  <c r="R198" i="2"/>
  <c r="Q198" i="2"/>
  <c r="P198" i="2"/>
  <c r="O198" i="2"/>
  <c r="N198" i="2"/>
  <c r="M198" i="2"/>
  <c r="L198" i="2"/>
  <c r="AA207" i="2"/>
  <c r="Z207" i="2"/>
  <c r="Y207" i="2"/>
  <c r="X207" i="2"/>
  <c r="W207" i="2"/>
  <c r="V207" i="2"/>
  <c r="U207" i="2"/>
  <c r="T207" i="2"/>
  <c r="S207" i="2"/>
  <c r="R207" i="2"/>
  <c r="Q207" i="2"/>
  <c r="P207" i="2"/>
  <c r="O207" i="2"/>
  <c r="N207" i="2"/>
  <c r="M207" i="2"/>
  <c r="L207" i="2"/>
  <c r="K207" i="2"/>
  <c r="AB205" i="2"/>
  <c r="AA205" i="2"/>
  <c r="Z205" i="2"/>
  <c r="Y205" i="2"/>
  <c r="X205" i="2"/>
  <c r="W205" i="2"/>
  <c r="V205" i="2"/>
  <c r="U205" i="2"/>
  <c r="T205" i="2"/>
  <c r="S205" i="2"/>
  <c r="R205" i="2"/>
  <c r="Q205" i="2"/>
  <c r="P205" i="2"/>
  <c r="O205" i="2"/>
  <c r="N205" i="2"/>
  <c r="M205" i="2"/>
  <c r="L205" i="2"/>
  <c r="K205" i="2"/>
  <c r="AB276" i="2"/>
  <c r="E40" i="24"/>
  <c r="D40" i="24"/>
  <c r="D38" i="24"/>
  <c r="D22" i="24"/>
  <c r="D8" i="24"/>
  <c r="D11" i="24" s="1"/>
  <c r="D18" i="24" s="1"/>
  <c r="AQ67" i="2" l="1"/>
  <c r="AP73" i="2"/>
  <c r="AQ50" i="2"/>
  <c r="AQ21" i="2"/>
  <c r="AQ47" i="2" s="1"/>
  <c r="AK547" i="2"/>
  <c r="AJ495" i="2"/>
  <c r="AK235" i="2" s="1"/>
  <c r="D43" i="24"/>
  <c r="D44" i="24" s="1"/>
  <c r="D13" i="24"/>
  <c r="D20" i="24"/>
  <c r="D23" i="24" s="1"/>
  <c r="D24" i="24" s="1"/>
  <c r="Y103" i="2"/>
  <c r="T103" i="2"/>
  <c r="AQ54" i="2" l="1"/>
  <c r="AQ39" i="2"/>
  <c r="AM39" i="3"/>
  <c r="AP74" i="2"/>
  <c r="AN35" i="26"/>
  <c r="AN77" i="26"/>
  <c r="AQ185" i="2"/>
  <c r="AQ187" i="2" s="1"/>
  <c r="AQ23" i="2"/>
  <c r="AJ78" i="26"/>
  <c r="AJ82" i="26" s="1"/>
  <c r="AJ85" i="26" s="1"/>
  <c r="AB78" i="26"/>
  <c r="AB82" i="26" s="1"/>
  <c r="AB85" i="26" s="1"/>
  <c r="T78" i="26"/>
  <c r="T82" i="26" s="1"/>
  <c r="T85" i="26" s="1"/>
  <c r="L78" i="26"/>
  <c r="L82" i="26" s="1"/>
  <c r="L85" i="26" s="1"/>
  <c r="D78" i="26"/>
  <c r="D82" i="26" s="1"/>
  <c r="D85" i="26" s="1"/>
  <c r="AK78" i="26"/>
  <c r="AK82" i="26" s="1"/>
  <c r="AK85" i="26" s="1"/>
  <c r="E78" i="26"/>
  <c r="E82" i="26" s="1"/>
  <c r="E85" i="26" s="1"/>
  <c r="AQ78" i="26"/>
  <c r="AI78" i="26"/>
  <c r="AI82" i="26" s="1"/>
  <c r="AI85" i="26" s="1"/>
  <c r="AA78" i="26"/>
  <c r="AA82" i="26" s="1"/>
  <c r="AA85" i="26" s="1"/>
  <c r="S78" i="26"/>
  <c r="S82" i="26" s="1"/>
  <c r="S85" i="26" s="1"/>
  <c r="K78" i="26"/>
  <c r="K82" i="26" s="1"/>
  <c r="K85" i="26" s="1"/>
  <c r="C78" i="26"/>
  <c r="C82" i="26" s="1"/>
  <c r="C85" i="26" s="1"/>
  <c r="M78" i="26"/>
  <c r="M82" i="26" s="1"/>
  <c r="M85" i="26" s="1"/>
  <c r="AP78" i="26"/>
  <c r="AH78" i="26"/>
  <c r="AH82" i="26" s="1"/>
  <c r="AH85" i="26" s="1"/>
  <c r="Z78" i="26"/>
  <c r="Z82" i="26" s="1"/>
  <c r="Z85" i="26" s="1"/>
  <c r="R78" i="26"/>
  <c r="R82" i="26" s="1"/>
  <c r="R85" i="26" s="1"/>
  <c r="J78" i="26"/>
  <c r="J82" i="26" s="1"/>
  <c r="J85" i="26" s="1"/>
  <c r="U78" i="26"/>
  <c r="U82" i="26" s="1"/>
  <c r="U85" i="26" s="1"/>
  <c r="AO78" i="26"/>
  <c r="AG78" i="26"/>
  <c r="Y78" i="26"/>
  <c r="Y82" i="26" s="1"/>
  <c r="Y85" i="26" s="1"/>
  <c r="Q78" i="26"/>
  <c r="Q82" i="26" s="1"/>
  <c r="Q85" i="26" s="1"/>
  <c r="I78" i="26"/>
  <c r="I82" i="26" s="1"/>
  <c r="I85" i="26" s="1"/>
  <c r="AC78" i="26"/>
  <c r="AN78" i="26"/>
  <c r="AF78" i="26"/>
  <c r="X78" i="26"/>
  <c r="X82" i="26" s="1"/>
  <c r="X85" i="26" s="1"/>
  <c r="P78" i="26"/>
  <c r="P82" i="26" s="1"/>
  <c r="P85" i="26" s="1"/>
  <c r="H78" i="26"/>
  <c r="H82" i="26" s="1"/>
  <c r="H85" i="26" s="1"/>
  <c r="AM78" i="26"/>
  <c r="AM82" i="26" s="1"/>
  <c r="AM85" i="26" s="1"/>
  <c r="AE78" i="26"/>
  <c r="W78" i="26"/>
  <c r="W82" i="26" s="1"/>
  <c r="W85" i="26" s="1"/>
  <c r="O78" i="26"/>
  <c r="O82" i="26" s="1"/>
  <c r="O85" i="26" s="1"/>
  <c r="G78" i="26"/>
  <c r="G82" i="26" s="1"/>
  <c r="G85" i="26" s="1"/>
  <c r="AL78" i="26"/>
  <c r="AD78" i="26"/>
  <c r="V78" i="26"/>
  <c r="V82" i="26" s="1"/>
  <c r="V85" i="26" s="1"/>
  <c r="N78" i="26"/>
  <c r="N82" i="26" s="1"/>
  <c r="N85" i="26" s="1"/>
  <c r="F78" i="26"/>
  <c r="F82" i="26" s="1"/>
  <c r="F85" i="26" s="1"/>
  <c r="T177" i="2"/>
  <c r="T179" i="2" s="1"/>
  <c r="T191" i="2" s="1"/>
  <c r="R22" i="26"/>
  <c r="R63" i="26" s="1"/>
  <c r="AK36" i="26"/>
  <c r="AJ36" i="26"/>
  <c r="AB36" i="26"/>
  <c r="T36" i="26"/>
  <c r="L36" i="26"/>
  <c r="D36" i="26"/>
  <c r="AQ36" i="26"/>
  <c r="AI36" i="26"/>
  <c r="AA36" i="26"/>
  <c r="S36" i="26"/>
  <c r="K36" i="26"/>
  <c r="C36" i="26"/>
  <c r="AP36" i="26"/>
  <c r="AH36" i="26"/>
  <c r="Z36" i="26"/>
  <c r="R36" i="26"/>
  <c r="J36" i="26"/>
  <c r="AG36" i="26"/>
  <c r="Y36" i="26"/>
  <c r="AO36" i="26"/>
  <c r="AN36" i="26"/>
  <c r="AF36" i="26"/>
  <c r="X36" i="26"/>
  <c r="P36" i="26"/>
  <c r="H36" i="26"/>
  <c r="AM36" i="26"/>
  <c r="AE36" i="26"/>
  <c r="W36" i="26"/>
  <c r="O36" i="26"/>
  <c r="G36" i="26"/>
  <c r="AL36" i="26"/>
  <c r="AD36" i="26"/>
  <c r="V36" i="26"/>
  <c r="N36" i="26"/>
  <c r="F36" i="26"/>
  <c r="AC36" i="26"/>
  <c r="U36" i="26"/>
  <c r="E36" i="26"/>
  <c r="Q36" i="26"/>
  <c r="M36" i="26"/>
  <c r="I36" i="26"/>
  <c r="Y177" i="2"/>
  <c r="Y189" i="2" s="1"/>
  <c r="W22" i="26"/>
  <c r="W63" i="26" s="1"/>
  <c r="T106" i="2"/>
  <c r="T122" i="2" s="1"/>
  <c r="T105" i="2"/>
  <c r="Y106" i="2"/>
  <c r="Y105" i="2"/>
  <c r="AK503" i="2"/>
  <c r="AK548" i="2"/>
  <c r="D46" i="24"/>
  <c r="D47" i="24" s="1"/>
  <c r="D49" i="24" s="1"/>
  <c r="D50" i="24" s="1"/>
  <c r="D27" i="24"/>
  <c r="D29" i="24" s="1"/>
  <c r="Y122" i="2" l="1"/>
  <c r="Y123" i="2" s="1"/>
  <c r="C64" i="30"/>
  <c r="C65" i="30" s="1"/>
  <c r="C67" i="30" s="1"/>
  <c r="C78" i="30" s="1"/>
  <c r="AN82" i="26"/>
  <c r="AN85" i="26" s="1"/>
  <c r="AO34" i="26"/>
  <c r="AO76" i="26" s="1"/>
  <c r="R16" i="8"/>
  <c r="AM31" i="3"/>
  <c r="AQ22" i="2"/>
  <c r="AM35" i="3" s="1"/>
  <c r="AQ55" i="2"/>
  <c r="AQ57" i="2" s="1"/>
  <c r="T123" i="2"/>
  <c r="T125" i="2"/>
  <c r="T189" i="2"/>
  <c r="T190" i="2" s="1"/>
  <c r="Y179" i="2"/>
  <c r="Y191" i="2" s="1"/>
  <c r="Y190" i="2" s="1"/>
  <c r="W69" i="26"/>
  <c r="W72" i="26" s="1"/>
  <c r="R69" i="26"/>
  <c r="R72" i="26" s="1"/>
  <c r="W27" i="26"/>
  <c r="W30" i="26" s="1"/>
  <c r="R27" i="26"/>
  <c r="R30" i="26" s="1"/>
  <c r="AF40" i="26"/>
  <c r="AF43" i="26" s="1"/>
  <c r="F40" i="26"/>
  <c r="F43" i="26" s="1"/>
  <c r="AE40" i="26"/>
  <c r="AE43" i="26" s="1"/>
  <c r="Y40" i="26"/>
  <c r="Y43" i="26" s="1"/>
  <c r="K40" i="26"/>
  <c r="K43" i="26" s="1"/>
  <c r="AB40" i="26"/>
  <c r="AB43" i="26" s="1"/>
  <c r="G40" i="26"/>
  <c r="G43" i="26" s="1"/>
  <c r="N40" i="26"/>
  <c r="N43" i="26" s="1"/>
  <c r="AM40" i="26"/>
  <c r="AM43" i="26" s="1"/>
  <c r="AG40" i="26"/>
  <c r="AG43" i="26" s="1"/>
  <c r="S40" i="26"/>
  <c r="S43" i="26" s="1"/>
  <c r="AJ40" i="26"/>
  <c r="AJ43" i="26" s="1"/>
  <c r="D40" i="26"/>
  <c r="D43" i="26" s="1"/>
  <c r="L40" i="26"/>
  <c r="L43" i="26" s="1"/>
  <c r="AC40" i="26"/>
  <c r="AC43" i="26" s="1"/>
  <c r="W40" i="26"/>
  <c r="W43" i="26" s="1"/>
  <c r="V40" i="26"/>
  <c r="V43" i="26" s="1"/>
  <c r="J40" i="26"/>
  <c r="J43" i="26" s="1"/>
  <c r="AA40" i="26"/>
  <c r="AA43" i="26" s="1"/>
  <c r="AK40" i="26"/>
  <c r="AK43" i="26" s="1"/>
  <c r="E40" i="26"/>
  <c r="E43" i="26" s="1"/>
  <c r="AN40" i="26"/>
  <c r="AN43" i="26" s="1"/>
  <c r="C40" i="26"/>
  <c r="C43" i="26" s="1"/>
  <c r="I40" i="26"/>
  <c r="I43" i="26" s="1"/>
  <c r="AD40" i="26"/>
  <c r="AD43" i="26" s="1"/>
  <c r="AH40" i="26"/>
  <c r="AH43" i="26" s="1"/>
  <c r="U40" i="26"/>
  <c r="U43" i="26" s="1"/>
  <c r="O40" i="26"/>
  <c r="O43" i="26" s="1"/>
  <c r="T40" i="26"/>
  <c r="T43" i="26" s="1"/>
  <c r="H40" i="26"/>
  <c r="H43" i="26" s="1"/>
  <c r="M40" i="26"/>
  <c r="M43" i="26" s="1"/>
  <c r="P40" i="26"/>
  <c r="P43" i="26" s="1"/>
  <c r="R40" i="26"/>
  <c r="R43" i="26" s="1"/>
  <c r="AI40" i="26"/>
  <c r="AI43" i="26" s="1"/>
  <c r="Q40" i="26"/>
  <c r="Q43" i="26" s="1"/>
  <c r="AL40" i="26"/>
  <c r="AL43" i="26" s="1"/>
  <c r="X40" i="26"/>
  <c r="X43" i="26" s="1"/>
  <c r="Z40" i="26"/>
  <c r="Z43" i="26" s="1"/>
  <c r="Y107" i="2"/>
  <c r="T107" i="2"/>
  <c r="AK446" i="2"/>
  <c r="Y125" i="2" l="1"/>
  <c r="AD126" i="2" s="1"/>
  <c r="AQ68" i="2"/>
  <c r="AQ70" i="2" s="1"/>
  <c r="AR53" i="2"/>
  <c r="AQ59" i="2"/>
  <c r="AQ97" i="2" s="1"/>
  <c r="T129" i="2"/>
  <c r="T126" i="2"/>
  <c r="AK495" i="2"/>
  <c r="AL235" i="2" s="1"/>
  <c r="AL547" i="2"/>
  <c r="Y129" i="2" l="1"/>
  <c r="Y126" i="2"/>
  <c r="AQ95" i="2"/>
  <c r="AQ102" i="2"/>
  <c r="AR46" i="2"/>
  <c r="AQ60" i="2"/>
  <c r="AQ61" i="2"/>
  <c r="AM46" i="3"/>
  <c r="R15" i="8"/>
  <c r="AQ71" i="2"/>
  <c r="AL548" i="2"/>
  <c r="AL503" i="2"/>
  <c r="H4" i="23"/>
  <c r="F4" i="23"/>
  <c r="E4" i="23"/>
  <c r="D4" i="23"/>
  <c r="AR67" i="2" l="1"/>
  <c r="AQ73" i="2"/>
  <c r="AR50" i="2"/>
  <c r="AR21" i="2"/>
  <c r="AR47" i="2" s="1"/>
  <c r="AS46" i="2"/>
  <c r="AL446" i="2"/>
  <c r="AQ74" i="2" l="1"/>
  <c r="AO35" i="26"/>
  <c r="AO40" i="26" s="1"/>
  <c r="AO43" i="26" s="1"/>
  <c r="AO77" i="26"/>
  <c r="AO82" i="26" s="1"/>
  <c r="AO85" i="26" s="1"/>
  <c r="AS48" i="2"/>
  <c r="AR54" i="2"/>
  <c r="AR39" i="2"/>
  <c r="AN39" i="3"/>
  <c r="AS21" i="2"/>
  <c r="AS47" i="2" s="1"/>
  <c r="AS50" i="2"/>
  <c r="AR23" i="2"/>
  <c r="AR185" i="2"/>
  <c r="AR187" i="2" s="1"/>
  <c r="AL495" i="2"/>
  <c r="AM235" i="2" s="1"/>
  <c r="AM547" i="2"/>
  <c r="AR55" i="2" l="1"/>
  <c r="AS55" i="2" s="1"/>
  <c r="AS56" i="2" s="1"/>
  <c r="AS54" i="2"/>
  <c r="AN31" i="3"/>
  <c r="S16" i="8"/>
  <c r="AR22" i="2"/>
  <c r="AN35" i="3" s="1"/>
  <c r="AP34" i="26"/>
  <c r="AP76" i="26" s="1"/>
  <c r="AS23" i="2"/>
  <c r="AS49" i="2"/>
  <c r="AS185" i="2"/>
  <c r="AS187" i="2" s="1"/>
  <c r="AO39" i="3"/>
  <c r="AS39" i="2"/>
  <c r="AM548" i="2"/>
  <c r="AN547" i="2"/>
  <c r="H20" i="31" s="1"/>
  <c r="AM503" i="2"/>
  <c r="AN235" i="2"/>
  <c r="H19" i="31" s="1"/>
  <c r="AR57" i="2" l="1"/>
  <c r="AS57" i="2" s="1"/>
  <c r="AS59" i="2" s="1"/>
  <c r="AS97" i="2" s="1"/>
  <c r="AR68" i="2"/>
  <c r="AR70" i="2" s="1"/>
  <c r="AQ34" i="26"/>
  <c r="AQ76" i="26" s="1"/>
  <c r="T16" i="8"/>
  <c r="AO31" i="3"/>
  <c r="AS22" i="2"/>
  <c r="AO35" i="3" s="1"/>
  <c r="H19" i="6"/>
  <c r="H20" i="6"/>
  <c r="AN548" i="2"/>
  <c r="AM446" i="2"/>
  <c r="AN576" i="2" s="1"/>
  <c r="AN503" i="2"/>
  <c r="E1" i="23"/>
  <c r="M3" i="23"/>
  <c r="K3" i="23"/>
  <c r="J3" i="23"/>
  <c r="I3" i="23"/>
  <c r="T275" i="2"/>
  <c r="U275" i="2" s="1"/>
  <c r="V275" i="2" s="1"/>
  <c r="W275" i="2" s="1"/>
  <c r="X275" i="2" s="1"/>
  <c r="Y275" i="2" s="1"/>
  <c r="Z275" i="2" s="1"/>
  <c r="AA275" i="2" s="1"/>
  <c r="E158" i="2"/>
  <c r="D158" i="2"/>
  <c r="C158" i="2"/>
  <c r="C419" i="2"/>
  <c r="C421" i="2" s="1"/>
  <c r="C411" i="2"/>
  <c r="C412" i="2" s="1"/>
  <c r="C401" i="2"/>
  <c r="C403" i="2" s="1"/>
  <c r="C385" i="2"/>
  <c r="C387" i="2" s="1"/>
  <c r="C366" i="2"/>
  <c r="C368" i="2" s="1"/>
  <c r="C337" i="2"/>
  <c r="C338" i="2" s="1"/>
  <c r="C4" i="2"/>
  <c r="D419" i="2"/>
  <c r="D420" i="2" s="1"/>
  <c r="D411" i="2"/>
  <c r="D413" i="2" s="1"/>
  <c r="D401" i="2"/>
  <c r="D402" i="2" s="1"/>
  <c r="D385" i="2"/>
  <c r="D386" i="2" s="1"/>
  <c r="D366" i="2"/>
  <c r="D368" i="2" s="1"/>
  <c r="D337" i="2"/>
  <c r="D338" i="2" s="1"/>
  <c r="D4" i="2"/>
  <c r="E419" i="2"/>
  <c r="E421" i="2" s="1"/>
  <c r="E411" i="2"/>
  <c r="E413" i="2" s="1"/>
  <c r="E401" i="2"/>
  <c r="E403" i="2" s="1"/>
  <c r="E385" i="2"/>
  <c r="E387" i="2" s="1"/>
  <c r="E366" i="2"/>
  <c r="E368" i="2" s="1"/>
  <c r="E337" i="2"/>
  <c r="E339" i="2" s="1"/>
  <c r="E4" i="2"/>
  <c r="C2" i="26" s="1"/>
  <c r="C47" i="26" s="1"/>
  <c r="C98" i="26" s="1"/>
  <c r="E11" i="23" a="1"/>
  <c r="E6" i="23" a="1"/>
  <c r="E8" i="23" a="1"/>
  <c r="C316" i="2" a="1"/>
  <c r="C298" i="2" a="1"/>
  <c r="C282" i="2" a="1"/>
  <c r="D377" i="2"/>
  <c r="D317" i="2" a="1"/>
  <c r="D391" i="2"/>
  <c r="C296" i="2" a="1"/>
  <c r="C330" i="2" a="1"/>
  <c r="C414" i="2"/>
  <c r="D315" i="2" a="1"/>
  <c r="D316" i="2" a="1"/>
  <c r="D361" i="2"/>
  <c r="E110" i="2" a="1"/>
  <c r="C287" i="2" a="1"/>
  <c r="C318" i="2" a="1"/>
  <c r="D292" i="2" a="1"/>
  <c r="D295" i="2" a="1"/>
  <c r="D281" i="2" a="1"/>
  <c r="D404" i="2"/>
  <c r="E330" i="2" a="1"/>
  <c r="E295" i="2" a="1"/>
  <c r="E407" i="2"/>
  <c r="E62" i="2" a="1"/>
  <c r="C281" i="2" a="1"/>
  <c r="C314" i="2" a="1"/>
  <c r="D322" i="2" a="1"/>
  <c r="D285" i="2" a="1"/>
  <c r="D318" i="2" a="1"/>
  <c r="E323" i="2" a="1"/>
  <c r="E322" i="2" a="1"/>
  <c r="E285" i="2" a="1"/>
  <c r="E357" i="2"/>
  <c r="E361" i="2"/>
  <c r="E315" i="2" a="1"/>
  <c r="E28" i="2" a="1"/>
  <c r="C329" i="2" a="1"/>
  <c r="C293" i="2" a="1"/>
  <c r="D287" i="2" a="1"/>
  <c r="D323" i="2" a="1"/>
  <c r="D314" i="2" a="1"/>
  <c r="E317" i="2" a="1"/>
  <c r="E316" i="2" a="1"/>
  <c r="E314" i="2" a="1"/>
  <c r="E293" i="2" a="1"/>
  <c r="E422" i="2"/>
  <c r="E282" i="2" a="1"/>
  <c r="E391" i="2"/>
  <c r="E370" i="2"/>
  <c r="E27" i="2" a="1"/>
  <c r="C315" i="2" a="1"/>
  <c r="C284" i="2" a="1"/>
  <c r="D296" i="2" a="1"/>
  <c r="D282" i="2" a="1"/>
  <c r="D293" i="2" a="1"/>
  <c r="E298" i="2" a="1"/>
  <c r="E296" i="2" a="1"/>
  <c r="E284" i="2" a="1"/>
  <c r="E329" i="2" a="1"/>
  <c r="D341" i="2"/>
  <c r="E281" i="2" a="1"/>
  <c r="E377" i="2"/>
  <c r="C323" i="2" a="1"/>
  <c r="C295" i="2" a="1"/>
  <c r="C317" i="2" a="1"/>
  <c r="D329" i="2" a="1"/>
  <c r="D330" i="2" a="1"/>
  <c r="D284" i="2" a="1"/>
  <c r="E292" i="2" a="1"/>
  <c r="E287" i="2" a="1"/>
  <c r="E341" i="2"/>
  <c r="E349" i="2"/>
  <c r="E373" i="2"/>
  <c r="C322" i="2" a="1"/>
  <c r="C285" i="2" a="1"/>
  <c r="C292" i="2" a="1"/>
  <c r="D422" i="2"/>
  <c r="D298" i="2" a="1"/>
  <c r="E318" i="2" a="1"/>
  <c r="E414" i="2"/>
  <c r="AS95" i="2" l="1"/>
  <c r="AS102" i="2"/>
  <c r="E11" i="23"/>
  <c r="AS68" i="2"/>
  <c r="AR59" i="2"/>
  <c r="AS70" i="2"/>
  <c r="AS71" i="2" s="1"/>
  <c r="AS73" i="2" s="1"/>
  <c r="AQ35" i="26" s="1"/>
  <c r="AQ40" i="26" s="1"/>
  <c r="AQ43" i="26" s="1"/>
  <c r="AR71" i="2"/>
  <c r="AR73" i="2" s="1"/>
  <c r="E8" i="23"/>
  <c r="E6" i="23"/>
  <c r="O159" i="2"/>
  <c r="J159" i="2"/>
  <c r="J217" i="2"/>
  <c r="E110" i="2"/>
  <c r="E62" i="2"/>
  <c r="E63" i="2" s="1"/>
  <c r="E27" i="2"/>
  <c r="E28" i="2"/>
  <c r="AM495" i="2"/>
  <c r="AN236" i="2" s="1"/>
  <c r="AN446" i="2"/>
  <c r="N3" i="23"/>
  <c r="I4" i="23"/>
  <c r="O3" i="23"/>
  <c r="J4" i="23"/>
  <c r="P3" i="23"/>
  <c r="K4" i="23"/>
  <c r="R3" i="23"/>
  <c r="M4" i="23"/>
  <c r="J205" i="2"/>
  <c r="J207" i="2"/>
  <c r="J198" i="2"/>
  <c r="F1" i="23"/>
  <c r="D387" i="2"/>
  <c r="C413" i="2"/>
  <c r="D403" i="2"/>
  <c r="C339" i="2"/>
  <c r="D339" i="2"/>
  <c r="C420" i="2"/>
  <c r="D421" i="2"/>
  <c r="C386" i="2"/>
  <c r="C402" i="2"/>
  <c r="C416" i="2"/>
  <c r="C415" i="2"/>
  <c r="C282" i="2"/>
  <c r="C292" i="2"/>
  <c r="C317" i="2"/>
  <c r="C284" i="2"/>
  <c r="C293" i="2"/>
  <c r="C314" i="2"/>
  <c r="C318" i="2"/>
  <c r="C330" i="2"/>
  <c r="C298" i="2"/>
  <c r="C285" i="2"/>
  <c r="C295" i="2"/>
  <c r="C315" i="2"/>
  <c r="C329" i="2"/>
  <c r="C281" i="2"/>
  <c r="C287" i="2"/>
  <c r="C296" i="2"/>
  <c r="C316" i="2"/>
  <c r="C322" i="2"/>
  <c r="C323" i="2"/>
  <c r="C367" i="2"/>
  <c r="D406" i="2"/>
  <c r="D405" i="2"/>
  <c r="D362" i="2"/>
  <c r="D363" i="2"/>
  <c r="D393" i="2"/>
  <c r="D392" i="2"/>
  <c r="D298" i="2"/>
  <c r="D284" i="2"/>
  <c r="D293" i="2"/>
  <c r="D314" i="2"/>
  <c r="D318" i="2"/>
  <c r="D281" i="2"/>
  <c r="D316" i="2"/>
  <c r="D317" i="2"/>
  <c r="D343" i="2"/>
  <c r="D342" i="2"/>
  <c r="D330" i="2"/>
  <c r="D282" i="2"/>
  <c r="D323" i="2"/>
  <c r="D285" i="2"/>
  <c r="D295" i="2"/>
  <c r="D315" i="2"/>
  <c r="D378" i="2"/>
  <c r="D379" i="2"/>
  <c r="D424" i="2"/>
  <c r="D423" i="2"/>
  <c r="D329" i="2"/>
  <c r="D296" i="2"/>
  <c r="D287" i="2"/>
  <c r="D322" i="2"/>
  <c r="D292" i="2"/>
  <c r="D367" i="2"/>
  <c r="D412" i="2"/>
  <c r="E420" i="2"/>
  <c r="E367" i="2"/>
  <c r="E386" i="2"/>
  <c r="E416" i="2"/>
  <c r="E415" i="2"/>
  <c r="E351" i="2"/>
  <c r="E350" i="2"/>
  <c r="E329" i="2"/>
  <c r="E424" i="2"/>
  <c r="E423" i="2"/>
  <c r="E293" i="2"/>
  <c r="E358" i="2"/>
  <c r="E359" i="2"/>
  <c r="E408" i="2"/>
  <c r="E409" i="2"/>
  <c r="E318" i="2"/>
  <c r="E363" i="2"/>
  <c r="E362" i="2"/>
  <c r="E343" i="2"/>
  <c r="E342" i="2"/>
  <c r="E284" i="2"/>
  <c r="E314" i="2"/>
  <c r="E285" i="2"/>
  <c r="E295" i="2"/>
  <c r="E315" i="2"/>
  <c r="E379" i="2"/>
  <c r="E378" i="2"/>
  <c r="E281" i="2"/>
  <c r="E287" i="2"/>
  <c r="E296" i="2"/>
  <c r="E316" i="2"/>
  <c r="E322" i="2"/>
  <c r="E330" i="2"/>
  <c r="E393" i="2"/>
  <c r="E392" i="2"/>
  <c r="E282" i="2"/>
  <c r="E292" i="2"/>
  <c r="E298" i="2"/>
  <c r="E317" i="2"/>
  <c r="E323" i="2"/>
  <c r="E412" i="2"/>
  <c r="E338" i="2"/>
  <c r="E402" i="2"/>
  <c r="F11" i="23" a="1"/>
  <c r="F6" i="23" a="1"/>
  <c r="F8" i="23" a="1"/>
  <c r="C345" i="2"/>
  <c r="C373" i="2"/>
  <c r="D407" i="2"/>
  <c r="C407" i="2"/>
  <c r="C425" i="2"/>
  <c r="E425" i="2"/>
  <c r="C377" i="2"/>
  <c r="C422" i="2"/>
  <c r="D414" i="2"/>
  <c r="C341" i="2"/>
  <c r="C349" i="2"/>
  <c r="D395" i="2"/>
  <c r="E345" i="2"/>
  <c r="D370" i="2"/>
  <c r="D357" i="2"/>
  <c r="D353" i="2"/>
  <c r="C357" i="2"/>
  <c r="C395" i="2"/>
  <c r="D381" i="2"/>
  <c r="E395" i="2"/>
  <c r="C361" i="2"/>
  <c r="C353" i="2"/>
  <c r="D425" i="2"/>
  <c r="C404" i="2"/>
  <c r="C391" i="2"/>
  <c r="D349" i="2"/>
  <c r="C370" i="2"/>
  <c r="C381" i="2"/>
  <c r="D345" i="2"/>
  <c r="E404" i="2"/>
  <c r="E381" i="2"/>
  <c r="D373" i="2"/>
  <c r="E353" i="2"/>
  <c r="F11" i="23" l="1"/>
  <c r="S15" i="8"/>
  <c r="AR97" i="2"/>
  <c r="AR61" i="2"/>
  <c r="AR60" i="2"/>
  <c r="AN46" i="3"/>
  <c r="AP35" i="26"/>
  <c r="AP40" i="26" s="1"/>
  <c r="AP43" i="26" s="1"/>
  <c r="AR74" i="2"/>
  <c r="AP77" i="26"/>
  <c r="AP82" i="26" s="1"/>
  <c r="AP85" i="26" s="1"/>
  <c r="F8" i="23"/>
  <c r="F6" i="23"/>
  <c r="AO547" i="2"/>
  <c r="AN495" i="2"/>
  <c r="AO235" i="2" s="1"/>
  <c r="S3" i="23"/>
  <c r="N4" i="23"/>
  <c r="W3" i="23"/>
  <c r="R4" i="23"/>
  <c r="U3" i="23"/>
  <c r="P4" i="23"/>
  <c r="T3" i="23"/>
  <c r="T4" i="23" s="1"/>
  <c r="O4" i="23"/>
  <c r="H1" i="23"/>
  <c r="C324" i="2"/>
  <c r="C325" i="2" s="1"/>
  <c r="D324" i="2"/>
  <c r="D326" i="2" s="1"/>
  <c r="C351" i="2"/>
  <c r="C350" i="2"/>
  <c r="C424" i="2"/>
  <c r="C423" i="2"/>
  <c r="C427" i="2"/>
  <c r="C426" i="2"/>
  <c r="C383" i="2"/>
  <c r="C382" i="2"/>
  <c r="C393" i="2"/>
  <c r="C392" i="2"/>
  <c r="C354" i="2"/>
  <c r="C355" i="2"/>
  <c r="C397" i="2"/>
  <c r="C396" i="2"/>
  <c r="C343" i="2"/>
  <c r="C342" i="2"/>
  <c r="C378" i="2"/>
  <c r="C379" i="2"/>
  <c r="C409" i="2"/>
  <c r="C408" i="2"/>
  <c r="C347" i="2"/>
  <c r="C346" i="2"/>
  <c r="C405" i="2"/>
  <c r="C406" i="2"/>
  <c r="C362" i="2"/>
  <c r="C363" i="2"/>
  <c r="C359" i="2"/>
  <c r="C358" i="2"/>
  <c r="C331" i="2"/>
  <c r="C332" i="2"/>
  <c r="C320" i="2"/>
  <c r="C319" i="2"/>
  <c r="D355" i="2"/>
  <c r="D354" i="2"/>
  <c r="D427" i="2"/>
  <c r="D426" i="2"/>
  <c r="D397" i="2"/>
  <c r="D396" i="2"/>
  <c r="D415" i="2"/>
  <c r="D416" i="2"/>
  <c r="D409" i="2"/>
  <c r="D408" i="2"/>
  <c r="D347" i="2"/>
  <c r="D346" i="2"/>
  <c r="D350" i="2"/>
  <c r="D351" i="2"/>
  <c r="D359" i="2"/>
  <c r="D358" i="2"/>
  <c r="D382" i="2"/>
  <c r="D383" i="2"/>
  <c r="D331" i="2"/>
  <c r="D332" i="2"/>
  <c r="D319" i="2"/>
  <c r="D320" i="2"/>
  <c r="E397" i="2"/>
  <c r="E396" i="2"/>
  <c r="E347" i="2"/>
  <c r="E346" i="2"/>
  <c r="E354" i="2"/>
  <c r="E355" i="2"/>
  <c r="E427" i="2"/>
  <c r="E426" i="2"/>
  <c r="E383" i="2"/>
  <c r="E382" i="2"/>
  <c r="E405" i="2"/>
  <c r="E406" i="2"/>
  <c r="E332" i="2"/>
  <c r="E331" i="2"/>
  <c r="E324" i="2"/>
  <c r="E320" i="2"/>
  <c r="E319" i="2"/>
  <c r="H11" i="23" a="1"/>
  <c r="H8" i="23" a="1"/>
  <c r="H6" i="23" a="1"/>
  <c r="AR95" i="2" l="1"/>
  <c r="AR102" i="2"/>
  <c r="H11" i="23"/>
  <c r="H6" i="23"/>
  <c r="H8" i="23"/>
  <c r="AO503" i="2"/>
  <c r="AO548" i="2"/>
  <c r="X3" i="23"/>
  <c r="S4" i="23"/>
  <c r="Y3" i="23"/>
  <c r="Z3" i="23"/>
  <c r="U4" i="23"/>
  <c r="AB3" i="23"/>
  <c r="W4" i="23"/>
  <c r="C326" i="2"/>
  <c r="I1" i="23"/>
  <c r="D325" i="2"/>
  <c r="E326" i="2"/>
  <c r="E325" i="2"/>
  <c r="I11" i="23" a="1"/>
  <c r="I8" i="23" a="1"/>
  <c r="I6" i="23" a="1"/>
  <c r="H13" i="23" l="1"/>
  <c r="I11" i="23"/>
  <c r="I13" i="23" s="1"/>
  <c r="I6" i="23"/>
  <c r="I7" i="23" s="1"/>
  <c r="I8" i="23"/>
  <c r="I9" i="23" s="1"/>
  <c r="AO446" i="2"/>
  <c r="AG3" i="23"/>
  <c r="AB4" i="23"/>
  <c r="AC3" i="23"/>
  <c r="X4" i="23"/>
  <c r="AE3" i="23"/>
  <c r="Z4" i="23"/>
  <c r="AD3" i="23"/>
  <c r="Y4" i="23"/>
  <c r="J1" i="23"/>
  <c r="J11" i="23" a="1"/>
  <c r="J6" i="23" a="1"/>
  <c r="J8" i="23" a="1"/>
  <c r="J11" i="23" l="1"/>
  <c r="J13" i="23" s="1"/>
  <c r="J8" i="23"/>
  <c r="J6" i="23"/>
  <c r="AO495" i="2"/>
  <c r="AP235" i="2" s="1"/>
  <c r="AP547" i="2"/>
  <c r="AJ3" i="23"/>
  <c r="AE4" i="23"/>
  <c r="AL3" i="23"/>
  <c r="AL4" i="23" s="1"/>
  <c r="AG4" i="23"/>
  <c r="AH3" i="23"/>
  <c r="AC4" i="23"/>
  <c r="AI3" i="23"/>
  <c r="AD4" i="23"/>
  <c r="K1" i="23"/>
  <c r="K11" i="23" a="1"/>
  <c r="K8" i="23" a="1"/>
  <c r="K6" i="23" a="1"/>
  <c r="J7" i="23" l="1"/>
  <c r="J9" i="23"/>
  <c r="K11" i="23"/>
  <c r="K13" i="23" s="1"/>
  <c r="K6" i="23"/>
  <c r="K7" i="23" s="1"/>
  <c r="K8" i="23"/>
  <c r="K9" i="23" s="1"/>
  <c r="AP548" i="2"/>
  <c r="AP503" i="2"/>
  <c r="AO3" i="23"/>
  <c r="AO4" i="23" s="1"/>
  <c r="AJ4" i="23"/>
  <c r="AM3" i="23"/>
  <c r="AM4" i="23" s="1"/>
  <c r="AH4" i="23"/>
  <c r="AN3" i="23"/>
  <c r="AN4" i="23" s="1"/>
  <c r="AI4" i="23"/>
  <c r="M1" i="23"/>
  <c r="M11" i="23" a="1"/>
  <c r="M6" i="23" a="1"/>
  <c r="M8" i="23" a="1"/>
  <c r="L8" i="23" l="1"/>
  <c r="L9" i="23" s="1"/>
  <c r="L6" i="23"/>
  <c r="L7" i="23" s="1"/>
  <c r="L11" i="23"/>
  <c r="L13" i="23" s="1"/>
  <c r="M11" i="23"/>
  <c r="M8" i="23"/>
  <c r="M6" i="23"/>
  <c r="AP446" i="2"/>
  <c r="N1" i="23"/>
  <c r="N11" i="23" a="1"/>
  <c r="N6" i="23" a="1"/>
  <c r="N8" i="23" a="1"/>
  <c r="M7" i="23" l="1"/>
  <c r="M9" i="23"/>
  <c r="M13" i="23"/>
  <c r="N11" i="23"/>
  <c r="N13" i="23" s="1"/>
  <c r="N8" i="23"/>
  <c r="N9" i="23" s="1"/>
  <c r="N6" i="23"/>
  <c r="N7" i="23" s="1"/>
  <c r="AQ547" i="2"/>
  <c r="AP495" i="2"/>
  <c r="AQ235" i="2" s="1"/>
  <c r="O1" i="23"/>
  <c r="Z227" i="2"/>
  <c r="Y227" i="2"/>
  <c r="X227" i="2"/>
  <c r="W227" i="2"/>
  <c r="V227" i="2"/>
  <c r="U227" i="2"/>
  <c r="T227" i="2"/>
  <c r="S227" i="2"/>
  <c r="R227" i="2"/>
  <c r="Q227" i="2"/>
  <c r="P227" i="2"/>
  <c r="N227" i="2"/>
  <c r="M227" i="2"/>
  <c r="L227" i="2"/>
  <c r="O225" i="2"/>
  <c r="O227" i="2" s="1"/>
  <c r="K225" i="2"/>
  <c r="K227" i="2" s="1"/>
  <c r="J225" i="2"/>
  <c r="J227" i="2" s="1"/>
  <c r="AA196" i="2"/>
  <c r="Z196" i="2"/>
  <c r="Y196" i="2"/>
  <c r="X196" i="2"/>
  <c r="W196" i="2"/>
  <c r="V196" i="2"/>
  <c r="U196" i="2"/>
  <c r="T196" i="2"/>
  <c r="S196" i="2"/>
  <c r="R196" i="2"/>
  <c r="Q196" i="2"/>
  <c r="P196" i="2"/>
  <c r="O196" i="2"/>
  <c r="N196" i="2"/>
  <c r="L196" i="2"/>
  <c r="K196" i="2"/>
  <c r="J196" i="2"/>
  <c r="M196" i="2"/>
  <c r="J162" i="2"/>
  <c r="J193" i="2" s="1"/>
  <c r="J194" i="2" s="1"/>
  <c r="AB162" i="2"/>
  <c r="AA162" i="2"/>
  <c r="AA164" i="2" s="1"/>
  <c r="AA193" i="2" s="1"/>
  <c r="AA194" i="2" s="1"/>
  <c r="Z162" i="2"/>
  <c r="Z164" i="2" s="1"/>
  <c r="Z193" i="2" s="1"/>
  <c r="Z194" i="2" s="1"/>
  <c r="Y162" i="2"/>
  <c r="Y164" i="2" s="1"/>
  <c r="Y193" i="2" s="1"/>
  <c r="Y194" i="2" s="1"/>
  <c r="X162" i="2"/>
  <c r="X164" i="2" s="1"/>
  <c r="X193" i="2" s="1"/>
  <c r="X194" i="2" s="1"/>
  <c r="W162" i="2"/>
  <c r="W164" i="2" s="1"/>
  <c r="W193" i="2" s="1"/>
  <c r="W194" i="2" s="1"/>
  <c r="V162" i="2"/>
  <c r="V164" i="2" s="1"/>
  <c r="V193" i="2" s="1"/>
  <c r="V194" i="2" s="1"/>
  <c r="U162" i="2"/>
  <c r="U164" i="2" s="1"/>
  <c r="U193" i="2" s="1"/>
  <c r="U194" i="2" s="1"/>
  <c r="T162" i="2"/>
  <c r="T164" i="2" s="1"/>
  <c r="T193" i="2" s="1"/>
  <c r="T194" i="2" s="1"/>
  <c r="S162" i="2"/>
  <c r="S164" i="2" s="1"/>
  <c r="S193" i="2" s="1"/>
  <c r="S194" i="2" s="1"/>
  <c r="R162" i="2"/>
  <c r="R164" i="2" s="1"/>
  <c r="R193" i="2" s="1"/>
  <c r="R194" i="2" s="1"/>
  <c r="Q162" i="2"/>
  <c r="Q164" i="2" s="1"/>
  <c r="Q193" i="2" s="1"/>
  <c r="Q194" i="2" s="1"/>
  <c r="P162" i="2"/>
  <c r="P164" i="2" s="1"/>
  <c r="P193" i="2" s="1"/>
  <c r="P194" i="2" s="1"/>
  <c r="O162" i="2"/>
  <c r="O164" i="2" s="1"/>
  <c r="O193" i="2" s="1"/>
  <c r="O194" i="2" s="1"/>
  <c r="N162" i="2"/>
  <c r="N164" i="2" s="1"/>
  <c r="N193" i="2" s="1"/>
  <c r="N194" i="2" s="1"/>
  <c r="M162" i="2"/>
  <c r="M164" i="2" s="1"/>
  <c r="M193" i="2" s="1"/>
  <c r="M194" i="2" s="1"/>
  <c r="L162" i="2"/>
  <c r="L164" i="2" s="1"/>
  <c r="L193" i="2" s="1"/>
  <c r="L194" i="2" s="1"/>
  <c r="K162" i="2"/>
  <c r="K164" i="2" s="1"/>
  <c r="K193" i="2" s="1"/>
  <c r="K194" i="2" s="1"/>
  <c r="O11" i="23" a="1"/>
  <c r="O6" i="23" a="1"/>
  <c r="O8" i="23" a="1"/>
  <c r="O11" i="23" l="1"/>
  <c r="O8" i="23"/>
  <c r="O6" i="23"/>
  <c r="AQ503" i="2"/>
  <c r="AQ548" i="2"/>
  <c r="AB164" i="2"/>
  <c r="AB193" i="2" s="1"/>
  <c r="AB194" i="2" s="1"/>
  <c r="AW184" i="2" s="1"/>
  <c r="AB210" i="2"/>
  <c r="AB209" i="2" s="1"/>
  <c r="AB212" i="2" s="1"/>
  <c r="Q165" i="2"/>
  <c r="AA165" i="2"/>
  <c r="Y165" i="2"/>
  <c r="R165" i="2"/>
  <c r="K165" i="2"/>
  <c r="U165" i="2"/>
  <c r="X165" i="2"/>
  <c r="Z165" i="2"/>
  <c r="S165" i="2"/>
  <c r="T165" i="2"/>
  <c r="N165" i="2"/>
  <c r="V165" i="2"/>
  <c r="P165" i="2"/>
  <c r="J165" i="2"/>
  <c r="L165" i="2"/>
  <c r="M165" i="2"/>
  <c r="O165" i="2"/>
  <c r="W165" i="2"/>
  <c r="O9" i="23"/>
  <c r="P1" i="23"/>
  <c r="J419" i="2"/>
  <c r="J421" i="2" s="1"/>
  <c r="J411" i="2"/>
  <c r="J413" i="2" s="1"/>
  <c r="J401" i="2"/>
  <c r="J402" i="2" s="1"/>
  <c r="J385" i="2"/>
  <c r="J387" i="2" s="1"/>
  <c r="J366" i="2"/>
  <c r="J368" i="2" s="1"/>
  <c r="J337" i="2"/>
  <c r="J339" i="2" s="1"/>
  <c r="J4" i="2"/>
  <c r="H2" i="26" s="1"/>
  <c r="H47" i="26" s="1"/>
  <c r="H98" i="26" s="1"/>
  <c r="Z570" i="2"/>
  <c r="AB568" i="2"/>
  <c r="AA568" i="2"/>
  <c r="Z568" i="2"/>
  <c r="AB566" i="2"/>
  <c r="AA566" i="2"/>
  <c r="Z566" i="2"/>
  <c r="AB565" i="2"/>
  <c r="AA565" i="2"/>
  <c r="Z565" i="2"/>
  <c r="AB564" i="2"/>
  <c r="AA564" i="2"/>
  <c r="Z564" i="2"/>
  <c r="AB562" i="2"/>
  <c r="AA562" i="2"/>
  <c r="Z562" i="2"/>
  <c r="AB561" i="2"/>
  <c r="AA561" i="2"/>
  <c r="Z561" i="2"/>
  <c r="AB560" i="2"/>
  <c r="AA560" i="2"/>
  <c r="Z560" i="2"/>
  <c r="AB559" i="2"/>
  <c r="AA559" i="2"/>
  <c r="Z559" i="2"/>
  <c r="AB558" i="2"/>
  <c r="AA558" i="2"/>
  <c r="Z558" i="2"/>
  <c r="AB557" i="2"/>
  <c r="AA557" i="2"/>
  <c r="Z557" i="2"/>
  <c r="AB556" i="2"/>
  <c r="AA556" i="2"/>
  <c r="Z556" i="2"/>
  <c r="AB555" i="2"/>
  <c r="AA555" i="2"/>
  <c r="Z555" i="2"/>
  <c r="AB554" i="2"/>
  <c r="AA554" i="2"/>
  <c r="Z554" i="2"/>
  <c r="AB553" i="2"/>
  <c r="AA553" i="2"/>
  <c r="Z553" i="2"/>
  <c r="AB552" i="2"/>
  <c r="AA552" i="2"/>
  <c r="Z552" i="2"/>
  <c r="AB551" i="2"/>
  <c r="AA551" i="2"/>
  <c r="Z551" i="2"/>
  <c r="AB548" i="2"/>
  <c r="AA548" i="2"/>
  <c r="Z548" i="2"/>
  <c r="AB547" i="2"/>
  <c r="AB576" i="2" s="1"/>
  <c r="AA547" i="2"/>
  <c r="AA576" i="2" s="1"/>
  <c r="Z547" i="2"/>
  <c r="AB546" i="2"/>
  <c r="AA546" i="2"/>
  <c r="Z546" i="2"/>
  <c r="AB545" i="2"/>
  <c r="AA545" i="2"/>
  <c r="Z545" i="2"/>
  <c r="AB544" i="2"/>
  <c r="AA544" i="2"/>
  <c r="Z544" i="2"/>
  <c r="AB543" i="2"/>
  <c r="AA543" i="2"/>
  <c r="Z543" i="2"/>
  <c r="AB540" i="2"/>
  <c r="AA540" i="2"/>
  <c r="Z540" i="2"/>
  <c r="AB539" i="2"/>
  <c r="AA539" i="2"/>
  <c r="Z539" i="2"/>
  <c r="AB538" i="2"/>
  <c r="AA538" i="2"/>
  <c r="Z538" i="2"/>
  <c r="AB536" i="2"/>
  <c r="AA536" i="2"/>
  <c r="Z536" i="2"/>
  <c r="AB535" i="2"/>
  <c r="AA535" i="2"/>
  <c r="Z535" i="2"/>
  <c r="AB534" i="2"/>
  <c r="AA534" i="2"/>
  <c r="Z534" i="2"/>
  <c r="AB533" i="2"/>
  <c r="AA533" i="2"/>
  <c r="Z533" i="2"/>
  <c r="AB532" i="2"/>
  <c r="AA532" i="2"/>
  <c r="Z532" i="2"/>
  <c r="AB531" i="2"/>
  <c r="AA531" i="2"/>
  <c r="Z531" i="2"/>
  <c r="AB530" i="2"/>
  <c r="AA530" i="2"/>
  <c r="Z530" i="2"/>
  <c r="AB529" i="2"/>
  <c r="AA529" i="2"/>
  <c r="Z529" i="2"/>
  <c r="AB528" i="2"/>
  <c r="AA528" i="2"/>
  <c r="Z528" i="2"/>
  <c r="AB527" i="2"/>
  <c r="AA527" i="2"/>
  <c r="Z527" i="2"/>
  <c r="AB524" i="2"/>
  <c r="AA524" i="2"/>
  <c r="Z524" i="2"/>
  <c r="AB523" i="2"/>
  <c r="AA523" i="2"/>
  <c r="Z523" i="2"/>
  <c r="AB522" i="2"/>
  <c r="AA522" i="2"/>
  <c r="Z522" i="2"/>
  <c r="AB521" i="2"/>
  <c r="AA521" i="2"/>
  <c r="Z521" i="2"/>
  <c r="AB520" i="2"/>
  <c r="AA520" i="2"/>
  <c r="Z520" i="2"/>
  <c r="AB519" i="2"/>
  <c r="AA519" i="2"/>
  <c r="Z519" i="2"/>
  <c r="AB518" i="2"/>
  <c r="AA518" i="2"/>
  <c r="Z518" i="2"/>
  <c r="AB517" i="2"/>
  <c r="AA517" i="2"/>
  <c r="Z517" i="2"/>
  <c r="AB516" i="2"/>
  <c r="AA516" i="2"/>
  <c r="Z516" i="2"/>
  <c r="AB515" i="2"/>
  <c r="AA515" i="2"/>
  <c r="Z515" i="2"/>
  <c r="AB514" i="2"/>
  <c r="AA514" i="2"/>
  <c r="Z514" i="2"/>
  <c r="AB512" i="2"/>
  <c r="AA512" i="2"/>
  <c r="Z512" i="2"/>
  <c r="AB511" i="2"/>
  <c r="AA511" i="2"/>
  <c r="Z511" i="2"/>
  <c r="AB510" i="2"/>
  <c r="AA510" i="2"/>
  <c r="Z510" i="2"/>
  <c r="AB509" i="2"/>
  <c r="AA509" i="2"/>
  <c r="Z509" i="2"/>
  <c r="AB508" i="2"/>
  <c r="AA508" i="2"/>
  <c r="Z508" i="2"/>
  <c r="AB507" i="2"/>
  <c r="AA507" i="2"/>
  <c r="Z507" i="2"/>
  <c r="AB506" i="2"/>
  <c r="AA506" i="2"/>
  <c r="Z506" i="2"/>
  <c r="AB505" i="2"/>
  <c r="AA505" i="2"/>
  <c r="Z505" i="2"/>
  <c r="AB503" i="2"/>
  <c r="AA503" i="2"/>
  <c r="Z503" i="2"/>
  <c r="AB502" i="2"/>
  <c r="AA502" i="2"/>
  <c r="Z502" i="2"/>
  <c r="AB501" i="2"/>
  <c r="AA501" i="2"/>
  <c r="Z501" i="2"/>
  <c r="Y570" i="2"/>
  <c r="AD569" i="2" s="1"/>
  <c r="Y568" i="2"/>
  <c r="X568" i="2"/>
  <c r="W568" i="2"/>
  <c r="V568" i="2"/>
  <c r="U568" i="2"/>
  <c r="V566" i="2"/>
  <c r="U566" i="2"/>
  <c r="Y565" i="2"/>
  <c r="X565" i="2"/>
  <c r="W565" i="2"/>
  <c r="V565" i="2"/>
  <c r="U565" i="2"/>
  <c r="Y564" i="2"/>
  <c r="X564" i="2"/>
  <c r="W564" i="2"/>
  <c r="V564" i="2"/>
  <c r="U564" i="2"/>
  <c r="Y562" i="2"/>
  <c r="X562" i="2"/>
  <c r="W562" i="2"/>
  <c r="V562" i="2"/>
  <c r="U562" i="2"/>
  <c r="Y561" i="2"/>
  <c r="X561" i="2"/>
  <c r="W561" i="2"/>
  <c r="V561" i="2"/>
  <c r="U561" i="2"/>
  <c r="Y560" i="2"/>
  <c r="X560" i="2"/>
  <c r="W560" i="2"/>
  <c r="V560" i="2"/>
  <c r="U560" i="2"/>
  <c r="Y559" i="2"/>
  <c r="X559" i="2"/>
  <c r="W559" i="2"/>
  <c r="V559" i="2"/>
  <c r="U559" i="2"/>
  <c r="Y558" i="2"/>
  <c r="X558" i="2"/>
  <c r="W558" i="2"/>
  <c r="V558" i="2"/>
  <c r="U558" i="2"/>
  <c r="Y557" i="2"/>
  <c r="X557" i="2"/>
  <c r="W557" i="2"/>
  <c r="V557" i="2"/>
  <c r="U557" i="2"/>
  <c r="Y556" i="2"/>
  <c r="X556" i="2"/>
  <c r="W556" i="2"/>
  <c r="V556" i="2"/>
  <c r="U556" i="2"/>
  <c r="Y555" i="2"/>
  <c r="X555" i="2"/>
  <c r="W555" i="2"/>
  <c r="V555" i="2"/>
  <c r="U555" i="2"/>
  <c r="Y554" i="2"/>
  <c r="X554" i="2"/>
  <c r="W554" i="2"/>
  <c r="V554" i="2"/>
  <c r="U554" i="2"/>
  <c r="Y553" i="2"/>
  <c r="X553" i="2"/>
  <c r="W553" i="2"/>
  <c r="V553" i="2"/>
  <c r="U553" i="2"/>
  <c r="Y552" i="2"/>
  <c r="X552" i="2"/>
  <c r="W552" i="2"/>
  <c r="V552" i="2"/>
  <c r="U552" i="2"/>
  <c r="Y551" i="2"/>
  <c r="X551" i="2"/>
  <c r="W551" i="2"/>
  <c r="V551" i="2"/>
  <c r="U551" i="2"/>
  <c r="Y548" i="2"/>
  <c r="X548" i="2"/>
  <c r="W548" i="2"/>
  <c r="V548" i="2"/>
  <c r="U548" i="2"/>
  <c r="Y547" i="2"/>
  <c r="Y576" i="2" s="1"/>
  <c r="X547" i="2"/>
  <c r="X576" i="2" s="1"/>
  <c r="W547" i="2"/>
  <c r="W576" i="2" s="1"/>
  <c r="V547" i="2"/>
  <c r="V576" i="2" s="1"/>
  <c r="U547" i="2"/>
  <c r="U576" i="2" s="1"/>
  <c r="Y546" i="2"/>
  <c r="X546" i="2"/>
  <c r="W546" i="2"/>
  <c r="V546" i="2"/>
  <c r="U546" i="2"/>
  <c r="Y545" i="2"/>
  <c r="X545" i="2"/>
  <c r="W545" i="2"/>
  <c r="V545" i="2"/>
  <c r="U545" i="2"/>
  <c r="Y544" i="2"/>
  <c r="X544" i="2"/>
  <c r="W544" i="2"/>
  <c r="V544" i="2"/>
  <c r="U544" i="2"/>
  <c r="Y543" i="2"/>
  <c r="X543" i="2"/>
  <c r="W543" i="2"/>
  <c r="V543" i="2"/>
  <c r="U543" i="2"/>
  <c r="Y540" i="2"/>
  <c r="X540" i="2"/>
  <c r="W540" i="2"/>
  <c r="V540" i="2"/>
  <c r="U540" i="2"/>
  <c r="Y539" i="2"/>
  <c r="X539" i="2"/>
  <c r="W539" i="2"/>
  <c r="V539" i="2"/>
  <c r="U539" i="2"/>
  <c r="Y538" i="2"/>
  <c r="X538" i="2"/>
  <c r="W538" i="2"/>
  <c r="V538" i="2"/>
  <c r="U538" i="2"/>
  <c r="Y536" i="2"/>
  <c r="X536" i="2"/>
  <c r="W536" i="2"/>
  <c r="V536" i="2"/>
  <c r="U536" i="2"/>
  <c r="Y535" i="2"/>
  <c r="X535" i="2"/>
  <c r="W535" i="2"/>
  <c r="V535" i="2"/>
  <c r="U535" i="2"/>
  <c r="Y534" i="2"/>
  <c r="X534" i="2"/>
  <c r="W534" i="2"/>
  <c r="V534" i="2"/>
  <c r="U534" i="2"/>
  <c r="Y533" i="2"/>
  <c r="X533" i="2"/>
  <c r="W533" i="2"/>
  <c r="V533" i="2"/>
  <c r="U533" i="2"/>
  <c r="Y532" i="2"/>
  <c r="X532" i="2"/>
  <c r="W532" i="2"/>
  <c r="V532" i="2"/>
  <c r="U532" i="2"/>
  <c r="Y531" i="2"/>
  <c r="X531" i="2"/>
  <c r="W531" i="2"/>
  <c r="V531" i="2"/>
  <c r="U531" i="2"/>
  <c r="Y530" i="2"/>
  <c r="X530" i="2"/>
  <c r="W530" i="2"/>
  <c r="V530" i="2"/>
  <c r="U530" i="2"/>
  <c r="Y529" i="2"/>
  <c r="X529" i="2"/>
  <c r="W529" i="2"/>
  <c r="V529" i="2"/>
  <c r="U529" i="2"/>
  <c r="Y528" i="2"/>
  <c r="X528" i="2"/>
  <c r="W528" i="2"/>
  <c r="V528" i="2"/>
  <c r="U528" i="2"/>
  <c r="Y527" i="2"/>
  <c r="X527" i="2"/>
  <c r="W527" i="2"/>
  <c r="V527" i="2"/>
  <c r="U527" i="2"/>
  <c r="Y524" i="2"/>
  <c r="X524" i="2"/>
  <c r="W524" i="2"/>
  <c r="V524" i="2"/>
  <c r="U524" i="2"/>
  <c r="Y523" i="2"/>
  <c r="X523" i="2"/>
  <c r="W523" i="2"/>
  <c r="V523" i="2"/>
  <c r="U523" i="2"/>
  <c r="Y522" i="2"/>
  <c r="X522" i="2"/>
  <c r="W522" i="2"/>
  <c r="V522" i="2"/>
  <c r="U522" i="2"/>
  <c r="Y521" i="2"/>
  <c r="X521" i="2"/>
  <c r="W521" i="2"/>
  <c r="V521" i="2"/>
  <c r="U521" i="2"/>
  <c r="Y520" i="2"/>
  <c r="X520" i="2"/>
  <c r="W520" i="2"/>
  <c r="V520" i="2"/>
  <c r="U520" i="2"/>
  <c r="Y519" i="2"/>
  <c r="X519" i="2"/>
  <c r="W519" i="2"/>
  <c r="V519" i="2"/>
  <c r="U519" i="2"/>
  <c r="Y518" i="2"/>
  <c r="X518" i="2"/>
  <c r="W518" i="2"/>
  <c r="V518" i="2"/>
  <c r="U518" i="2"/>
  <c r="Y517" i="2"/>
  <c r="X517" i="2"/>
  <c r="W517" i="2"/>
  <c r="V517" i="2"/>
  <c r="U517" i="2"/>
  <c r="Y516" i="2"/>
  <c r="X516" i="2"/>
  <c r="W516" i="2"/>
  <c r="V516" i="2"/>
  <c r="U516" i="2"/>
  <c r="Y515" i="2"/>
  <c r="X515" i="2"/>
  <c r="W515" i="2"/>
  <c r="V515" i="2"/>
  <c r="U515" i="2"/>
  <c r="Y514" i="2"/>
  <c r="X514" i="2"/>
  <c r="W514" i="2"/>
  <c r="V514" i="2"/>
  <c r="U514" i="2"/>
  <c r="Y512" i="2"/>
  <c r="X512" i="2"/>
  <c r="W512" i="2"/>
  <c r="V512" i="2"/>
  <c r="U512" i="2"/>
  <c r="Y511" i="2"/>
  <c r="X511" i="2"/>
  <c r="W511" i="2"/>
  <c r="V511" i="2"/>
  <c r="U511" i="2"/>
  <c r="Y510" i="2"/>
  <c r="X510" i="2"/>
  <c r="W510" i="2"/>
  <c r="V510" i="2"/>
  <c r="U510" i="2"/>
  <c r="Y509" i="2"/>
  <c r="X509" i="2"/>
  <c r="W509" i="2"/>
  <c r="V509" i="2"/>
  <c r="U509" i="2"/>
  <c r="Y508" i="2"/>
  <c r="X508" i="2"/>
  <c r="W508" i="2"/>
  <c r="V508" i="2"/>
  <c r="U508" i="2"/>
  <c r="Y507" i="2"/>
  <c r="X507" i="2"/>
  <c r="W507" i="2"/>
  <c r="V507" i="2"/>
  <c r="U507" i="2"/>
  <c r="Y506" i="2"/>
  <c r="X506" i="2"/>
  <c r="W506" i="2"/>
  <c r="V506" i="2"/>
  <c r="U506" i="2"/>
  <c r="Y505" i="2"/>
  <c r="X505" i="2"/>
  <c r="W505" i="2"/>
  <c r="V505" i="2"/>
  <c r="U505" i="2"/>
  <c r="Y503" i="2"/>
  <c r="X503" i="2"/>
  <c r="W503" i="2"/>
  <c r="V503" i="2"/>
  <c r="U503" i="2"/>
  <c r="Y502" i="2"/>
  <c r="X502" i="2"/>
  <c r="W502" i="2"/>
  <c r="V502" i="2"/>
  <c r="U502" i="2"/>
  <c r="Y501" i="2"/>
  <c r="X501" i="2"/>
  <c r="W501" i="2"/>
  <c r="V501" i="2"/>
  <c r="U501" i="2"/>
  <c r="T568" i="2"/>
  <c r="S568" i="2"/>
  <c r="R568" i="2"/>
  <c r="Q568" i="2"/>
  <c r="P568" i="2"/>
  <c r="R566" i="2"/>
  <c r="Q566" i="2"/>
  <c r="P566" i="2"/>
  <c r="T565" i="2"/>
  <c r="S565" i="2"/>
  <c r="R565" i="2"/>
  <c r="Q565" i="2"/>
  <c r="P565" i="2"/>
  <c r="T564" i="2"/>
  <c r="S564" i="2"/>
  <c r="R564" i="2"/>
  <c r="Q564" i="2"/>
  <c r="P564" i="2"/>
  <c r="T562" i="2"/>
  <c r="S562" i="2"/>
  <c r="R562" i="2"/>
  <c r="Q562" i="2"/>
  <c r="P562" i="2"/>
  <c r="T561" i="2"/>
  <c r="S561" i="2"/>
  <c r="R561" i="2"/>
  <c r="Q561" i="2"/>
  <c r="P561" i="2"/>
  <c r="T560" i="2"/>
  <c r="S560" i="2"/>
  <c r="R560" i="2"/>
  <c r="Q560" i="2"/>
  <c r="P560" i="2"/>
  <c r="T559" i="2"/>
  <c r="S559" i="2"/>
  <c r="R559" i="2"/>
  <c r="Q559" i="2"/>
  <c r="P559" i="2"/>
  <c r="T558" i="2"/>
  <c r="S558" i="2"/>
  <c r="R558" i="2"/>
  <c r="Q558" i="2"/>
  <c r="P558" i="2"/>
  <c r="T557" i="2"/>
  <c r="S557" i="2"/>
  <c r="R557" i="2"/>
  <c r="Q557" i="2"/>
  <c r="P557" i="2"/>
  <c r="T556" i="2"/>
  <c r="S556" i="2"/>
  <c r="R556" i="2"/>
  <c r="Q556" i="2"/>
  <c r="P556" i="2"/>
  <c r="T555" i="2"/>
  <c r="S555" i="2"/>
  <c r="R555" i="2"/>
  <c r="Q555" i="2"/>
  <c r="P555" i="2"/>
  <c r="T554" i="2"/>
  <c r="S554" i="2"/>
  <c r="R554" i="2"/>
  <c r="Q554" i="2"/>
  <c r="P554" i="2"/>
  <c r="T553" i="2"/>
  <c r="S553" i="2"/>
  <c r="R553" i="2"/>
  <c r="Q553" i="2"/>
  <c r="P553" i="2"/>
  <c r="T552" i="2"/>
  <c r="S552" i="2"/>
  <c r="R552" i="2"/>
  <c r="Q552" i="2"/>
  <c r="P552" i="2"/>
  <c r="T551" i="2"/>
  <c r="S551" i="2"/>
  <c r="R551" i="2"/>
  <c r="Q551" i="2"/>
  <c r="P551" i="2"/>
  <c r="T548" i="2"/>
  <c r="S548" i="2"/>
  <c r="R548" i="2"/>
  <c r="Q548" i="2"/>
  <c r="P548" i="2"/>
  <c r="T547" i="2"/>
  <c r="T576" i="2" s="1"/>
  <c r="S547" i="2"/>
  <c r="S576" i="2" s="1"/>
  <c r="R547" i="2"/>
  <c r="R576" i="2" s="1"/>
  <c r="Q547" i="2"/>
  <c r="Q576" i="2" s="1"/>
  <c r="P547" i="2"/>
  <c r="P576" i="2" s="1"/>
  <c r="T546" i="2"/>
  <c r="S546" i="2"/>
  <c r="R546" i="2"/>
  <c r="Q546" i="2"/>
  <c r="P546" i="2"/>
  <c r="T545" i="2"/>
  <c r="S545" i="2"/>
  <c r="R545" i="2"/>
  <c r="Q545" i="2"/>
  <c r="P545" i="2"/>
  <c r="T544" i="2"/>
  <c r="S544" i="2"/>
  <c r="R544" i="2"/>
  <c r="Q544" i="2"/>
  <c r="P544" i="2"/>
  <c r="T543" i="2"/>
  <c r="S543" i="2"/>
  <c r="R543" i="2"/>
  <c r="Q543" i="2"/>
  <c r="P543" i="2"/>
  <c r="T540" i="2"/>
  <c r="S540" i="2"/>
  <c r="R540" i="2"/>
  <c r="Q540" i="2"/>
  <c r="P540" i="2"/>
  <c r="T539" i="2"/>
  <c r="S539" i="2"/>
  <c r="R539" i="2"/>
  <c r="Q539" i="2"/>
  <c r="P539" i="2"/>
  <c r="T538" i="2"/>
  <c r="S538" i="2"/>
  <c r="R538" i="2"/>
  <c r="Q538" i="2"/>
  <c r="P538" i="2"/>
  <c r="T536" i="2"/>
  <c r="S536" i="2"/>
  <c r="R536" i="2"/>
  <c r="Q536" i="2"/>
  <c r="P536" i="2"/>
  <c r="T535" i="2"/>
  <c r="S535" i="2"/>
  <c r="R535" i="2"/>
  <c r="Q535" i="2"/>
  <c r="P535" i="2"/>
  <c r="T534" i="2"/>
  <c r="S534" i="2"/>
  <c r="R534" i="2"/>
  <c r="Q534" i="2"/>
  <c r="P534" i="2"/>
  <c r="T533" i="2"/>
  <c r="S533" i="2"/>
  <c r="R533" i="2"/>
  <c r="Q533" i="2"/>
  <c r="P533" i="2"/>
  <c r="T532" i="2"/>
  <c r="S532" i="2"/>
  <c r="R532" i="2"/>
  <c r="Q532" i="2"/>
  <c r="P532" i="2"/>
  <c r="T531" i="2"/>
  <c r="S531" i="2"/>
  <c r="R531" i="2"/>
  <c r="Q531" i="2"/>
  <c r="P531" i="2"/>
  <c r="T530" i="2"/>
  <c r="S530" i="2"/>
  <c r="R530" i="2"/>
  <c r="Q530" i="2"/>
  <c r="P530" i="2"/>
  <c r="T529" i="2"/>
  <c r="S529" i="2"/>
  <c r="R529" i="2"/>
  <c r="Q529" i="2"/>
  <c r="P529" i="2"/>
  <c r="T528" i="2"/>
  <c r="S528" i="2"/>
  <c r="R528" i="2"/>
  <c r="Q528" i="2"/>
  <c r="P528" i="2"/>
  <c r="T527" i="2"/>
  <c r="S527" i="2"/>
  <c r="R527" i="2"/>
  <c r="Q527" i="2"/>
  <c r="P527" i="2"/>
  <c r="T524" i="2"/>
  <c r="S524" i="2"/>
  <c r="R524" i="2"/>
  <c r="Q524" i="2"/>
  <c r="P524" i="2"/>
  <c r="T523" i="2"/>
  <c r="S523" i="2"/>
  <c r="R523" i="2"/>
  <c r="Q523" i="2"/>
  <c r="P523" i="2"/>
  <c r="T522" i="2"/>
  <c r="S522" i="2"/>
  <c r="R522" i="2"/>
  <c r="Q522" i="2"/>
  <c r="P522" i="2"/>
  <c r="T521" i="2"/>
  <c r="S521" i="2"/>
  <c r="R521" i="2"/>
  <c r="Q521" i="2"/>
  <c r="P521" i="2"/>
  <c r="T520" i="2"/>
  <c r="S520" i="2"/>
  <c r="R520" i="2"/>
  <c r="Q520" i="2"/>
  <c r="P520" i="2"/>
  <c r="T519" i="2"/>
  <c r="S519" i="2"/>
  <c r="R519" i="2"/>
  <c r="Q519" i="2"/>
  <c r="P519" i="2"/>
  <c r="T518" i="2"/>
  <c r="S518" i="2"/>
  <c r="R518" i="2"/>
  <c r="Q518" i="2"/>
  <c r="P518" i="2"/>
  <c r="T517" i="2"/>
  <c r="S517" i="2"/>
  <c r="R517" i="2"/>
  <c r="Q517" i="2"/>
  <c r="P517" i="2"/>
  <c r="T516" i="2"/>
  <c r="S516" i="2"/>
  <c r="R516" i="2"/>
  <c r="Q516" i="2"/>
  <c r="P516" i="2"/>
  <c r="T515" i="2"/>
  <c r="S515" i="2"/>
  <c r="R515" i="2"/>
  <c r="Q515" i="2"/>
  <c r="P515" i="2"/>
  <c r="T514" i="2"/>
  <c r="S514" i="2"/>
  <c r="R514" i="2"/>
  <c r="Q514" i="2"/>
  <c r="P514" i="2"/>
  <c r="T512" i="2"/>
  <c r="S512" i="2"/>
  <c r="R512" i="2"/>
  <c r="Q512" i="2"/>
  <c r="P512" i="2"/>
  <c r="T511" i="2"/>
  <c r="S511" i="2"/>
  <c r="R511" i="2"/>
  <c r="Q511" i="2"/>
  <c r="P511" i="2"/>
  <c r="T510" i="2"/>
  <c r="S510" i="2"/>
  <c r="R510" i="2"/>
  <c r="Q510" i="2"/>
  <c r="P510" i="2"/>
  <c r="T509" i="2"/>
  <c r="S509" i="2"/>
  <c r="R509" i="2"/>
  <c r="Q509" i="2"/>
  <c r="P509" i="2"/>
  <c r="T508" i="2"/>
  <c r="S508" i="2"/>
  <c r="R508" i="2"/>
  <c r="Q508" i="2"/>
  <c r="P508" i="2"/>
  <c r="T507" i="2"/>
  <c r="S507" i="2"/>
  <c r="R507" i="2"/>
  <c r="Q507" i="2"/>
  <c r="P507" i="2"/>
  <c r="T506" i="2"/>
  <c r="S506" i="2"/>
  <c r="R506" i="2"/>
  <c r="Q506" i="2"/>
  <c r="P506" i="2"/>
  <c r="T505" i="2"/>
  <c r="S505" i="2"/>
  <c r="R505" i="2"/>
  <c r="Q505" i="2"/>
  <c r="P505" i="2"/>
  <c r="T503" i="2"/>
  <c r="S503" i="2"/>
  <c r="R503" i="2"/>
  <c r="Q503" i="2"/>
  <c r="P503" i="2"/>
  <c r="T502" i="2"/>
  <c r="S502" i="2"/>
  <c r="R502" i="2"/>
  <c r="Q502" i="2"/>
  <c r="P502" i="2"/>
  <c r="T501" i="2"/>
  <c r="S501" i="2"/>
  <c r="R501" i="2"/>
  <c r="Q501" i="2"/>
  <c r="P501" i="2"/>
  <c r="N568" i="2"/>
  <c r="N565" i="2"/>
  <c r="N564" i="2"/>
  <c r="N562" i="2"/>
  <c r="N561" i="2"/>
  <c r="N560" i="2"/>
  <c r="N559" i="2"/>
  <c r="N558" i="2"/>
  <c r="N557" i="2"/>
  <c r="N556" i="2"/>
  <c r="N555" i="2"/>
  <c r="N554" i="2"/>
  <c r="N553" i="2"/>
  <c r="N552" i="2"/>
  <c r="N551" i="2"/>
  <c r="N548" i="2"/>
  <c r="N547" i="2"/>
  <c r="N546" i="2"/>
  <c r="N545" i="2"/>
  <c r="N544" i="2"/>
  <c r="N543" i="2"/>
  <c r="N540" i="2"/>
  <c r="N539" i="2"/>
  <c r="N538" i="2"/>
  <c r="N536" i="2"/>
  <c r="N535" i="2"/>
  <c r="N534" i="2"/>
  <c r="N533" i="2"/>
  <c r="N532" i="2"/>
  <c r="N531" i="2"/>
  <c r="N530" i="2"/>
  <c r="N529" i="2"/>
  <c r="N528" i="2"/>
  <c r="N527" i="2"/>
  <c r="N524" i="2"/>
  <c r="N523" i="2"/>
  <c r="N522" i="2"/>
  <c r="N521" i="2"/>
  <c r="N520" i="2"/>
  <c r="N519" i="2"/>
  <c r="N518" i="2"/>
  <c r="N517" i="2"/>
  <c r="N516" i="2"/>
  <c r="N515" i="2"/>
  <c r="N514" i="2"/>
  <c r="N512" i="2"/>
  <c r="N511" i="2"/>
  <c r="N510" i="2"/>
  <c r="N509" i="2"/>
  <c r="N508" i="2"/>
  <c r="N507" i="2"/>
  <c r="N506" i="2"/>
  <c r="N505" i="2"/>
  <c r="N503" i="2"/>
  <c r="N502" i="2"/>
  <c r="N501" i="2"/>
  <c r="P11" i="23" a="1"/>
  <c r="P6" i="23" a="1"/>
  <c r="P8" i="23" a="1"/>
  <c r="J282" i="2" a="1"/>
  <c r="J287" i="2" a="1"/>
  <c r="J296" i="2" a="1"/>
  <c r="J323" i="2" a="1"/>
  <c r="J317" i="2" a="1"/>
  <c r="J315" i="2" a="1"/>
  <c r="J249" i="2" a="1"/>
  <c r="J330" i="2" a="1"/>
  <c r="J395" i="2"/>
  <c r="J213" i="2" a="1"/>
  <c r="J345" i="2"/>
  <c r="J62" i="2" a="1"/>
  <c r="J285" i="2" a="1"/>
  <c r="J316" i="2" a="1"/>
  <c r="J318" i="2" a="1"/>
  <c r="J425" i="2"/>
  <c r="J298" i="2" a="1"/>
  <c r="J28" i="2" a="1"/>
  <c r="J322" i="2" a="1"/>
  <c r="J295" i="2" a="1"/>
  <c r="J292" i="2" a="1"/>
  <c r="J281" i="2" a="1"/>
  <c r="J110" i="2" a="1"/>
  <c r="J27" i="2" a="1"/>
  <c r="J414" i="2"/>
  <c r="J293" i="2" a="1"/>
  <c r="J228" i="2" a="1"/>
  <c r="J284" i="2" a="1"/>
  <c r="J329" i="2" a="1"/>
  <c r="J314" i="2" a="1"/>
  <c r="O7" i="23" l="1"/>
  <c r="O13" i="23"/>
  <c r="P11" i="23"/>
  <c r="P13" i="23" s="1"/>
  <c r="T575" i="2"/>
  <c r="V575" i="2"/>
  <c r="AB575" i="2"/>
  <c r="S575" i="2"/>
  <c r="U575" i="2"/>
  <c r="AA575" i="2"/>
  <c r="P8" i="23"/>
  <c r="P9" i="23" s="1"/>
  <c r="P6" i="23"/>
  <c r="P7" i="23" s="1"/>
  <c r="Q575" i="2"/>
  <c r="R575" i="2"/>
  <c r="W575" i="2"/>
  <c r="X575" i="2"/>
  <c r="Y575" i="2"/>
  <c r="N575" i="2"/>
  <c r="P575" i="2"/>
  <c r="Z575" i="2"/>
  <c r="J213" i="2"/>
  <c r="AB165" i="2"/>
  <c r="AB166" i="2" s="1"/>
  <c r="J62" i="2"/>
  <c r="J63" i="2" s="1"/>
  <c r="J28" i="2"/>
  <c r="J33" i="2" s="1"/>
  <c r="J27" i="2"/>
  <c r="J32" i="2" s="1"/>
  <c r="S577" i="2"/>
  <c r="U577" i="2"/>
  <c r="Z577" i="2"/>
  <c r="T577" i="2"/>
  <c r="V577" i="2"/>
  <c r="N577" i="2"/>
  <c r="P577" i="2"/>
  <c r="AD515" i="2"/>
  <c r="AD523" i="2"/>
  <c r="AD544" i="2"/>
  <c r="Q577" i="2"/>
  <c r="AA577" i="2"/>
  <c r="AD510" i="2"/>
  <c r="AD519" i="2"/>
  <c r="AD529" i="2"/>
  <c r="AD538" i="2"/>
  <c r="AD558" i="2"/>
  <c r="AD568" i="2"/>
  <c r="W577" i="2"/>
  <c r="X577" i="2"/>
  <c r="Y577" i="2"/>
  <c r="AD509" i="2"/>
  <c r="AD518" i="2"/>
  <c r="AD528" i="2"/>
  <c r="AD536" i="2"/>
  <c r="AD557" i="2"/>
  <c r="R577" i="2"/>
  <c r="AB577" i="2"/>
  <c r="AD505" i="2"/>
  <c r="AD522" i="2"/>
  <c r="AD532" i="2"/>
  <c r="AD543" i="2"/>
  <c r="AD506" i="2"/>
  <c r="AD554" i="2"/>
  <c r="AD503" i="2"/>
  <c r="AD512" i="2"/>
  <c r="AD521" i="2"/>
  <c r="AD552" i="2"/>
  <c r="AD560" i="2"/>
  <c r="AD547" i="2"/>
  <c r="F20" i="31" s="1"/>
  <c r="Z576" i="2"/>
  <c r="AD507" i="2"/>
  <c r="AD516" i="2"/>
  <c r="AD524" i="2"/>
  <c r="AD534" i="2"/>
  <c r="AD545" i="2"/>
  <c r="AD555" i="2"/>
  <c r="AD564" i="2"/>
  <c r="AD553" i="2"/>
  <c r="AD561" i="2"/>
  <c r="AD508" i="2"/>
  <c r="AD517" i="2"/>
  <c r="AD535" i="2"/>
  <c r="AD546" i="2"/>
  <c r="AD556" i="2"/>
  <c r="AD565" i="2"/>
  <c r="AD502" i="2"/>
  <c r="AD511" i="2"/>
  <c r="AD520" i="2"/>
  <c r="AD530" i="2"/>
  <c r="AD539" i="2"/>
  <c r="AD551" i="2"/>
  <c r="AD559" i="2"/>
  <c r="AQ446" i="2"/>
  <c r="J110" i="2"/>
  <c r="J228" i="2"/>
  <c r="J249" i="2"/>
  <c r="P166" i="2"/>
  <c r="W166" i="2"/>
  <c r="T166" i="2"/>
  <c r="U166" i="2"/>
  <c r="V166" i="2"/>
  <c r="J173" i="2"/>
  <c r="J174" i="2"/>
  <c r="AA166" i="2"/>
  <c r="O166" i="2"/>
  <c r="S166" i="2"/>
  <c r="Q166" i="2"/>
  <c r="Z166" i="2"/>
  <c r="R166" i="2"/>
  <c r="X166" i="2"/>
  <c r="Y166" i="2"/>
  <c r="R1" i="23"/>
  <c r="J298" i="2"/>
  <c r="J296" i="2"/>
  <c r="J295" i="2"/>
  <c r="J293" i="2"/>
  <c r="J292" i="2"/>
  <c r="J287" i="2"/>
  <c r="J284" i="2"/>
  <c r="J285" i="2"/>
  <c r="J282" i="2"/>
  <c r="J281" i="2"/>
  <c r="J403" i="2"/>
  <c r="J412" i="2"/>
  <c r="J367" i="2"/>
  <c r="J415" i="2"/>
  <c r="J416" i="2"/>
  <c r="J347" i="2"/>
  <c r="J346" i="2"/>
  <c r="J314" i="2"/>
  <c r="J318" i="2"/>
  <c r="J315" i="2"/>
  <c r="J329" i="2"/>
  <c r="J397" i="2"/>
  <c r="J396" i="2"/>
  <c r="J316" i="2"/>
  <c r="J322" i="2"/>
  <c r="J330" i="2"/>
  <c r="J427" i="2"/>
  <c r="J426" i="2"/>
  <c r="J317" i="2"/>
  <c r="J323" i="2"/>
  <c r="J338" i="2"/>
  <c r="J386" i="2"/>
  <c r="J420" i="2"/>
  <c r="R11" i="23" a="1"/>
  <c r="R6" i="23" a="1"/>
  <c r="R8" i="23" a="1"/>
  <c r="J361" i="2"/>
  <c r="J377" i="2"/>
  <c r="J357" i="2"/>
  <c r="J370" i="2"/>
  <c r="J353" i="2"/>
  <c r="J341" i="2"/>
  <c r="J373" i="2"/>
  <c r="J349" i="2"/>
  <c r="J381" i="2"/>
  <c r="J407" i="2"/>
  <c r="J391" i="2"/>
  <c r="J404" i="2"/>
  <c r="J422" i="2"/>
  <c r="Q6" i="23" l="1"/>
  <c r="Q7" i="23" s="1"/>
  <c r="Q8" i="23"/>
  <c r="Q9" i="23" s="1"/>
  <c r="Q11" i="23"/>
  <c r="Q13" i="23" s="1"/>
  <c r="R11" i="23"/>
  <c r="R8" i="23"/>
  <c r="R6" i="23"/>
  <c r="AD576" i="2"/>
  <c r="F20" i="6"/>
  <c r="J111" i="2"/>
  <c r="J112" i="2"/>
  <c r="J113" i="2" s="1"/>
  <c r="J26" i="2"/>
  <c r="J31" i="2" s="1"/>
  <c r="AD562" i="2"/>
  <c r="AD548" i="2"/>
  <c r="AQ495" i="2"/>
  <c r="AR235" i="2" s="1"/>
  <c r="AR547" i="2"/>
  <c r="J171" i="2"/>
  <c r="S1" i="23"/>
  <c r="J363" i="2"/>
  <c r="J362" i="2"/>
  <c r="J382" i="2"/>
  <c r="J383" i="2"/>
  <c r="J405" i="2"/>
  <c r="J406" i="2"/>
  <c r="J354" i="2"/>
  <c r="J355" i="2"/>
  <c r="J424" i="2"/>
  <c r="J423" i="2"/>
  <c r="J393" i="2"/>
  <c r="J392" i="2"/>
  <c r="J351" i="2"/>
  <c r="J350" i="2"/>
  <c r="J343" i="2"/>
  <c r="J342" i="2"/>
  <c r="J379" i="2"/>
  <c r="J378" i="2"/>
  <c r="J409" i="2"/>
  <c r="J408" i="2"/>
  <c r="J359" i="2"/>
  <c r="J358" i="2"/>
  <c r="J331" i="2"/>
  <c r="J332" i="2"/>
  <c r="J320" i="2"/>
  <c r="J319" i="2"/>
  <c r="J324" i="2"/>
  <c r="S11" i="23" a="1"/>
  <c r="S8" i="23" a="1"/>
  <c r="S6" i="23" a="1"/>
  <c r="R7" i="23" l="1"/>
  <c r="R9" i="23"/>
  <c r="R13" i="23"/>
  <c r="S11" i="23"/>
  <c r="S13" i="23" s="1"/>
  <c r="S6" i="23"/>
  <c r="S7" i="23" s="1"/>
  <c r="S8" i="23"/>
  <c r="S9" i="23" s="1"/>
  <c r="AR548" i="2"/>
  <c r="AS547" i="2"/>
  <c r="I20" i="31" s="1"/>
  <c r="AR503" i="2"/>
  <c r="AS235" i="2"/>
  <c r="I19" i="31" s="1"/>
  <c r="T1" i="23"/>
  <c r="J326" i="2"/>
  <c r="J325" i="2"/>
  <c r="T11" i="23" a="1"/>
  <c r="T6" i="23" a="1"/>
  <c r="T8" i="23" a="1"/>
  <c r="T11" i="23" l="1"/>
  <c r="I19" i="6"/>
  <c r="I20" i="6"/>
  <c r="T8" i="23"/>
  <c r="T6" i="23"/>
  <c r="AS548" i="2"/>
  <c r="AR446" i="2"/>
  <c r="AS576" i="2" s="1"/>
  <c r="AS503" i="2"/>
  <c r="U1" i="23"/>
  <c r="O568" i="2"/>
  <c r="O565" i="2"/>
  <c r="O564" i="2"/>
  <c r="O562" i="2"/>
  <c r="O561" i="2"/>
  <c r="O560" i="2"/>
  <c r="O559" i="2"/>
  <c r="O558" i="2"/>
  <c r="O557" i="2"/>
  <c r="O556" i="2"/>
  <c r="O555" i="2"/>
  <c r="O554" i="2"/>
  <c r="O553" i="2"/>
  <c r="O552" i="2"/>
  <c r="O551" i="2"/>
  <c r="O548" i="2"/>
  <c r="O547" i="2"/>
  <c r="O576" i="2" s="1"/>
  <c r="O546" i="2"/>
  <c r="O545" i="2"/>
  <c r="O544" i="2"/>
  <c r="O543" i="2"/>
  <c r="O540" i="2"/>
  <c r="O539" i="2"/>
  <c r="O538" i="2"/>
  <c r="O536" i="2"/>
  <c r="O535" i="2"/>
  <c r="O534" i="2"/>
  <c r="O533" i="2"/>
  <c r="O532" i="2"/>
  <c r="O531" i="2"/>
  <c r="O530" i="2"/>
  <c r="O529" i="2"/>
  <c r="O528" i="2"/>
  <c r="O527" i="2"/>
  <c r="O524" i="2"/>
  <c r="O523" i="2"/>
  <c r="O522" i="2"/>
  <c r="O521" i="2"/>
  <c r="O520" i="2"/>
  <c r="O519" i="2"/>
  <c r="O518" i="2"/>
  <c r="O517" i="2"/>
  <c r="O516" i="2"/>
  <c r="O515" i="2"/>
  <c r="O514" i="2"/>
  <c r="O512" i="2"/>
  <c r="O511" i="2"/>
  <c r="O510" i="2"/>
  <c r="O509" i="2"/>
  <c r="O508" i="2"/>
  <c r="O507" i="2"/>
  <c r="O506" i="2"/>
  <c r="O505" i="2"/>
  <c r="O503" i="2"/>
  <c r="O501" i="2"/>
  <c r="S653" i="2"/>
  <c r="S570" i="2" s="1"/>
  <c r="S652" i="2"/>
  <c r="N653" i="2"/>
  <c r="N570" i="2" s="1"/>
  <c r="N652" i="2"/>
  <c r="N569" i="2" s="1"/>
  <c r="U11" i="23" a="1"/>
  <c r="U8" i="23" a="1"/>
  <c r="U6" i="23" a="1"/>
  <c r="T7" i="23" l="1"/>
  <c r="T13" i="23"/>
  <c r="T9" i="23"/>
  <c r="U11" i="23"/>
  <c r="U13" i="23" s="1"/>
  <c r="U6" i="23"/>
  <c r="U7" i="23" s="1"/>
  <c r="U8" i="23"/>
  <c r="U9" i="23" s="1"/>
  <c r="O575" i="2"/>
  <c r="O577" i="2"/>
  <c r="N566" i="2"/>
  <c r="AR495" i="2"/>
  <c r="AS236" i="2" s="1"/>
  <c r="AS446" i="2"/>
  <c r="AS495" i="2" s="1"/>
  <c r="W1" i="23"/>
  <c r="S649" i="2"/>
  <c r="S566" i="2" s="1"/>
  <c r="T570" i="2"/>
  <c r="N649" i="2"/>
  <c r="O570" i="2"/>
  <c r="W11" i="23" a="1"/>
  <c r="W6" i="23" a="1"/>
  <c r="W8" i="23" a="1"/>
  <c r="V6" i="23" l="1"/>
  <c r="V7" i="23" s="1"/>
  <c r="V11" i="23"/>
  <c r="V8" i="23"/>
  <c r="V9" i="23" s="1"/>
  <c r="W11" i="23"/>
  <c r="W8" i="23"/>
  <c r="W6" i="23"/>
  <c r="X1" i="23"/>
  <c r="T566" i="2"/>
  <c r="O566" i="2"/>
  <c r="X11" i="23" a="1"/>
  <c r="X8" i="23" a="1"/>
  <c r="X6" i="23" a="1"/>
  <c r="W7" i="23" l="1"/>
  <c r="W9" i="23"/>
  <c r="X11" i="23"/>
  <c r="X6" i="23"/>
  <c r="X7" i="23" s="1"/>
  <c r="X8" i="23"/>
  <c r="X9" i="23" s="1"/>
  <c r="Y1" i="23"/>
  <c r="X649" i="2"/>
  <c r="W649" i="2"/>
  <c r="W566" i="2" s="1"/>
  <c r="AB488" i="2"/>
  <c r="AA488" i="2"/>
  <c r="Z488" i="2"/>
  <c r="Y488" i="2"/>
  <c r="X488" i="2"/>
  <c r="W488" i="2"/>
  <c r="V488" i="2"/>
  <c r="U488" i="2"/>
  <c r="T488" i="2"/>
  <c r="S488" i="2"/>
  <c r="R488" i="2"/>
  <c r="Q488" i="2"/>
  <c r="O488" i="2"/>
  <c r="N488" i="2"/>
  <c r="Y11" i="23" a="1"/>
  <c r="Y6" i="23" a="1"/>
  <c r="Y8" i="23" a="1"/>
  <c r="Y11" i="23" l="1"/>
  <c r="Y8" i="23"/>
  <c r="Y6" i="23"/>
  <c r="Z1" i="23"/>
  <c r="X566" i="2"/>
  <c r="Y566" i="2"/>
  <c r="Z11" i="23" a="1"/>
  <c r="Z6" i="23" a="1"/>
  <c r="Z8" i="23" a="1"/>
  <c r="Y7" i="23" l="1"/>
  <c r="Y9" i="23"/>
  <c r="Z11" i="23"/>
  <c r="AA11" i="23" s="1"/>
  <c r="Z8" i="23"/>
  <c r="Z9" i="23" s="1"/>
  <c r="Z6" i="23"/>
  <c r="Z7" i="23" s="1"/>
  <c r="AB1" i="23"/>
  <c r="AB11" i="23" a="1"/>
  <c r="AB8" i="23" a="1"/>
  <c r="AB6" i="23" a="1"/>
  <c r="AA6" i="23" l="1"/>
  <c r="AA7" i="23" s="1"/>
  <c r="AA8" i="23"/>
  <c r="AA9" i="23" s="1"/>
  <c r="AB11" i="23"/>
  <c r="AB6" i="23"/>
  <c r="AB8" i="23"/>
  <c r="AC1" i="23"/>
  <c r="AC11" i="23" a="1"/>
  <c r="AC6" i="23" a="1"/>
  <c r="AC8" i="23" a="1"/>
  <c r="AB7" i="23" l="1"/>
  <c r="AB9" i="23"/>
  <c r="AC11" i="23"/>
  <c r="AC8" i="23"/>
  <c r="AC9" i="23" s="1"/>
  <c r="AC6" i="23"/>
  <c r="AC7" i="23" s="1"/>
  <c r="AD1" i="23"/>
  <c r="AD11" i="23" a="1"/>
  <c r="AD8" i="23" a="1"/>
  <c r="AD6" i="23" a="1"/>
  <c r="AD11" i="23" l="1"/>
  <c r="AD6" i="23"/>
  <c r="AD7" i="23" s="1"/>
  <c r="AD8" i="23"/>
  <c r="AD9" i="23" s="1"/>
  <c r="AE1" i="23"/>
  <c r="AE11" i="23" a="1"/>
  <c r="AE8" i="23" a="1"/>
  <c r="AE6" i="23" a="1"/>
  <c r="AE11" i="23" l="1"/>
  <c r="AF11" i="23" s="1"/>
  <c r="AE6" i="23"/>
  <c r="AE8" i="23"/>
  <c r="AE9" i="23" s="1"/>
  <c r="AG1" i="23"/>
  <c r="AG11" i="23" a="1"/>
  <c r="AG8" i="23" a="1"/>
  <c r="AG6" i="23" a="1"/>
  <c r="AE7" i="23" l="1"/>
  <c r="AF6" i="23"/>
  <c r="AF7" i="23" s="1"/>
  <c r="AF8" i="23"/>
  <c r="AF9" i="23" s="1"/>
  <c r="AG11" i="23"/>
  <c r="AG6" i="23"/>
  <c r="AG8" i="23"/>
  <c r="AH1" i="23"/>
  <c r="J19" i="6"/>
  <c r="AH11" i="23" a="1"/>
  <c r="AH6" i="23" a="1"/>
  <c r="AH8" i="23" a="1"/>
  <c r="AG9" i="23" l="1"/>
  <c r="AG7" i="23"/>
  <c r="AH11" i="23"/>
  <c r="AH8" i="23"/>
  <c r="AH9" i="23" s="1"/>
  <c r="AH6" i="23"/>
  <c r="AH7" i="23" s="1"/>
  <c r="AI1" i="23"/>
  <c r="AI11" i="23" a="1"/>
  <c r="AI6" i="23" a="1"/>
  <c r="AI8" i="23" a="1"/>
  <c r="AI11" i="23" l="1"/>
  <c r="AI8" i="23"/>
  <c r="AI9" i="23" s="1"/>
  <c r="AI6" i="23"/>
  <c r="AI7" i="23" s="1"/>
  <c r="AJ1" i="23"/>
  <c r="AJ11" i="23" a="1"/>
  <c r="AJ6" i="23" a="1"/>
  <c r="AJ8" i="23" a="1"/>
  <c r="AJ11" i="23" l="1"/>
  <c r="AK11" i="23" s="1"/>
  <c r="AJ8" i="23"/>
  <c r="AJ9" i="23" s="1"/>
  <c r="AJ6" i="23"/>
  <c r="AJ7" i="23" s="1"/>
  <c r="AL1" i="23"/>
  <c r="AL11" i="23" a="1"/>
  <c r="AL6" i="23" a="1"/>
  <c r="AL8" i="23" a="1"/>
  <c r="AK8" i="23" l="1"/>
  <c r="AK9" i="23" s="1"/>
  <c r="AK6" i="23"/>
  <c r="AK7" i="23" s="1"/>
  <c r="AL11" i="23"/>
  <c r="AL8" i="23"/>
  <c r="AL6" i="23"/>
  <c r="AM1" i="23"/>
  <c r="AM11" i="23" a="1"/>
  <c r="AM6" i="23" a="1"/>
  <c r="AM8" i="23" a="1"/>
  <c r="AL9" i="23" l="1"/>
  <c r="AL13" i="23"/>
  <c r="AL7" i="23"/>
  <c r="AM11" i="23"/>
  <c r="AM13" i="23" s="1"/>
  <c r="AM8" i="23"/>
  <c r="AM9" i="23" s="1"/>
  <c r="AM6" i="23"/>
  <c r="AM7" i="23"/>
  <c r="AN1" i="23"/>
  <c r="AN11" i="23" a="1"/>
  <c r="AN8" i="23" a="1"/>
  <c r="AN6" i="23" a="1"/>
  <c r="AN11" i="23" l="1"/>
  <c r="AN13" i="23" s="1"/>
  <c r="AN6" i="23"/>
  <c r="AN8" i="23"/>
  <c r="AN9" i="23" s="1"/>
  <c r="AO1" i="23"/>
  <c r="AO11" i="23" a="1"/>
  <c r="AO6" i="23" a="1"/>
  <c r="AO8" i="23" a="1"/>
  <c r="AN7" i="23" l="1"/>
  <c r="AO11" i="23"/>
  <c r="AO13" i="23" s="1"/>
  <c r="AO8" i="23"/>
  <c r="AO9" i="23" s="1"/>
  <c r="AO6" i="23"/>
  <c r="AO7" i="23" s="1"/>
  <c r="AP6" i="23" l="1"/>
  <c r="AP7" i="23" s="1"/>
  <c r="AP11" i="23"/>
  <c r="AP13" i="23" s="1"/>
  <c r="AP8" i="23"/>
  <c r="AP9" i="23" s="1"/>
  <c r="AS7" i="2"/>
  <c r="AS4" i="2"/>
  <c r="AR4" i="2"/>
  <c r="AQ4" i="2"/>
  <c r="AP4" i="2"/>
  <c r="AO4" i="2"/>
  <c r="AR3" i="2"/>
  <c r="AQ3" i="2"/>
  <c r="AP3" i="2"/>
  <c r="AO3" i="2"/>
  <c r="AR62" i="2" a="1"/>
  <c r="AP28" i="2" a="1"/>
  <c r="AR228" i="2" a="1"/>
  <c r="AQ170" i="2" a="1"/>
  <c r="AP330" i="2" a="1"/>
  <c r="AQ323" i="2" a="1"/>
  <c r="AO316" i="2" a="1"/>
  <c r="AP314" i="2" a="1"/>
  <c r="AR315" i="2" a="1"/>
  <c r="AP329" i="2" a="1"/>
  <c r="AO62" i="2" a="1"/>
  <c r="AR27" i="2" a="1"/>
  <c r="AQ228" i="2" a="1"/>
  <c r="AQ168" i="2" a="1"/>
  <c r="AR330" i="2" a="1"/>
  <c r="AS314" i="2" a="1"/>
  <c r="AO318" i="2" a="1"/>
  <c r="AS318" i="2" a="1"/>
  <c r="AR323" i="2" a="1"/>
  <c r="AS329" i="2" a="1"/>
  <c r="AO110" i="2" a="1"/>
  <c r="AP249" i="2" a="1"/>
  <c r="AQ318" i="2" a="1"/>
  <c r="AQ110" i="2" a="1"/>
  <c r="AS213" i="2" a="1"/>
  <c r="AQ62" i="2" a="1"/>
  <c r="AQ27" i="2" a="1"/>
  <c r="AP228" i="2" a="1"/>
  <c r="AP170" i="2" a="1"/>
  <c r="AO322" i="2" a="1"/>
  <c r="AS330" i="2" a="1"/>
  <c r="AR322" i="2" a="1"/>
  <c r="AQ322" i="2" a="1"/>
  <c r="AP317" i="2" a="1"/>
  <c r="AO323" i="2" a="1"/>
  <c r="AO228" i="2" a="1"/>
  <c r="AO314" i="2" a="1"/>
  <c r="AR110" i="2" a="1"/>
  <c r="AO249" i="2" a="1"/>
  <c r="AR329" i="2" a="1"/>
  <c r="AR213" i="2" a="1"/>
  <c r="AP62" i="2" a="1"/>
  <c r="AP27" i="2" a="1"/>
  <c r="AQ249" i="2" a="1"/>
  <c r="AP168" i="2" a="1"/>
  <c r="AP323" i="2" a="1"/>
  <c r="AR317" i="2" a="1"/>
  <c r="AS316" i="2" a="1"/>
  <c r="AS323" i="2" a="1"/>
  <c r="AQ329" i="2" a="1"/>
  <c r="AO315" i="2" a="1"/>
  <c r="AO213" i="2" a="1"/>
  <c r="AO170" i="2" a="1"/>
  <c r="AQ314" i="2" a="1"/>
  <c r="AS62" i="2" a="1"/>
  <c r="AO168" i="2" a="1"/>
  <c r="AS317" i="2" a="1"/>
  <c r="AP110" i="2" a="1"/>
  <c r="AQ213" i="2" a="1"/>
  <c r="AS28" i="2" a="1"/>
  <c r="AO27" i="2" a="1"/>
  <c r="AS249" i="2" a="1"/>
  <c r="AR170" i="2" a="1"/>
  <c r="AO317" i="2" a="1"/>
  <c r="AP322" i="2" a="1"/>
  <c r="AR316" i="2" a="1"/>
  <c r="AR314" i="2" a="1"/>
  <c r="AP318" i="2" a="1"/>
  <c r="AQ316" i="2" a="1"/>
  <c r="AO28" i="2" a="1"/>
  <c r="AQ28" i="2" a="1"/>
  <c r="AP315" i="2" a="1"/>
  <c r="AP213" i="2" a="1"/>
  <c r="AR28" i="2" a="1"/>
  <c r="AS27" i="2" a="1"/>
  <c r="AR249" i="2" a="1"/>
  <c r="AR168" i="2" a="1"/>
  <c r="AS315" i="2" a="1"/>
  <c r="AR318" i="2" a="1"/>
  <c r="AP316" i="2" a="1"/>
  <c r="AQ315" i="2" a="1"/>
  <c r="AQ317" i="2" a="1"/>
  <c r="AS110" i="2" a="1"/>
  <c r="AO330" i="2" a="1"/>
  <c r="AQ330" i="2" a="1"/>
  <c r="AS228" i="2" a="1"/>
  <c r="AO329" i="2" a="1"/>
  <c r="AS322" i="2" a="1"/>
  <c r="AK6" i="3" l="1"/>
  <c r="AM2" i="26"/>
  <c r="AM47" i="26" s="1"/>
  <c r="AM98" i="26" s="1"/>
  <c r="AL6" i="3"/>
  <c r="AN2" i="26"/>
  <c r="AN47" i="26" s="1"/>
  <c r="AN98" i="26" s="1"/>
  <c r="AM6" i="3"/>
  <c r="AO2" i="26"/>
  <c r="AO47" i="26" s="1"/>
  <c r="AO98" i="26" s="1"/>
  <c r="AN6" i="3"/>
  <c r="AP2" i="26"/>
  <c r="AP47" i="26" s="1"/>
  <c r="AP98" i="26" s="1"/>
  <c r="AO6" i="3"/>
  <c r="AQ2" i="26"/>
  <c r="AQ47" i="26" s="1"/>
  <c r="AQ98" i="26" s="1"/>
  <c r="AO213" i="2"/>
  <c r="AK21" i="3" s="1"/>
  <c r="AP213" i="2"/>
  <c r="AL21" i="3" s="1"/>
  <c r="AQ213" i="2"/>
  <c r="AM21" i="3" s="1"/>
  <c r="AR213" i="2"/>
  <c r="AN21" i="3" s="1"/>
  <c r="AS213" i="2"/>
  <c r="AO21" i="3" s="1"/>
  <c r="AP62" i="2"/>
  <c r="AQ62" i="2"/>
  <c r="AO62" i="2"/>
  <c r="AR62" i="2"/>
  <c r="AS62" i="2"/>
  <c r="AP28" i="2"/>
  <c r="AQ28" i="2"/>
  <c r="AO28" i="2"/>
  <c r="AR28" i="2"/>
  <c r="AS28" i="2"/>
  <c r="AS27" i="2"/>
  <c r="AO27" i="2"/>
  <c r="AP27" i="2"/>
  <c r="AQ27" i="2"/>
  <c r="AR27" i="2"/>
  <c r="AO110" i="2"/>
  <c r="AK55" i="3" s="1"/>
  <c r="AP110" i="2"/>
  <c r="AQ110" i="2"/>
  <c r="AM55" i="3" s="1"/>
  <c r="AR110" i="2"/>
  <c r="AN55" i="3" s="1"/>
  <c r="AS110" i="2"/>
  <c r="AO55" i="3" s="1"/>
  <c r="AP228" i="2"/>
  <c r="AQ228" i="2"/>
  <c r="AR228" i="2"/>
  <c r="AS228" i="2"/>
  <c r="AO228" i="2"/>
  <c r="AO249" i="2"/>
  <c r="AK25" i="3" s="1"/>
  <c r="AP249" i="2"/>
  <c r="AL25" i="3" s="1"/>
  <c r="AR249" i="2"/>
  <c r="AN25" i="3" s="1"/>
  <c r="AS249" i="2"/>
  <c r="AO25" i="3" s="1"/>
  <c r="AQ249" i="2"/>
  <c r="AM25" i="3" s="1"/>
  <c r="AO168" i="2"/>
  <c r="AK9" i="3" s="1"/>
  <c r="AO170" i="2"/>
  <c r="AR168" i="2"/>
  <c r="AN9" i="3" s="1"/>
  <c r="AR170" i="2"/>
  <c r="AP168" i="2"/>
  <c r="AL9" i="3" s="1"/>
  <c r="AP170" i="2"/>
  <c r="AQ168" i="2"/>
  <c r="AM9" i="3" s="1"/>
  <c r="AQ170" i="2"/>
  <c r="AQ329" i="2"/>
  <c r="AR329" i="2"/>
  <c r="AO329" i="2"/>
  <c r="AS329" i="2"/>
  <c r="AP329" i="2"/>
  <c r="AR330" i="2"/>
  <c r="AP330" i="2"/>
  <c r="AS330" i="2"/>
  <c r="AQ330" i="2"/>
  <c r="AO330" i="2"/>
  <c r="AP322" i="2"/>
  <c r="AP323" i="2"/>
  <c r="AP316" i="2"/>
  <c r="AP317" i="2"/>
  <c r="AP318" i="2"/>
  <c r="AP314" i="2"/>
  <c r="AP315" i="2"/>
  <c r="AQ322" i="2"/>
  <c r="AQ323" i="2"/>
  <c r="AQ316" i="2"/>
  <c r="AQ317" i="2"/>
  <c r="AQ318" i="2"/>
  <c r="AQ315" i="2"/>
  <c r="AQ314" i="2"/>
  <c r="AR323" i="2"/>
  <c r="AR322" i="2"/>
  <c r="AR317" i="2"/>
  <c r="AR318" i="2"/>
  <c r="AR316" i="2"/>
  <c r="AR314" i="2"/>
  <c r="AR315" i="2"/>
  <c r="AO322" i="2"/>
  <c r="AO323" i="2"/>
  <c r="AO318" i="2"/>
  <c r="AO317" i="2"/>
  <c r="AO314" i="2"/>
  <c r="AO316" i="2"/>
  <c r="AO315" i="2"/>
  <c r="AS322" i="2"/>
  <c r="AS323" i="2"/>
  <c r="AS318" i="2"/>
  <c r="AS317" i="2"/>
  <c r="AS316" i="2"/>
  <c r="AS315" i="2"/>
  <c r="AS314" i="2"/>
  <c r="AS33" i="2" l="1"/>
  <c r="AO32" i="3"/>
  <c r="AO33" i="3" s="1"/>
  <c r="AS32" i="2"/>
  <c r="AO36" i="3"/>
  <c r="AO37" i="3" s="1"/>
  <c r="AP112" i="2"/>
  <c r="AL55" i="3"/>
  <c r="AR33" i="2"/>
  <c r="AN32" i="3"/>
  <c r="AN33" i="3" s="1"/>
  <c r="AP63" i="2"/>
  <c r="AL47" i="3"/>
  <c r="AO33" i="2"/>
  <c r="AK32" i="3"/>
  <c r="AK33" i="3" s="1"/>
  <c r="AO63" i="2"/>
  <c r="AK47" i="3"/>
  <c r="AR32" i="2"/>
  <c r="AN36" i="3"/>
  <c r="AN37" i="3" s="1"/>
  <c r="AQ33" i="2"/>
  <c r="AM32" i="3"/>
  <c r="AM33" i="3" s="1"/>
  <c r="AQ32" i="2"/>
  <c r="AM36" i="3"/>
  <c r="AM37" i="3" s="1"/>
  <c r="AP33" i="2"/>
  <c r="AL32" i="3"/>
  <c r="AL33" i="3" s="1"/>
  <c r="AP32" i="2"/>
  <c r="AL36" i="3"/>
  <c r="AL37" i="3" s="1"/>
  <c r="AO47" i="3"/>
  <c r="AQ63" i="2"/>
  <c r="AM47" i="3"/>
  <c r="AO32" i="2"/>
  <c r="AK36" i="3"/>
  <c r="AK37" i="3" s="1"/>
  <c r="AR63" i="2"/>
  <c r="AN47" i="3"/>
  <c r="AS170" i="2"/>
  <c r="AS168" i="2"/>
  <c r="AO9" i="3" s="1"/>
  <c r="AQ112" i="2"/>
  <c r="AS112" i="2"/>
  <c r="AR112" i="2"/>
  <c r="AO112" i="2"/>
  <c r="AQ26" i="2"/>
  <c r="AO26" i="2"/>
  <c r="AS26" i="2"/>
  <c r="AR26" i="2"/>
  <c r="AP26" i="2"/>
  <c r="AP171" i="2"/>
  <c r="AL17" i="3" s="1"/>
  <c r="AQ171" i="2"/>
  <c r="AM17" i="3" s="1"/>
  <c r="AO171" i="2"/>
  <c r="AK17" i="3" s="1"/>
  <c r="AR171" i="2"/>
  <c r="AN17" i="3" s="1"/>
  <c r="AS324" i="2"/>
  <c r="AP324" i="2"/>
  <c r="AR324" i="2"/>
  <c r="AQ324" i="2"/>
  <c r="AO324" i="2"/>
  <c r="AO31" i="2" l="1"/>
  <c r="AK40" i="3"/>
  <c r="AK41" i="3" s="1"/>
  <c r="AQ31" i="2"/>
  <c r="AM40" i="3"/>
  <c r="AM41" i="3" s="1"/>
  <c r="AN51" i="3"/>
  <c r="AN48" i="3"/>
  <c r="AK51" i="3"/>
  <c r="AK48" i="3"/>
  <c r="AM51" i="3"/>
  <c r="AM48" i="3"/>
  <c r="AP31" i="2"/>
  <c r="AL40" i="3"/>
  <c r="AL41" i="3" s="1"/>
  <c r="AR31" i="2"/>
  <c r="AN40" i="3"/>
  <c r="AN41" i="3" s="1"/>
  <c r="AO51" i="3"/>
  <c r="AL51" i="3"/>
  <c r="AL48" i="3"/>
  <c r="AS31" i="2"/>
  <c r="AO40" i="3"/>
  <c r="AO41" i="3" s="1"/>
  <c r="AS171" i="2"/>
  <c r="AO17" i="3" s="1"/>
  <c r="C6" i="3" l="1"/>
  <c r="C5" i="3"/>
  <c r="C26" i="31" a="1"/>
  <c r="C26" i="29" a="1"/>
  <c r="C26" i="28" a="1"/>
  <c r="R5" i="2" a="1"/>
  <c r="R6" i="2" a="1"/>
  <c r="Q6" i="2" a="1"/>
  <c r="Q5" i="2" a="1"/>
  <c r="AA5" i="2" a="1"/>
  <c r="AA6" i="2" a="1"/>
  <c r="N6" i="2" a="1"/>
  <c r="N5" i="2" a="1"/>
  <c r="U6" i="2" a="1"/>
  <c r="U5" i="2" a="1"/>
  <c r="V5" i="2" a="1"/>
  <c r="V6" i="2" a="1"/>
  <c r="P6" i="2" a="1"/>
  <c r="P5" i="2" a="1"/>
  <c r="Z5" i="2" a="1"/>
  <c r="Z6" i="2" a="1"/>
  <c r="M6" i="2" a="1"/>
  <c r="M5" i="2" a="1"/>
  <c r="S5" i="2" a="1"/>
  <c r="S6" i="2" a="1"/>
  <c r="W6" i="2" a="1"/>
  <c r="W5" i="2" a="1"/>
  <c r="X6" i="2" a="1"/>
  <c r="X5" i="2" a="1"/>
  <c r="AB5" i="2" a="1"/>
  <c r="AB6" i="2" a="1"/>
  <c r="C28" i="3" a="1"/>
  <c r="G4" i="3" a="1"/>
  <c r="G2" i="3" a="1"/>
  <c r="C33" i="3" a="1"/>
  <c r="C14" i="3" a="1"/>
  <c r="C32" i="3" a="1"/>
  <c r="C9" i="3" a="1"/>
  <c r="C34" i="3" a="1"/>
  <c r="C26" i="6" a="1"/>
  <c r="C35" i="3" a="1"/>
  <c r="C29" i="3" a="1"/>
  <c r="C26" i="31" l="1"/>
  <c r="C27" i="31" s="1"/>
  <c r="C18" i="31" s="1"/>
  <c r="B4" i="31"/>
  <c r="C26" i="29"/>
  <c r="C27" i="29" s="1"/>
  <c r="C18" i="29" s="1"/>
  <c r="B4" i="29"/>
  <c r="C26" i="28"/>
  <c r="C27" i="28" s="1"/>
  <c r="C18" i="28" s="1"/>
  <c r="B4" i="28"/>
  <c r="C29" i="3"/>
  <c r="C35" i="3"/>
  <c r="C26" i="6"/>
  <c r="C27" i="6" s="1"/>
  <c r="C34" i="3"/>
  <c r="C9" i="3"/>
  <c r="C10" i="3" s="1"/>
  <c r="C32" i="3"/>
  <c r="C14" i="3"/>
  <c r="C33" i="3"/>
  <c r="G2" i="3"/>
  <c r="G4" i="3"/>
  <c r="C28" i="3"/>
  <c r="AB6" i="2"/>
  <c r="AB5" i="2"/>
  <c r="X5" i="2"/>
  <c r="AC5" i="2" s="1"/>
  <c r="X6" i="2"/>
  <c r="W5" i="2"/>
  <c r="W6" i="2"/>
  <c r="S6" i="2"/>
  <c r="S5" i="2"/>
  <c r="M5" i="2"/>
  <c r="M6" i="2"/>
  <c r="H6" i="2" s="1"/>
  <c r="Z6" i="2"/>
  <c r="Z5" i="2"/>
  <c r="P5" i="2"/>
  <c r="P6" i="2"/>
  <c r="V6" i="2"/>
  <c r="V5" i="2"/>
  <c r="U5" i="2"/>
  <c r="U6" i="2"/>
  <c r="N5" i="2"/>
  <c r="I5" i="2" s="1"/>
  <c r="N6" i="2"/>
  <c r="AA6" i="2"/>
  <c r="AA5" i="2"/>
  <c r="Q5" i="2"/>
  <c r="Q6" i="2"/>
  <c r="R6" i="2"/>
  <c r="R5" i="2"/>
  <c r="C12" i="31"/>
  <c r="C12" i="29"/>
  <c r="C12" i="28"/>
  <c r="AB10" i="2" a="1"/>
  <c r="AB9" i="2" a="1"/>
  <c r="N349" i="2"/>
  <c r="N425" i="2"/>
  <c r="N353" i="2"/>
  <c r="N411" i="2"/>
  <c r="N401" i="2"/>
  <c r="N385" i="2"/>
  <c r="V366" i="2"/>
  <c r="V414" i="2"/>
  <c r="V370" i="2"/>
  <c r="V373" i="2"/>
  <c r="V337" i="2"/>
  <c r="V357" i="2"/>
  <c r="V407" i="2"/>
  <c r="V345" i="2"/>
  <c r="V404" i="2"/>
  <c r="V377" i="2"/>
  <c r="V419" i="2"/>
  <c r="V349" i="2"/>
  <c r="V361" i="2"/>
  <c r="V425" i="2"/>
  <c r="V353" i="2"/>
  <c r="V422" i="2"/>
  <c r="V411" i="2"/>
  <c r="V341" i="2"/>
  <c r="V401" i="2"/>
  <c r="V381" i="2"/>
  <c r="V385" i="2"/>
  <c r="AC414" i="2"/>
  <c r="AC357" i="2"/>
  <c r="AC366" i="2"/>
  <c r="AC422" i="2"/>
  <c r="AC373" i="2"/>
  <c r="AC425" i="2"/>
  <c r="AC419" i="2"/>
  <c r="AC377" i="2"/>
  <c r="AC337" i="2"/>
  <c r="AC370" i="2"/>
  <c r="AC401" i="2"/>
  <c r="AC381" i="2"/>
  <c r="AC404" i="2"/>
  <c r="AC353" i="2"/>
  <c r="AC345" i="2"/>
  <c r="AC407" i="2"/>
  <c r="AC349" i="2"/>
  <c r="AC411" i="2"/>
  <c r="AC341" i="2"/>
  <c r="AC361" i="2"/>
  <c r="AC385" i="2"/>
  <c r="S366" i="2"/>
  <c r="S414" i="2"/>
  <c r="S407" i="2"/>
  <c r="S357" i="2"/>
  <c r="S345" i="2"/>
  <c r="S373" i="2"/>
  <c r="S404" i="2"/>
  <c r="S337" i="2"/>
  <c r="S411" i="2"/>
  <c r="S425" i="2"/>
  <c r="S401" i="2"/>
  <c r="S353" i="2"/>
  <c r="S361" i="2"/>
  <c r="S419" i="2"/>
  <c r="S377" i="2"/>
  <c r="S349" i="2"/>
  <c r="S370" i="2"/>
  <c r="S422" i="2"/>
  <c r="S341" i="2"/>
  <c r="S385" i="2"/>
  <c r="S381" i="2"/>
  <c r="Q9" i="2" a="1"/>
  <c r="Q10" i="2" a="1"/>
  <c r="Z9" i="2" a="1"/>
  <c r="Z10" i="2" a="1"/>
  <c r="X9" i="2" a="1"/>
  <c r="X10" i="2" a="1"/>
  <c r="AA373" i="2"/>
  <c r="AA411" i="2"/>
  <c r="AA353" i="2"/>
  <c r="AA414" i="2"/>
  <c r="AA361" i="2"/>
  <c r="AA366" i="2"/>
  <c r="AA422" i="2"/>
  <c r="AA370" i="2"/>
  <c r="AA404" i="2"/>
  <c r="AA407" i="2"/>
  <c r="AA357" i="2"/>
  <c r="AA401" i="2"/>
  <c r="AA345" i="2"/>
  <c r="AA349" i="2"/>
  <c r="AA419" i="2"/>
  <c r="AA337" i="2"/>
  <c r="AA341" i="2"/>
  <c r="AA377" i="2"/>
  <c r="AA425" i="2"/>
  <c r="AA385" i="2"/>
  <c r="AA381" i="2"/>
  <c r="N9" i="2" a="1"/>
  <c r="N10" i="2" a="1"/>
  <c r="W10" i="2" a="1"/>
  <c r="W9" i="2" a="1"/>
  <c r="P10" i="2" a="1"/>
  <c r="P9" i="2" a="1"/>
  <c r="AB370" i="2"/>
  <c r="AB341" i="2"/>
  <c r="AB357" i="2"/>
  <c r="AB366" i="2"/>
  <c r="AB422" i="2"/>
  <c r="AB401" i="2"/>
  <c r="AB345" i="2"/>
  <c r="AB425" i="2"/>
  <c r="AB419" i="2"/>
  <c r="AB337" i="2"/>
  <c r="AB377" i="2"/>
  <c r="AB411" i="2"/>
  <c r="AB404" i="2"/>
  <c r="AB373" i="2"/>
  <c r="AB361" i="2"/>
  <c r="AB381" i="2"/>
  <c r="AB349" i="2"/>
  <c r="AB353" i="2"/>
  <c r="AB407" i="2"/>
  <c r="AB414" i="2"/>
  <c r="AB385" i="2"/>
  <c r="X370" i="2"/>
  <c r="X357" i="2"/>
  <c r="X349" i="2"/>
  <c r="X345" i="2"/>
  <c r="X353" i="2"/>
  <c r="X366" i="2"/>
  <c r="X385" i="2"/>
  <c r="X425" i="2"/>
  <c r="X377" i="2"/>
  <c r="X422" i="2"/>
  <c r="X361" i="2"/>
  <c r="X414" i="2"/>
  <c r="X381" i="2"/>
  <c r="X407" i="2"/>
  <c r="X404" i="2"/>
  <c r="X341" i="2"/>
  <c r="X419" i="2"/>
  <c r="X373" i="2"/>
  <c r="X337" i="2"/>
  <c r="X401" i="2"/>
  <c r="X411" i="2"/>
  <c r="Q373" i="2"/>
  <c r="Q337" i="2"/>
  <c r="Q419" i="2"/>
  <c r="Q422" i="2"/>
  <c r="Q345" i="2"/>
  <c r="Q341" i="2"/>
  <c r="Q381" i="2"/>
  <c r="Q414" i="2"/>
  <c r="Q366" i="2"/>
  <c r="Q349" i="2"/>
  <c r="Q404" i="2"/>
  <c r="Q401" i="2"/>
  <c r="Q370" i="2"/>
  <c r="Q357" i="2"/>
  <c r="Q361" i="2"/>
  <c r="Q385" i="2"/>
  <c r="Q353" i="2"/>
  <c r="Q407" i="2"/>
  <c r="Q377" i="2"/>
  <c r="Q425" i="2"/>
  <c r="Q411" i="2"/>
  <c r="AA9" i="2" a="1"/>
  <c r="AA10" i="2" a="1"/>
  <c r="S9" i="2" a="1"/>
  <c r="S10" i="2" a="1"/>
  <c r="V10" i="2" a="1"/>
  <c r="V9" i="2" a="1"/>
  <c r="R357" i="2"/>
  <c r="R377" i="2"/>
  <c r="R366" i="2"/>
  <c r="R370" i="2"/>
  <c r="R385" i="2"/>
  <c r="R381" i="2"/>
  <c r="R414" i="2"/>
  <c r="R425" i="2"/>
  <c r="R373" i="2"/>
  <c r="R337" i="2"/>
  <c r="R422" i="2"/>
  <c r="R353" i="2"/>
  <c r="R404" i="2"/>
  <c r="R345" i="2"/>
  <c r="R361" i="2"/>
  <c r="R349" i="2"/>
  <c r="R341" i="2"/>
  <c r="R411" i="2"/>
  <c r="R407" i="2"/>
  <c r="R419" i="2"/>
  <c r="R401" i="2"/>
  <c r="W377" i="2"/>
  <c r="W341" i="2"/>
  <c r="W381" i="2"/>
  <c r="W357" i="2"/>
  <c r="W361" i="2"/>
  <c r="W401" i="2"/>
  <c r="W345" i="2"/>
  <c r="W414" i="2"/>
  <c r="W349" i="2"/>
  <c r="W373" i="2"/>
  <c r="W425" i="2"/>
  <c r="W353" i="2"/>
  <c r="W411" i="2"/>
  <c r="W366" i="2"/>
  <c r="W422" i="2"/>
  <c r="W404" i="2"/>
  <c r="W337" i="2"/>
  <c r="W370" i="2"/>
  <c r="W407" i="2"/>
  <c r="W385" i="2"/>
  <c r="W419" i="2"/>
  <c r="N381" i="2"/>
  <c r="N414" i="2"/>
  <c r="N373" i="2"/>
  <c r="N361" i="2"/>
  <c r="N357" i="2"/>
  <c r="N337" i="2"/>
  <c r="N341" i="2"/>
  <c r="N370" i="2"/>
  <c r="N407" i="2"/>
  <c r="N366" i="2"/>
  <c r="N419" i="2"/>
  <c r="N345" i="2"/>
  <c r="N404" i="2"/>
  <c r="N422" i="2"/>
  <c r="N377" i="2"/>
  <c r="U10" i="2" a="1"/>
  <c r="U9" i="2" a="1"/>
  <c r="R10" i="2" a="1"/>
  <c r="R9" i="2" a="1"/>
  <c r="C15" i="31" l="1"/>
  <c r="C17" i="31" s="1"/>
  <c r="C21" i="31" s="1"/>
  <c r="J8" i="3"/>
  <c r="J17" i="3"/>
  <c r="C15" i="29"/>
  <c r="C17" i="29" s="1"/>
  <c r="K37" i="29"/>
  <c r="G37" i="29"/>
  <c r="C15" i="28"/>
  <c r="C17" i="28" s="1"/>
  <c r="P9" i="2"/>
  <c r="P10" i="2"/>
  <c r="W9" i="2"/>
  <c r="W10" i="2"/>
  <c r="N10" i="2"/>
  <c r="N9" i="2"/>
  <c r="X10" i="2"/>
  <c r="X9" i="2"/>
  <c r="Z10" i="2"/>
  <c r="Z9" i="2"/>
  <c r="Q10" i="2"/>
  <c r="Q9" i="2"/>
  <c r="AB9" i="2"/>
  <c r="AB10" i="2"/>
  <c r="R9" i="2"/>
  <c r="R10" i="2"/>
  <c r="U9" i="2"/>
  <c r="U10" i="2"/>
  <c r="V9" i="2"/>
  <c r="V10" i="2"/>
  <c r="S10" i="2"/>
  <c r="S9" i="2"/>
  <c r="AA10" i="2"/>
  <c r="AA9" i="2"/>
  <c r="L6" i="2"/>
  <c r="G6" i="2" s="1"/>
  <c r="I6" i="2"/>
  <c r="H5" i="2"/>
  <c r="L5" i="2"/>
  <c r="K5" i="2"/>
  <c r="AC6" i="2"/>
  <c r="AE6" i="2"/>
  <c r="AE5" i="2"/>
  <c r="K6" i="2"/>
  <c r="F6" i="2" s="1"/>
  <c r="AF5" i="2"/>
  <c r="AF6" i="2"/>
  <c r="AA424" i="2"/>
  <c r="AA406" i="2"/>
  <c r="R424" i="2"/>
  <c r="AA413" i="2"/>
  <c r="N415" i="2"/>
  <c r="N416" i="2"/>
  <c r="N402" i="2"/>
  <c r="N403" i="2"/>
  <c r="AB387" i="2"/>
  <c r="S382" i="2"/>
  <c r="S371" i="2"/>
  <c r="S338" i="2"/>
  <c r="Q379" i="2"/>
  <c r="R343" i="2"/>
  <c r="AB347" i="2"/>
  <c r="W343" i="2"/>
  <c r="S351" i="2"/>
  <c r="V359" i="2"/>
  <c r="W342" i="2"/>
  <c r="S346" i="2"/>
  <c r="G3" i="3"/>
  <c r="M373" i="2"/>
  <c r="M353" i="2"/>
  <c r="M345" i="2"/>
  <c r="M370" i="2"/>
  <c r="M414" i="2"/>
  <c r="M401" i="2"/>
  <c r="M381" i="2"/>
  <c r="M377" i="2"/>
  <c r="M407" i="2"/>
  <c r="M419" i="2"/>
  <c r="M349" i="2"/>
  <c r="M337" i="2"/>
  <c r="M404" i="2"/>
  <c r="M357" i="2"/>
  <c r="M422" i="2"/>
  <c r="M366" i="2"/>
  <c r="M361" i="2"/>
  <c r="M425" i="2"/>
  <c r="M411" i="2"/>
  <c r="M341" i="2"/>
  <c r="M385" i="2"/>
  <c r="L401" i="2"/>
  <c r="L425" i="2"/>
  <c r="L377" i="2"/>
  <c r="L407" i="2"/>
  <c r="L422" i="2"/>
  <c r="L419" i="2"/>
  <c r="L337" i="2"/>
  <c r="L370" i="2"/>
  <c r="L361" i="2"/>
  <c r="L404" i="2"/>
  <c r="L345" i="2"/>
  <c r="L341" i="2"/>
  <c r="L414" i="2"/>
  <c r="L381" i="2"/>
  <c r="L357" i="2"/>
  <c r="L411" i="2"/>
  <c r="L366" i="2"/>
  <c r="L353" i="2"/>
  <c r="L349" i="2"/>
  <c r="L373" i="2"/>
  <c r="L385" i="2"/>
  <c r="AF401" i="2"/>
  <c r="AF345" i="2"/>
  <c r="AF373" i="2"/>
  <c r="AF411" i="2"/>
  <c r="AF425" i="2"/>
  <c r="AF419" i="2"/>
  <c r="AF349" i="2"/>
  <c r="I411" i="2"/>
  <c r="I349" i="2"/>
  <c r="I419" i="2"/>
  <c r="I425" i="2"/>
  <c r="I366" i="2"/>
  <c r="I341" i="2"/>
  <c r="I401" i="2"/>
  <c r="I377" i="2"/>
  <c r="I337" i="2"/>
  <c r="I361" i="2"/>
  <c r="I353" i="2"/>
  <c r="I373" i="2"/>
  <c r="I381" i="2"/>
  <c r="I357" i="2"/>
  <c r="I404" i="2"/>
  <c r="I414" i="2"/>
  <c r="I422" i="2"/>
  <c r="I407" i="2"/>
  <c r="I345" i="2"/>
  <c r="I385" i="2"/>
  <c r="I370" i="2"/>
  <c r="AF381" i="2"/>
  <c r="AF366" i="2"/>
  <c r="AF361" i="2"/>
  <c r="AF341" i="2"/>
  <c r="AF385" i="2"/>
  <c r="AF377" i="2"/>
  <c r="AF357" i="2"/>
  <c r="AF404" i="2"/>
  <c r="AF414" i="2"/>
  <c r="AF353" i="2"/>
  <c r="AF422" i="2"/>
  <c r="AF407" i="2"/>
  <c r="AF370" i="2"/>
  <c r="Q7" i="31" l="1"/>
  <c r="K27" i="28"/>
  <c r="S7" i="28"/>
  <c r="M402" i="2"/>
  <c r="M359" i="2"/>
  <c r="M383" i="2"/>
  <c r="I383" i="2"/>
  <c r="AF420" i="2"/>
  <c r="L347" i="2"/>
  <c r="L368" i="2"/>
  <c r="L405" i="2"/>
  <c r="I355" i="2"/>
  <c r="I402" i="2"/>
  <c r="I412" i="2"/>
  <c r="I379" i="2"/>
  <c r="AF355" i="2"/>
  <c r="AF412" i="2"/>
  <c r="M355" i="2"/>
  <c r="M412" i="2"/>
  <c r="M379" i="2"/>
  <c r="I403" i="2"/>
  <c r="I386" i="2"/>
  <c r="I387" i="2"/>
  <c r="I368" i="2"/>
  <c r="I367" i="2"/>
  <c r="I420" i="2"/>
  <c r="I421" i="2"/>
  <c r="I426" i="2"/>
  <c r="I427" i="2"/>
  <c r="I359" i="2"/>
  <c r="I358" i="2"/>
  <c r="I378" i="2"/>
  <c r="I413" i="2"/>
  <c r="I362" i="2"/>
  <c r="I363" i="2"/>
  <c r="I354" i="2"/>
  <c r="I423" i="2"/>
  <c r="I424" i="2"/>
  <c r="I382" i="2"/>
  <c r="I346" i="2"/>
  <c r="I347" i="2"/>
  <c r="I405" i="2"/>
  <c r="I406" i="2"/>
  <c r="I351" i="2"/>
  <c r="I350" i="2"/>
  <c r="I343" i="2"/>
  <c r="I342" i="2"/>
  <c r="I409" i="2"/>
  <c r="I408" i="2"/>
  <c r="I338" i="2"/>
  <c r="I339" i="2"/>
  <c r="I416" i="2"/>
  <c r="I415" i="2"/>
  <c r="I7" i="2"/>
  <c r="F5" i="2"/>
  <c r="L7" i="2"/>
  <c r="G5" i="2"/>
  <c r="AB342" i="2"/>
  <c r="AB343" i="2"/>
  <c r="S415" i="2"/>
  <c r="S416" i="2"/>
  <c r="S379" i="2"/>
  <c r="S342" i="2"/>
  <c r="S362" i="2"/>
  <c r="S402" i="2"/>
  <c r="S403" i="2"/>
  <c r="AB383" i="2"/>
  <c r="S374" i="2"/>
  <c r="X374" i="2" s="1"/>
  <c r="AB368" i="2"/>
  <c r="AB355" i="2"/>
  <c r="AB363" i="2"/>
  <c r="M354" i="2"/>
  <c r="M346" i="2"/>
  <c r="M347" i="2"/>
  <c r="M7" i="2"/>
  <c r="Q421" i="2"/>
  <c r="V403" i="2"/>
  <c r="X424" i="2"/>
  <c r="L413" i="2"/>
  <c r="X413" i="2"/>
  <c r="R421" i="2"/>
  <c r="Q413" i="2"/>
  <c r="V424" i="2"/>
  <c r="S359" i="2"/>
  <c r="Q403" i="2"/>
  <c r="S409" i="2"/>
  <c r="R354" i="2"/>
  <c r="R355" i="2"/>
  <c r="X421" i="2"/>
  <c r="R403" i="2"/>
  <c r="V354" i="2"/>
  <c r="S355" i="2"/>
  <c r="S368" i="2"/>
  <c r="X406" i="2"/>
  <c r="S413" i="2"/>
  <c r="Q424" i="2"/>
  <c r="R378" i="2"/>
  <c r="R406" i="2"/>
  <c r="V406" i="2"/>
  <c r="V405" i="2"/>
  <c r="R374" i="2"/>
  <c r="W374" i="2" s="1"/>
  <c r="AB374" i="2" s="1"/>
  <c r="V421" i="2"/>
  <c r="Q406" i="2"/>
  <c r="R363" i="2"/>
  <c r="Q359" i="2"/>
  <c r="V358" i="2"/>
  <c r="V413" i="2"/>
  <c r="X358" i="2"/>
  <c r="X359" i="2"/>
  <c r="X403" i="2"/>
  <c r="X402" i="2"/>
  <c r="S387" i="2"/>
  <c r="AA382" i="2"/>
  <c r="V382" i="2"/>
  <c r="S343" i="2"/>
  <c r="N342" i="2"/>
  <c r="N343" i="2"/>
  <c r="R413" i="2"/>
  <c r="Q416" i="2"/>
  <c r="R368" i="2"/>
  <c r="S406" i="2"/>
  <c r="W408" i="2"/>
  <c r="AB403" i="2"/>
  <c r="R383" i="2"/>
  <c r="W405" i="2"/>
  <c r="W406" i="2"/>
  <c r="V338" i="2"/>
  <c r="V339" i="2"/>
  <c r="W362" i="2"/>
  <c r="AB362" i="2"/>
  <c r="W363" i="2"/>
  <c r="Q374" i="2"/>
  <c r="V374" i="2" s="1"/>
  <c r="AA374" i="2" s="1"/>
  <c r="Q347" i="2"/>
  <c r="V346" i="2"/>
  <c r="N406" i="2"/>
  <c r="N405" i="2"/>
  <c r="S405" i="2"/>
  <c r="M358" i="2"/>
  <c r="W359" i="2"/>
  <c r="W358" i="2"/>
  <c r="S363" i="2"/>
  <c r="N363" i="2"/>
  <c r="N362" i="2"/>
  <c r="R350" i="2"/>
  <c r="R351" i="2"/>
  <c r="V387" i="2"/>
  <c r="V386" i="2"/>
  <c r="AA416" i="2"/>
  <c r="AA415" i="2"/>
  <c r="Q409" i="2"/>
  <c r="V408" i="2"/>
  <c r="Q371" i="2"/>
  <c r="V371" i="2" s="1"/>
  <c r="AA371" i="2" s="1"/>
  <c r="N378" i="2"/>
  <c r="N379" i="2"/>
  <c r="S378" i="2"/>
  <c r="AA403" i="2"/>
  <c r="AA402" i="2"/>
  <c r="AB412" i="2"/>
  <c r="W413" i="2"/>
  <c r="W412" i="2"/>
  <c r="X382" i="2"/>
  <c r="X383" i="2"/>
  <c r="AB359" i="2"/>
  <c r="AB358" i="2"/>
  <c r="R379" i="2"/>
  <c r="AB379" i="2"/>
  <c r="M378" i="2"/>
  <c r="R387" i="2"/>
  <c r="W383" i="2"/>
  <c r="AB382" i="2"/>
  <c r="W382" i="2"/>
  <c r="W347" i="2"/>
  <c r="AB346" i="2"/>
  <c r="W346" i="2"/>
  <c r="Q367" i="2"/>
  <c r="Q368" i="2"/>
  <c r="M351" i="2"/>
  <c r="M350" i="2"/>
  <c r="S358" i="2"/>
  <c r="N359" i="2"/>
  <c r="N358" i="2"/>
  <c r="AA358" i="2"/>
  <c r="AA359" i="2"/>
  <c r="Q351" i="2"/>
  <c r="X415" i="2"/>
  <c r="X416" i="2"/>
  <c r="Q363" i="2"/>
  <c r="AB406" i="2"/>
  <c r="AB405" i="2"/>
  <c r="AB413" i="2"/>
  <c r="R338" i="2"/>
  <c r="R339" i="2"/>
  <c r="W355" i="2"/>
  <c r="W354" i="2"/>
  <c r="AB354" i="2"/>
  <c r="Q412" i="2"/>
  <c r="V412" i="2"/>
  <c r="N386" i="2"/>
  <c r="N387" i="2"/>
  <c r="S386" i="2"/>
  <c r="L412" i="2"/>
  <c r="AA354" i="2"/>
  <c r="AA355" i="2"/>
  <c r="V409" i="2"/>
  <c r="AB378" i="2"/>
  <c r="W378" i="2"/>
  <c r="W379" i="2"/>
  <c r="AA409" i="2"/>
  <c r="AA408" i="2"/>
  <c r="N339" i="2"/>
  <c r="N338" i="2"/>
  <c r="S339" i="2"/>
  <c r="AB351" i="2"/>
  <c r="V416" i="2"/>
  <c r="V415" i="2"/>
  <c r="V367" i="2"/>
  <c r="AA367" i="2"/>
  <c r="V368" i="2"/>
  <c r="AB367" i="2"/>
  <c r="W368" i="2"/>
  <c r="W367" i="2"/>
  <c r="Q343" i="2"/>
  <c r="S354" i="2"/>
  <c r="N354" i="2"/>
  <c r="N355" i="2"/>
  <c r="V383" i="2"/>
  <c r="AA383" i="2"/>
  <c r="Q383" i="2"/>
  <c r="X339" i="2"/>
  <c r="X338" i="2"/>
  <c r="X343" i="2"/>
  <c r="X342" i="2"/>
  <c r="AA386" i="2"/>
  <c r="AA387" i="2"/>
  <c r="Q355" i="2"/>
  <c r="V355" i="2"/>
  <c r="AA378" i="2"/>
  <c r="AA379" i="2"/>
  <c r="N382" i="2"/>
  <c r="N383" i="2"/>
  <c r="S383" i="2"/>
  <c r="R409" i="2"/>
  <c r="W409" i="2"/>
  <c r="M338" i="2"/>
  <c r="M339" i="2"/>
  <c r="AB339" i="2"/>
  <c r="R347" i="2"/>
  <c r="R346" i="2"/>
  <c r="V362" i="2"/>
  <c r="V363" i="2"/>
  <c r="W386" i="2"/>
  <c r="W387" i="2"/>
  <c r="AB386" i="2"/>
  <c r="V343" i="2"/>
  <c r="V342" i="2"/>
  <c r="Q339" i="2"/>
  <c r="S412" i="2"/>
  <c r="N412" i="2"/>
  <c r="N413" i="2"/>
  <c r="N408" i="2"/>
  <c r="S408" i="2"/>
  <c r="N409" i="2"/>
  <c r="W339" i="2"/>
  <c r="AB338" i="2"/>
  <c r="W338" i="2"/>
  <c r="X362" i="2"/>
  <c r="X363" i="2"/>
  <c r="V347" i="2"/>
  <c r="X368" i="2"/>
  <c r="X367" i="2"/>
  <c r="AA363" i="2"/>
  <c r="AA362" i="2"/>
  <c r="AA343" i="2"/>
  <c r="AA342" i="2"/>
  <c r="X386" i="2"/>
  <c r="X387" i="2"/>
  <c r="AB408" i="2"/>
  <c r="AB409" i="2"/>
  <c r="AB416" i="2"/>
  <c r="R416" i="2"/>
  <c r="R371" i="2"/>
  <c r="W371" i="2" s="1"/>
  <c r="AB371" i="2" s="1"/>
  <c r="V350" i="2"/>
  <c r="V351" i="2"/>
  <c r="AB350" i="2"/>
  <c r="W350" i="2"/>
  <c r="W351" i="2"/>
  <c r="AB415" i="2"/>
  <c r="W415" i="2"/>
  <c r="W416" i="2"/>
  <c r="Q387" i="2"/>
  <c r="S367" i="2"/>
  <c r="N367" i="2"/>
  <c r="N368" i="2"/>
  <c r="AA412" i="2"/>
  <c r="X408" i="2"/>
  <c r="X409" i="2"/>
  <c r="X412" i="2"/>
  <c r="AA351" i="2"/>
  <c r="AA350" i="2"/>
  <c r="AB402" i="2"/>
  <c r="W403" i="2"/>
  <c r="W402" i="2"/>
  <c r="X354" i="2"/>
  <c r="X355" i="2"/>
  <c r="AA368" i="2"/>
  <c r="L367" i="2"/>
  <c r="S347" i="2"/>
  <c r="N346" i="2"/>
  <c r="N347" i="2"/>
  <c r="R359" i="2"/>
  <c r="R358" i="2"/>
  <c r="V402" i="2"/>
  <c r="V379" i="2"/>
  <c r="V378" i="2"/>
  <c r="X405" i="2"/>
  <c r="N351" i="2"/>
  <c r="S350" i="2"/>
  <c r="N350" i="2"/>
  <c r="X378" i="2"/>
  <c r="X379" i="2"/>
  <c r="AA346" i="2"/>
  <c r="AA347" i="2"/>
  <c r="X350" i="2"/>
  <c r="X351" i="2"/>
  <c r="X347" i="2"/>
  <c r="X346" i="2"/>
  <c r="AA405" i="2"/>
  <c r="AA338" i="2"/>
  <c r="AA339" i="2"/>
  <c r="X371" i="2"/>
  <c r="AB420" i="2"/>
  <c r="AB421" i="2"/>
  <c r="AA426" i="2"/>
  <c r="AA427" i="2"/>
  <c r="N426" i="2"/>
  <c r="N427" i="2"/>
  <c r="M426" i="2"/>
  <c r="M427" i="2"/>
  <c r="S423" i="2"/>
  <c r="S424" i="2"/>
  <c r="N420" i="2"/>
  <c r="N421" i="2"/>
  <c r="Q427" i="2"/>
  <c r="S420" i="2"/>
  <c r="S421" i="2"/>
  <c r="N424" i="2"/>
  <c r="N423" i="2"/>
  <c r="X420" i="2"/>
  <c r="S426" i="2"/>
  <c r="S427" i="2"/>
  <c r="X427" i="2"/>
  <c r="X426" i="2"/>
  <c r="R426" i="2"/>
  <c r="R427" i="2"/>
  <c r="V426" i="2"/>
  <c r="V427" i="2"/>
  <c r="X423" i="2"/>
  <c r="W420" i="2"/>
  <c r="W421" i="2"/>
  <c r="AB424" i="2"/>
  <c r="AB423" i="2"/>
  <c r="V420" i="2"/>
  <c r="W427" i="2"/>
  <c r="W426" i="2"/>
  <c r="AA423" i="2"/>
  <c r="AB426" i="2"/>
  <c r="AB427" i="2"/>
  <c r="V423" i="2"/>
  <c r="W424" i="2"/>
  <c r="W423" i="2"/>
  <c r="AA420" i="2"/>
  <c r="AA421" i="2"/>
  <c r="G377" i="2"/>
  <c r="G337" i="2"/>
  <c r="G366" i="2"/>
  <c r="G419" i="2"/>
  <c r="G425" i="2"/>
  <c r="G401" i="2"/>
  <c r="G341" i="2"/>
  <c r="G411" i="2"/>
  <c r="G345" i="2"/>
  <c r="G373" i="2"/>
  <c r="G407" i="2"/>
  <c r="G361" i="2"/>
  <c r="G357" i="2"/>
  <c r="G404" i="2"/>
  <c r="G414" i="2"/>
  <c r="G349" i="2"/>
  <c r="G353" i="2"/>
  <c r="G422" i="2"/>
  <c r="G385" i="2"/>
  <c r="G381" i="2"/>
  <c r="G370" i="2"/>
  <c r="H377" i="2"/>
  <c r="H366" i="2"/>
  <c r="H349" i="2"/>
  <c r="H425" i="2"/>
  <c r="H414" i="2"/>
  <c r="H361" i="2"/>
  <c r="H345" i="2"/>
  <c r="H337" i="2"/>
  <c r="H401" i="2"/>
  <c r="H407" i="2"/>
  <c r="H411" i="2"/>
  <c r="H353" i="2"/>
  <c r="H422" i="2"/>
  <c r="H373" i="2"/>
  <c r="H385" i="2"/>
  <c r="H381" i="2"/>
  <c r="H370" i="2"/>
  <c r="H404" i="2"/>
  <c r="H341" i="2"/>
  <c r="H419" i="2"/>
  <c r="H357" i="2"/>
  <c r="F23" i="31" l="1"/>
  <c r="K23" i="31"/>
  <c r="G23" i="31"/>
  <c r="J23" i="31"/>
  <c r="I23" i="31"/>
  <c r="H23" i="31"/>
  <c r="R7" i="31"/>
  <c r="S7" i="31" s="1"/>
  <c r="Q16" i="31"/>
  <c r="P7" i="31"/>
  <c r="O7" i="31" s="1"/>
  <c r="R7" i="28"/>
  <c r="Q7" i="28" s="1"/>
  <c r="T7" i="28"/>
  <c r="U7" i="28" s="1"/>
  <c r="S16" i="28"/>
  <c r="H23" i="28"/>
  <c r="K23" i="28"/>
  <c r="J23" i="28"/>
  <c r="I23" i="28"/>
  <c r="G23" i="28"/>
  <c r="F23" i="28"/>
  <c r="G420" i="2"/>
  <c r="G368" i="2"/>
  <c r="G347" i="2"/>
  <c r="G351" i="2"/>
  <c r="G402" i="2"/>
  <c r="G409" i="2"/>
  <c r="G343" i="2"/>
  <c r="G383" i="2"/>
  <c r="G405" i="2"/>
  <c r="G423" i="2"/>
  <c r="G412" i="2"/>
  <c r="G359" i="2"/>
  <c r="G379" i="2"/>
  <c r="G339" i="2"/>
  <c r="G355" i="2"/>
  <c r="H347" i="2"/>
  <c r="H402" i="2"/>
  <c r="H405" i="2"/>
  <c r="H355" i="2"/>
  <c r="H359" i="2"/>
  <c r="H383" i="2"/>
  <c r="H409" i="2"/>
  <c r="H412" i="2"/>
  <c r="H343" i="2"/>
  <c r="H351" i="2"/>
  <c r="H339" i="2"/>
  <c r="H379" i="2"/>
  <c r="H368" i="2"/>
  <c r="H423" i="2"/>
  <c r="I491" i="2"/>
  <c r="I493" i="2"/>
  <c r="I492" i="2"/>
  <c r="G7" i="2"/>
  <c r="H7" i="2"/>
  <c r="L339" i="2"/>
  <c r="Q338" i="2"/>
  <c r="L338" i="2"/>
  <c r="L346" i="2"/>
  <c r="Q346" i="2"/>
  <c r="L358" i="2"/>
  <c r="L359" i="2"/>
  <c r="Q358" i="2"/>
  <c r="L402" i="2"/>
  <c r="L403" i="2"/>
  <c r="Q402" i="2"/>
  <c r="M368" i="2"/>
  <c r="R367" i="2"/>
  <c r="M367" i="2"/>
  <c r="Q362" i="2"/>
  <c r="L362" i="2"/>
  <c r="L363" i="2"/>
  <c r="M387" i="2"/>
  <c r="M386" i="2"/>
  <c r="R386" i="2"/>
  <c r="M382" i="2"/>
  <c r="R382" i="2"/>
  <c r="L382" i="2"/>
  <c r="Q382" i="2"/>
  <c r="L383" i="2"/>
  <c r="L427" i="2"/>
  <c r="Q426" i="2"/>
  <c r="L426" i="2"/>
  <c r="L415" i="2"/>
  <c r="Q415" i="2"/>
  <c r="L416" i="2"/>
  <c r="L406" i="2"/>
  <c r="Q405" i="2"/>
  <c r="L423" i="2"/>
  <c r="L424" i="2"/>
  <c r="Q423" i="2"/>
  <c r="M362" i="2"/>
  <c r="M363" i="2"/>
  <c r="R362" i="2"/>
  <c r="M342" i="2"/>
  <c r="R342" i="2"/>
  <c r="M343" i="2"/>
  <c r="Q420" i="2"/>
  <c r="L421" i="2"/>
  <c r="L420" i="2"/>
  <c r="R412" i="2"/>
  <c r="M413" i="2"/>
  <c r="R415" i="2"/>
  <c r="M415" i="2"/>
  <c r="M416" i="2"/>
  <c r="M405" i="2"/>
  <c r="R405" i="2"/>
  <c r="M406" i="2"/>
  <c r="Q386" i="2"/>
  <c r="L386" i="2"/>
  <c r="L387" i="2"/>
  <c r="M423" i="2"/>
  <c r="M424" i="2"/>
  <c r="R423" i="2"/>
  <c r="Q354" i="2"/>
  <c r="L354" i="2"/>
  <c r="L355" i="2"/>
  <c r="Q342" i="2"/>
  <c r="L342" i="2"/>
  <c r="L343" i="2"/>
  <c r="M403" i="2"/>
  <c r="R402" i="2"/>
  <c r="M420" i="2"/>
  <c r="M421" i="2"/>
  <c r="R420" i="2"/>
  <c r="Q378" i="2"/>
  <c r="L378" i="2"/>
  <c r="L379" i="2"/>
  <c r="L409" i="2"/>
  <c r="L408" i="2"/>
  <c r="Q408" i="2"/>
  <c r="Q350" i="2"/>
  <c r="L350" i="2"/>
  <c r="L351" i="2"/>
  <c r="R408" i="2"/>
  <c r="M409" i="2"/>
  <c r="M408" i="2"/>
  <c r="F337" i="2"/>
  <c r="F407" i="2"/>
  <c r="F361" i="2"/>
  <c r="F366" i="2"/>
  <c r="F381" i="2"/>
  <c r="F377" i="2"/>
  <c r="F357" i="2"/>
  <c r="F385" i="2"/>
  <c r="F425" i="2"/>
  <c r="F404" i="2"/>
  <c r="F345" i="2"/>
  <c r="F373" i="2"/>
  <c r="F370" i="2"/>
  <c r="F422" i="2"/>
  <c r="F353" i="2"/>
  <c r="F419" i="2"/>
  <c r="F349" i="2"/>
  <c r="F401" i="2"/>
  <c r="F414" i="2"/>
  <c r="F341" i="2"/>
  <c r="F411" i="2"/>
  <c r="P16" i="31" l="1"/>
  <c r="O16" i="31" s="1"/>
  <c r="R16" i="31"/>
  <c r="S16" i="31" s="1"/>
  <c r="R16" i="28"/>
  <c r="Q16" i="28" s="1"/>
  <c r="T16" i="28"/>
  <c r="U16" i="28" s="1"/>
  <c r="I494" i="2"/>
  <c r="F7" i="2"/>
  <c r="H358" i="2"/>
  <c r="G382" i="2"/>
  <c r="F363" i="2"/>
  <c r="F362" i="2"/>
  <c r="H406" i="2"/>
  <c r="H367" i="2"/>
  <c r="F355" i="2"/>
  <c r="F354" i="2"/>
  <c r="F342" i="2"/>
  <c r="F343" i="2"/>
  <c r="F350" i="2"/>
  <c r="F351" i="2"/>
  <c r="F423" i="2"/>
  <c r="F424" i="2"/>
  <c r="G403" i="2"/>
  <c r="H338" i="2"/>
  <c r="H413" i="2"/>
  <c r="G378" i="2"/>
  <c r="H386" i="2"/>
  <c r="H387" i="2"/>
  <c r="G406" i="2"/>
  <c r="G426" i="2"/>
  <c r="G427" i="2"/>
  <c r="F358" i="2"/>
  <c r="F359" i="2"/>
  <c r="G362" i="2"/>
  <c r="G363" i="2"/>
  <c r="G408" i="2"/>
  <c r="F379" i="2"/>
  <c r="F378" i="2"/>
  <c r="H346" i="2"/>
  <c r="H420" i="2"/>
  <c r="H421" i="2"/>
  <c r="H382" i="2"/>
  <c r="F408" i="2"/>
  <c r="F409" i="2"/>
  <c r="F427" i="2"/>
  <c r="F426" i="2"/>
  <c r="F415" i="2"/>
  <c r="F416" i="2"/>
  <c r="F367" i="2"/>
  <c r="F368" i="2"/>
  <c r="G342" i="2"/>
  <c r="G416" i="2"/>
  <c r="G415" i="2"/>
  <c r="F387" i="2"/>
  <c r="F386" i="2"/>
  <c r="H354" i="2"/>
  <c r="H426" i="2"/>
  <c r="H427" i="2"/>
  <c r="H403" i="2"/>
  <c r="G346" i="2"/>
  <c r="G386" i="2"/>
  <c r="G387" i="2"/>
  <c r="G338" i="2"/>
  <c r="G350" i="2"/>
  <c r="G424" i="2"/>
  <c r="F406" i="2"/>
  <c r="F405" i="2"/>
  <c r="H362" i="2"/>
  <c r="H363" i="2"/>
  <c r="H408" i="2"/>
  <c r="G413" i="2"/>
  <c r="F382" i="2"/>
  <c r="F383" i="2"/>
  <c r="G358" i="2"/>
  <c r="F339" i="2"/>
  <c r="F338" i="2"/>
  <c r="F413" i="2"/>
  <c r="F412" i="2"/>
  <c r="H342" i="2"/>
  <c r="H416" i="2"/>
  <c r="H415" i="2"/>
  <c r="G354" i="2"/>
  <c r="G421" i="2"/>
  <c r="F402" i="2"/>
  <c r="F403" i="2"/>
  <c r="G367" i="2"/>
  <c r="F347" i="2"/>
  <c r="F346" i="2"/>
  <c r="F421" i="2"/>
  <c r="F420" i="2"/>
  <c r="H378" i="2"/>
  <c r="H350" i="2"/>
  <c r="H424" i="2"/>
  <c r="F3" i="6"/>
  <c r="Z14" i="5" l="1"/>
  <c r="AB14" i="5"/>
  <c r="S14" i="5" l="1"/>
  <c r="J14" i="5"/>
  <c r="L14" i="5" s="1"/>
  <c r="T14" i="5" l="1"/>
  <c r="N14" i="5"/>
  <c r="V14" i="5"/>
  <c r="X14" i="5"/>
  <c r="P14" i="5" l="1"/>
  <c r="R14" i="5"/>
  <c r="Z7" i="5" l="1"/>
  <c r="S9" i="5" l="1"/>
  <c r="K32" i="6"/>
  <c r="K31" i="6" l="1"/>
  <c r="G31" i="6"/>
  <c r="Z10" i="5" l="1"/>
  <c r="AB10" i="5"/>
  <c r="J10" i="5" l="1"/>
  <c r="L10" i="5" s="1"/>
  <c r="N10" i="5" s="1"/>
  <c r="S10" i="5"/>
  <c r="R10" i="5" l="1"/>
  <c r="P10" i="5"/>
  <c r="X10" i="5"/>
  <c r="V10" i="5"/>
  <c r="T10" i="5"/>
  <c r="Z11" i="5" l="1"/>
  <c r="AB11" i="5"/>
  <c r="J11" i="5" l="1"/>
  <c r="L11" i="5" s="1"/>
  <c r="S11" i="5"/>
  <c r="X11" i="5" l="1"/>
  <c r="V11" i="5"/>
  <c r="T11" i="5"/>
  <c r="N11" i="5"/>
  <c r="R11" i="5" l="1"/>
  <c r="P11" i="5"/>
  <c r="AB12" i="5" l="1"/>
  <c r="Z12" i="5"/>
  <c r="J12" i="5" l="1"/>
  <c r="L12" i="5" s="1"/>
  <c r="N12" i="5" s="1"/>
  <c r="S12" i="5"/>
  <c r="S16" i="5" l="1"/>
  <c r="S17" i="5"/>
  <c r="T12" i="5"/>
  <c r="X12" i="5"/>
  <c r="V12" i="5"/>
  <c r="P12" i="5" l="1"/>
  <c r="R12" i="5"/>
  <c r="E12" i="9" l="1"/>
  <c r="E11" i="9"/>
  <c r="E10" i="9"/>
  <c r="D4" i="9"/>
  <c r="D6" i="8"/>
  <c r="N20" i="6" l="1"/>
  <c r="N21" i="6" s="1"/>
  <c r="C19" i="6"/>
  <c r="N18" i="6"/>
  <c r="N17" i="6" s="1"/>
  <c r="N11" i="6" l="1"/>
  <c r="N12" i="6" s="1"/>
  <c r="N9" i="6" l="1"/>
  <c r="N8" i="6" s="1"/>
  <c r="C9" i="6"/>
  <c r="F22" i="6" s="1"/>
  <c r="G6" i="6"/>
  <c r="H6" i="6" s="1"/>
  <c r="I6" i="6" s="1"/>
  <c r="J6" i="6" s="1"/>
  <c r="K6" i="6" s="1"/>
  <c r="G4" i="6"/>
  <c r="H4" i="6" s="1"/>
  <c r="H22" i="6" l="1"/>
  <c r="I4" i="6"/>
  <c r="G22" i="6"/>
  <c r="I22" i="6" l="1"/>
  <c r="J4" i="6"/>
  <c r="J22" i="6" l="1"/>
  <c r="K4" i="6"/>
  <c r="K22" i="6" s="1"/>
  <c r="AB9" i="5"/>
  <c r="Z9" i="5"/>
  <c r="Z17" i="5" l="1"/>
  <c r="Z16" i="5"/>
  <c r="AB7" i="5"/>
  <c r="J9" i="5" l="1"/>
  <c r="L9" i="5" s="1"/>
  <c r="T9" i="5" s="1"/>
  <c r="CC6" i="5"/>
  <c r="T17" i="5" l="1"/>
  <c r="T16" i="5"/>
  <c r="J16" i="5"/>
  <c r="J17" i="5"/>
  <c r="X9" i="5"/>
  <c r="V9" i="5"/>
  <c r="S7" i="5"/>
  <c r="J7" i="5"/>
  <c r="L7" i="5" s="1"/>
  <c r="T7" i="5" s="1"/>
  <c r="V17" i="5" l="1"/>
  <c r="V16" i="5"/>
  <c r="X16" i="5"/>
  <c r="X17" i="5"/>
  <c r="L16" i="5"/>
  <c r="L17" i="5"/>
  <c r="N9" i="5"/>
  <c r="N7" i="5"/>
  <c r="X7" i="5"/>
  <c r="V7" i="5"/>
  <c r="N17" i="5" l="1"/>
  <c r="N16" i="5"/>
  <c r="R7" i="5"/>
  <c r="P7" i="5"/>
  <c r="R9" i="5"/>
  <c r="P9" i="5"/>
  <c r="P17" i="5" l="1"/>
  <c r="P16" i="5"/>
  <c r="R16" i="5"/>
  <c r="R17" i="5"/>
  <c r="F4" i="5"/>
  <c r="AG11" i="5"/>
  <c r="AG12" i="5"/>
  <c r="AG9" i="5"/>
  <c r="AG13" i="5"/>
  <c r="AG14" i="5"/>
  <c r="AG10" i="5"/>
  <c r="AG7" i="5"/>
  <c r="AG6" i="5"/>
  <c r="H6" i="5" l="1"/>
  <c r="H10" i="5"/>
  <c r="H9" i="5" l="1"/>
  <c r="H7" i="5"/>
  <c r="H13" i="5"/>
  <c r="H12" i="5"/>
  <c r="H14" i="5"/>
  <c r="H11" i="5"/>
  <c r="AN7" i="2"/>
  <c r="H16" i="5" l="1"/>
  <c r="H17" i="5"/>
  <c r="AN4" i="2"/>
  <c r="AM4" i="2"/>
  <c r="AL4" i="2"/>
  <c r="AK4" i="2"/>
  <c r="AJ4" i="2"/>
  <c r="AI4" i="2"/>
  <c r="AH4" i="2"/>
  <c r="AG4" i="2"/>
  <c r="AF4" i="2"/>
  <c r="AE4" i="2"/>
  <c r="AD4" i="2"/>
  <c r="AC4" i="2"/>
  <c r="AA2" i="26" s="1"/>
  <c r="AA47" i="26" s="1"/>
  <c r="AA98" i="26" s="1"/>
  <c r="AB4" i="2"/>
  <c r="Z2" i="26" s="1"/>
  <c r="Z47" i="26" s="1"/>
  <c r="Z98" i="26" s="1"/>
  <c r="AA4" i="2"/>
  <c r="Y2" i="26" s="1"/>
  <c r="Y47" i="26" s="1"/>
  <c r="Y98" i="26" s="1"/>
  <c r="Z4" i="2"/>
  <c r="X2" i="26" s="1"/>
  <c r="X47" i="26" s="1"/>
  <c r="X98" i="26" s="1"/>
  <c r="Y4" i="2"/>
  <c r="W2" i="26" s="1"/>
  <c r="W47" i="26" s="1"/>
  <c r="W98" i="26" s="1"/>
  <c r="X4" i="2"/>
  <c r="V2" i="26" s="1"/>
  <c r="V47" i="26" s="1"/>
  <c r="V98" i="26" s="1"/>
  <c r="W4" i="2"/>
  <c r="U2" i="26" s="1"/>
  <c r="U47" i="26" s="1"/>
  <c r="U98" i="26" s="1"/>
  <c r="V4" i="2"/>
  <c r="T2" i="26" s="1"/>
  <c r="T47" i="26" s="1"/>
  <c r="T98" i="26" s="1"/>
  <c r="U4" i="2"/>
  <c r="S2" i="26" s="1"/>
  <c r="S47" i="26" s="1"/>
  <c r="S98" i="26" s="1"/>
  <c r="T4" i="2"/>
  <c r="R2" i="26" s="1"/>
  <c r="R47" i="26" s="1"/>
  <c r="R98" i="26" s="1"/>
  <c r="S4" i="2"/>
  <c r="Q2" i="26" s="1"/>
  <c r="Q47" i="26" s="1"/>
  <c r="Q98" i="26" s="1"/>
  <c r="R4" i="2"/>
  <c r="P2" i="26" s="1"/>
  <c r="P47" i="26" s="1"/>
  <c r="P98" i="26" s="1"/>
  <c r="Q4" i="2"/>
  <c r="O2" i="26" s="1"/>
  <c r="O47" i="26" s="1"/>
  <c r="O98" i="26" s="1"/>
  <c r="P4" i="2"/>
  <c r="N2" i="26" s="1"/>
  <c r="N47" i="26" s="1"/>
  <c r="N98" i="26" s="1"/>
  <c r="O4" i="2"/>
  <c r="M2" i="26" s="1"/>
  <c r="M47" i="26" s="1"/>
  <c r="M98" i="26" s="1"/>
  <c r="N4" i="2"/>
  <c r="L2" i="26" s="1"/>
  <c r="L47" i="26" s="1"/>
  <c r="L98" i="26" s="1"/>
  <c r="M4" i="2"/>
  <c r="K2" i="26" s="1"/>
  <c r="K47" i="26" s="1"/>
  <c r="K98" i="26" s="1"/>
  <c r="L4" i="2"/>
  <c r="J2" i="26" s="1"/>
  <c r="J47" i="26" s="1"/>
  <c r="J98" i="26" s="1"/>
  <c r="K4" i="2"/>
  <c r="I2" i="26" s="1"/>
  <c r="I47" i="26" s="1"/>
  <c r="I98" i="26" s="1"/>
  <c r="AM3" i="2"/>
  <c r="AL3" i="2"/>
  <c r="AK3" i="2"/>
  <c r="AJ3" i="2"/>
  <c r="AH3" i="2"/>
  <c r="AG3" i="2"/>
  <c r="AF3" i="2"/>
  <c r="AE3" i="2"/>
  <c r="AC3" i="2"/>
  <c r="AB3" i="2"/>
  <c r="AA3" i="2"/>
  <c r="Z3" i="2"/>
  <c r="X3" i="2"/>
  <c r="W3" i="2"/>
  <c r="V3" i="2"/>
  <c r="U3" i="2"/>
  <c r="S3" i="2"/>
  <c r="R3" i="2"/>
  <c r="Q3" i="2"/>
  <c r="P3" i="2"/>
  <c r="N3" i="2"/>
  <c r="M3" i="2"/>
  <c r="L3" i="2"/>
  <c r="K3" i="2"/>
  <c r="AI1" i="2"/>
  <c r="AD1" i="2"/>
  <c r="Y1" i="2"/>
  <c r="T1" i="2"/>
  <c r="W213" i="2" a="1"/>
  <c r="U213" i="2" a="1"/>
  <c r="S213" i="2" a="1"/>
  <c r="AH62" i="2" a="1"/>
  <c r="X62" i="2" a="1"/>
  <c r="V62" i="2" a="1"/>
  <c r="T62" i="2" a="1"/>
  <c r="R28" i="2" a="1"/>
  <c r="AM28" i="2" a="1"/>
  <c r="AK28" i="2" a="1"/>
  <c r="AI28" i="2" a="1"/>
  <c r="Y27" i="2" a="1"/>
  <c r="W27" i="2" a="1"/>
  <c r="AC27" i="2" a="1"/>
  <c r="S27" i="2" a="1"/>
  <c r="W228" i="2" a="1"/>
  <c r="U228" i="2" a="1"/>
  <c r="S228" i="2" a="1"/>
  <c r="AN249" i="2" a="1"/>
  <c r="AL249" i="2" a="1"/>
  <c r="AJ249" i="2" a="1"/>
  <c r="AH249" i="2" a="1"/>
  <c r="X170" i="2" a="1"/>
  <c r="W170" i="2" a="1"/>
  <c r="AK170" i="2" a="1"/>
  <c r="AJ170" i="2" a="1"/>
  <c r="S170" i="2" a="1"/>
  <c r="R170" i="2" a="1"/>
  <c r="V296" i="2" a="1"/>
  <c r="Z292" i="2" a="1"/>
  <c r="R282" i="2" a="1"/>
  <c r="AB287" i="2" a="1"/>
  <c r="AA298" i="2" a="1"/>
  <c r="M285" i="2" a="1"/>
  <c r="R281" i="2" a="1"/>
  <c r="U293" i="2" a="1"/>
  <c r="P285" i="2" a="1"/>
  <c r="Q284" i="2" a="1"/>
  <c r="Y295" i="2" a="1"/>
  <c r="T292" i="2" a="1"/>
  <c r="K287" i="2" a="1"/>
  <c r="N296" i="2" a="1"/>
  <c r="X282" i="2" a="1"/>
  <c r="Y282" i="2" a="1"/>
  <c r="W298" i="2" a="1"/>
  <c r="O292" i="2" a="1"/>
  <c r="S285" i="2" a="1"/>
  <c r="Y287" i="2" a="1"/>
  <c r="K293" i="2" a="1"/>
  <c r="AB285" i="2" a="1"/>
  <c r="K292" i="2" a="1"/>
  <c r="AH110" i="2" a="1"/>
  <c r="Z110" i="2" a="1"/>
  <c r="R110" i="2" a="1"/>
  <c r="AG110" i="2" a="1"/>
  <c r="Q110" i="2" a="1"/>
  <c r="S292" i="2" a="1"/>
  <c r="W110" i="2" a="1"/>
  <c r="N110" i="2" a="1"/>
  <c r="AF62" i="2" a="1"/>
  <c r="N28" i="2" a="1"/>
  <c r="AA27" i="2" a="1"/>
  <c r="M249" i="2" a="1"/>
  <c r="AA168" i="2" a="1"/>
  <c r="R295" i="2" a="1"/>
  <c r="K281" i="2" a="1"/>
  <c r="Y296" i="2" a="1"/>
  <c r="X287" i="2" a="1"/>
  <c r="AA110" i="2" a="1"/>
  <c r="O213" i="2" a="1"/>
  <c r="M213" i="2" a="1"/>
  <c r="K213" i="2" a="1"/>
  <c r="Z62" i="2" a="1"/>
  <c r="P62" i="2" a="1"/>
  <c r="N62" i="2" a="1"/>
  <c r="L62" i="2" a="1"/>
  <c r="AG28" i="2" a="1"/>
  <c r="AE28" i="2" a="1"/>
  <c r="AC28" i="2" a="1"/>
  <c r="AA28" i="2" a="1"/>
  <c r="Q27" i="2" a="1"/>
  <c r="O27" i="2" a="1"/>
  <c r="U27" i="2" a="1"/>
  <c r="K27" i="2" a="1"/>
  <c r="O228" i="2" a="1"/>
  <c r="M228" i="2" a="1"/>
  <c r="K228" i="2" a="1"/>
  <c r="AF249" i="2" a="1"/>
  <c r="AD249" i="2" a="1"/>
  <c r="AB249" i="2" a="1"/>
  <c r="Z249" i="2" a="1"/>
  <c r="X168" i="2" a="1"/>
  <c r="W168" i="2" a="1"/>
  <c r="AK168" i="2" a="1"/>
  <c r="AJ168" i="2" a="1"/>
  <c r="S168" i="2" a="1"/>
  <c r="R168" i="2" a="1"/>
  <c r="Q296" i="2" a="1"/>
  <c r="P282" i="2" a="1"/>
  <c r="Q282" i="2" a="1"/>
  <c r="AA281" i="2" a="1"/>
  <c r="K298" i="2" a="1"/>
  <c r="T284" i="2" a="1"/>
  <c r="M295" i="2" a="1"/>
  <c r="AB293" i="2" a="1"/>
  <c r="O284" i="2" a="1"/>
  <c r="N281" i="2" a="1"/>
  <c r="N295" i="2" a="1"/>
  <c r="Q292" i="2" a="1"/>
  <c r="R287" i="2" a="1"/>
  <c r="U296" i="2" a="1"/>
  <c r="W282" i="2" a="1"/>
  <c r="X281" i="2" a="1"/>
  <c r="Y298" i="2" a="1"/>
  <c r="AA292" i="2" a="1"/>
  <c r="Z285" i="2" a="1"/>
  <c r="P293" i="2" a="1"/>
  <c r="R293" i="2" a="1"/>
  <c r="L285" i="2" a="1"/>
  <c r="L287" i="2" a="1"/>
  <c r="Y110" i="2" a="1"/>
  <c r="AM110" i="2" a="1"/>
  <c r="AL110" i="2" a="1"/>
  <c r="M110" i="2" a="1"/>
  <c r="AE213" i="2" a="1"/>
  <c r="AC213" i="2" a="1"/>
  <c r="AB62" i="2" a="1"/>
  <c r="L28" i="2" a="1"/>
  <c r="AA228" i="2" a="1"/>
  <c r="AF168" i="2" a="1"/>
  <c r="O296" i="2" a="1"/>
  <c r="N293" i="2" a="1"/>
  <c r="L292" i="2" a="1"/>
  <c r="AA293" i="2" a="1"/>
  <c r="K110" i="2" a="1"/>
  <c r="AN213" i="2" a="1"/>
  <c r="AL213" i="2" a="1"/>
  <c r="AJ213" i="2" a="1"/>
  <c r="AH213" i="2" a="1"/>
  <c r="R62" i="2" a="1"/>
  <c r="AM62" i="2" a="1"/>
  <c r="AK62" i="2" a="1"/>
  <c r="AI62" i="2" a="1"/>
  <c r="Y28" i="2" a="1"/>
  <c r="W28" i="2" a="1"/>
  <c r="U28" i="2" a="1"/>
  <c r="S28" i="2" a="1"/>
  <c r="AN27" i="2" a="1"/>
  <c r="AL27" i="2" a="1"/>
  <c r="M27" i="2" a="1"/>
  <c r="AN228" i="2" a="1"/>
  <c r="AL228" i="2" a="1"/>
  <c r="AJ228" i="2" a="1"/>
  <c r="AH228" i="2" a="1"/>
  <c r="X249" i="2" a="1"/>
  <c r="V249" i="2" a="1"/>
  <c r="T249" i="2" a="1"/>
  <c r="R249" i="2" a="1"/>
  <c r="P170" i="2" a="1"/>
  <c r="AL170" i="2" a="1"/>
  <c r="AC170" i="2" a="1"/>
  <c r="AB170" i="2" a="1"/>
  <c r="K170" i="2" a="1"/>
  <c r="AG170" i="2" a="1"/>
  <c r="M296" i="2" a="1"/>
  <c r="O282" i="2" a="1"/>
  <c r="M281" i="2" a="1"/>
  <c r="P298" i="2" a="1"/>
  <c r="R298" i="2" a="1"/>
  <c r="AA285" i="2" a="1"/>
  <c r="W287" i="2" a="1"/>
  <c r="L293" i="2" a="1"/>
  <c r="N284" i="2" a="1"/>
  <c r="Z281" i="2" a="1"/>
  <c r="U295" i="2" a="1"/>
  <c r="P287" i="2" a="1"/>
  <c r="Q287" i="2" a="1"/>
  <c r="AB296" i="2" a="1"/>
  <c r="V282" i="2" a="1"/>
  <c r="AB281" i="2" a="1"/>
  <c r="N298" i="2" a="1"/>
  <c r="X284" i="2" a="1"/>
  <c r="Y285" i="2" a="1"/>
  <c r="O293" i="2" a="1"/>
  <c r="V292" i="2" a="1"/>
  <c r="S284" i="2" a="1"/>
  <c r="AN110" i="2" a="1"/>
  <c r="AF110" i="2" a="1"/>
  <c r="X110" i="2" a="1"/>
  <c r="P110" i="2" a="1"/>
  <c r="W285" i="2" a="1"/>
  <c r="V293" i="2" a="1"/>
  <c r="AE110" i="2" a="1"/>
  <c r="O110" i="2" a="1"/>
  <c r="AC110" i="2" a="1"/>
  <c r="AA213" i="2" a="1"/>
  <c r="Z28" i="2" a="1"/>
  <c r="AK27" i="2" a="1"/>
  <c r="Q228" i="2" a="1"/>
  <c r="K249" i="2" a="1"/>
  <c r="Z168" i="2" a="1"/>
  <c r="T298" i="2" a="1"/>
  <c r="Y292" i="2" a="1"/>
  <c r="AA287" i="2" a="1"/>
  <c r="L284" i="2" a="1"/>
  <c r="S110" i="2" a="1"/>
  <c r="AF213" i="2" a="1"/>
  <c r="AD213" i="2" a="1"/>
  <c r="AB213" i="2" a="1"/>
  <c r="Z213" i="2" a="1"/>
  <c r="AG62" i="2" a="1"/>
  <c r="AE62" i="2" a="1"/>
  <c r="AC62" i="2" a="1"/>
  <c r="AA62" i="2" a="1"/>
  <c r="Q28" i="2" a="1"/>
  <c r="O28" i="2" a="1"/>
  <c r="M28" i="2" a="1"/>
  <c r="K28" i="2" a="1"/>
  <c r="AF27" i="2" a="1"/>
  <c r="AD27" i="2" a="1"/>
  <c r="AJ27" i="2" a="1"/>
  <c r="AF228" i="2" a="1"/>
  <c r="AD228" i="2" a="1"/>
  <c r="AB228" i="2" a="1"/>
  <c r="Z228" i="2" a="1"/>
  <c r="P249" i="2" a="1"/>
  <c r="N249" i="2" a="1"/>
  <c r="L249" i="2" a="1"/>
  <c r="AG249" i="2" a="1"/>
  <c r="P168" i="2" a="1"/>
  <c r="AL168" i="2" a="1"/>
  <c r="AC168" i="2" a="1"/>
  <c r="AB168" i="2" a="1"/>
  <c r="K168" i="2" a="1"/>
  <c r="AG168" i="2" a="1"/>
  <c r="T296" i="2" a="1"/>
  <c r="N282" i="2" a="1"/>
  <c r="S281" i="2" a="1"/>
  <c r="O298" i="2" a="1"/>
  <c r="M292" i="2" a="1"/>
  <c r="K285" i="2" a="1"/>
  <c r="Z287" i="2" a="1"/>
  <c r="S293" i="2" a="1"/>
  <c r="M284" i="2" a="1"/>
  <c r="O295" i="2" a="1"/>
  <c r="AB295" i="2" a="1"/>
  <c r="O287" i="2" a="1"/>
  <c r="AA295" i="2" a="1"/>
  <c r="L296" i="2" a="1"/>
  <c r="U282" i="2" a="1"/>
  <c r="Y281" i="2" a="1"/>
  <c r="U298" i="2" a="1"/>
  <c r="P281" i="2" a="1"/>
  <c r="Z284" i="2" a="1"/>
  <c r="V110" i="2" a="1"/>
  <c r="X213" i="2" a="1"/>
  <c r="V213" i="2" a="1"/>
  <c r="T213" i="2" a="1"/>
  <c r="R213" i="2" a="1"/>
  <c r="Y62" i="2" a="1"/>
  <c r="W62" i="2" a="1"/>
  <c r="U62" i="2" a="1"/>
  <c r="S62" i="2" a="1"/>
  <c r="AN28" i="2" a="1"/>
  <c r="AL28" i="2" a="1"/>
  <c r="AJ28" i="2" a="1"/>
  <c r="AH27" i="2" a="1"/>
  <c r="X27" i="2" a="1"/>
  <c r="V27" i="2" a="1"/>
  <c r="AB27" i="2" a="1"/>
  <c r="X228" i="2" a="1"/>
  <c r="V228" i="2" a="1"/>
  <c r="T228" i="2" a="1"/>
  <c r="R228" i="2" a="1"/>
  <c r="AM249" i="2" a="1"/>
  <c r="AK249" i="2" a="1"/>
  <c r="AI249" i="2" a="1"/>
  <c r="Y249" i="2" a="1"/>
  <c r="AM170" i="2" a="1"/>
  <c r="V170" i="2" a="1"/>
  <c r="U170" i="2" a="1"/>
  <c r="L170" i="2" a="1"/>
  <c r="AH170" i="2" a="1"/>
  <c r="Q170" i="2" a="1"/>
  <c r="AA296" i="2" a="1"/>
  <c r="M282" i="2" a="1"/>
  <c r="U281" i="2" a="1"/>
  <c r="V298" i="2" a="1"/>
  <c r="R292" i="2" a="1"/>
  <c r="R285" i="2" a="1"/>
  <c r="X293" i="2" a="1"/>
  <c r="Z293" i="2" a="1"/>
  <c r="T285" i="2" a="1"/>
  <c r="N292" i="2" a="1"/>
  <c r="L295" i="2" a="1"/>
  <c r="N287" i="2" a="1"/>
  <c r="U287" i="2" a="1"/>
  <c r="S296" i="2" a="1"/>
  <c r="AB282" i="2" a="1"/>
  <c r="K295" i="2" a="1"/>
  <c r="AB298" i="2" a="1"/>
  <c r="V285" i="2" a="1"/>
  <c r="T281" i="2" a="1"/>
  <c r="Q293" i="2" a="1"/>
  <c r="X285" i="2" a="1"/>
  <c r="Y284" i="2" a="1"/>
  <c r="AD110" i="2" a="1"/>
  <c r="P28" i="2" a="1"/>
  <c r="AE228" i="2" a="1"/>
  <c r="N168" i="2" a="1"/>
  <c r="N285" i="2" a="1"/>
  <c r="P292" i="2" a="1"/>
  <c r="Z298" i="2" a="1"/>
  <c r="AI110" i="2" a="1"/>
  <c r="P213" i="2" a="1"/>
  <c r="N213" i="2" a="1"/>
  <c r="L213" i="2" a="1"/>
  <c r="AG213" i="2" a="1"/>
  <c r="Q62" i="2" a="1"/>
  <c r="O62" i="2" a="1"/>
  <c r="M62" i="2" a="1"/>
  <c r="K62" i="2" a="1"/>
  <c r="AF28" i="2" a="1"/>
  <c r="AD28" i="2" a="1"/>
  <c r="AB28" i="2" a="1"/>
  <c r="Z27" i="2" a="1"/>
  <c r="P27" i="2" a="1"/>
  <c r="N27" i="2" a="1"/>
  <c r="L27" i="2" a="1"/>
  <c r="P228" i="2" a="1"/>
  <c r="N228" i="2" a="1"/>
  <c r="L228" i="2" a="1"/>
  <c r="AG228" i="2" a="1"/>
  <c r="AE249" i="2" a="1"/>
  <c r="AC249" i="2" a="1"/>
  <c r="AA249" i="2" a="1"/>
  <c r="Q249" i="2" a="1"/>
  <c r="AM168" i="2" a="1"/>
  <c r="V168" i="2" a="1"/>
  <c r="U168" i="2" a="1"/>
  <c r="L168" i="2" a="1"/>
  <c r="AH168" i="2" a="1"/>
  <c r="Q168" i="2" a="1"/>
  <c r="K296" i="2" a="1"/>
  <c r="T282" i="2" a="1"/>
  <c r="P295" i="2" a="1"/>
  <c r="Q298" i="2" a="1"/>
  <c r="P284" i="2" a="1"/>
  <c r="Q285" i="2" a="1"/>
  <c r="W293" i="2" a="1"/>
  <c r="X292" i="2" a="1"/>
  <c r="AA284" i="2" a="1"/>
  <c r="S287" i="2" a="1"/>
  <c r="S295" i="2" a="1"/>
  <c r="M287" i="2" a="1"/>
  <c r="X296" i="2" a="1"/>
  <c r="Z296" i="2" a="1"/>
  <c r="L282" i="2" a="1"/>
  <c r="V287" i="2" a="1"/>
  <c r="L298" i="2" a="1"/>
  <c r="U285" i="2" a="1"/>
  <c r="Q281" i="2" a="1"/>
  <c r="M293" i="2" a="1"/>
  <c r="W284" i="2" a="1"/>
  <c r="W281" i="2" a="1"/>
  <c r="AK110" i="2" a="1"/>
  <c r="U110" i="2" a="1"/>
  <c r="Q213" i="2" a="1"/>
  <c r="AE27" i="2" a="1"/>
  <c r="O249" i="2" a="1"/>
  <c r="M168" i="2" a="1"/>
  <c r="K282" i="2" a="1"/>
  <c r="W295" i="2" a="1"/>
  <c r="X298" i="2" a="1"/>
  <c r="V295" i="2" a="1"/>
  <c r="AM213" i="2" a="1"/>
  <c r="AK213" i="2" a="1"/>
  <c r="AI213" i="2" a="1"/>
  <c r="Y213" i="2" a="1"/>
  <c r="AN62" i="2" a="1"/>
  <c r="AL62" i="2" a="1"/>
  <c r="AJ62" i="2" a="1"/>
  <c r="AH28" i="2" a="1"/>
  <c r="X28" i="2" a="1"/>
  <c r="V28" i="2" a="1"/>
  <c r="T28" i="2" a="1"/>
  <c r="R27" i="2" a="1"/>
  <c r="AM27" i="2" a="1"/>
  <c r="T27" i="2" a="1"/>
  <c r="AI27" i="2" a="1"/>
  <c r="AM228" i="2" a="1"/>
  <c r="AK228" i="2" a="1"/>
  <c r="AI228" i="2" a="1"/>
  <c r="Y228" i="2" a="1"/>
  <c r="W249" i="2" a="1"/>
  <c r="U249" i="2" a="1"/>
  <c r="S249" i="2" a="1"/>
  <c r="AF170" i="2" a="1"/>
  <c r="AE170" i="2" a="1"/>
  <c r="N170" i="2" a="1"/>
  <c r="M170" i="2" a="1"/>
  <c r="AA170" i="2" a="1"/>
  <c r="Z170" i="2" a="1"/>
  <c r="P296" i="2" a="1"/>
  <c r="R296" i="2" a="1"/>
  <c r="AA282" i="2" a="1"/>
  <c r="Q295" i="2" a="1"/>
  <c r="M298" i="2" a="1"/>
  <c r="O285" i="2" a="1"/>
  <c r="V281" i="2" a="1"/>
  <c r="Y293" i="2" a="1"/>
  <c r="AB292" i="2" a="1"/>
  <c r="K284" i="2" a="1"/>
  <c r="X295" i="2" a="1"/>
  <c r="Z295" i="2" a="1"/>
  <c r="T287" i="2" a="1"/>
  <c r="W296" i="2" a="1"/>
  <c r="W292" i="2" a="1"/>
  <c r="S282" i="2" a="1"/>
  <c r="O281" i="2" a="1"/>
  <c r="S298" i="2" a="1"/>
  <c r="AB284" i="2" a="1"/>
  <c r="T295" i="2" a="1"/>
  <c r="T293" i="2" a="1"/>
  <c r="V284" i="2" a="1"/>
  <c r="L281" i="2" a="1"/>
  <c r="AJ110" i="2" a="1"/>
  <c r="AB110" i="2" a="1"/>
  <c r="T110" i="2" a="1"/>
  <c r="L110" i="2" a="1"/>
  <c r="AD62" i="2" a="1"/>
  <c r="AG27" i="2" a="1"/>
  <c r="AC228" i="2" a="1"/>
  <c r="AE168" i="2" a="1"/>
  <c r="U292" i="2" a="1"/>
  <c r="R284" i="2" a="1"/>
  <c r="Z282" i="2" a="1"/>
  <c r="U284" i="2" a="1"/>
  <c r="Z6" i="3" l="1"/>
  <c r="AB2" i="26"/>
  <c r="AB47" i="26" s="1"/>
  <c r="AB98" i="26" s="1"/>
  <c r="AA6" i="3"/>
  <c r="AC2" i="26"/>
  <c r="AC47" i="26" s="1"/>
  <c r="AC98" i="26" s="1"/>
  <c r="AB6" i="3"/>
  <c r="AD2" i="26"/>
  <c r="AD47" i="26" s="1"/>
  <c r="AD98" i="26" s="1"/>
  <c r="AC6" i="3"/>
  <c r="AE2" i="26"/>
  <c r="AE47" i="26" s="1"/>
  <c r="AE98" i="26" s="1"/>
  <c r="AD6" i="3"/>
  <c r="AF2" i="26"/>
  <c r="AF47" i="26" s="1"/>
  <c r="AF98" i="26" s="1"/>
  <c r="AE6" i="3"/>
  <c r="AG2" i="26"/>
  <c r="AG47" i="26" s="1"/>
  <c r="AG98" i="26" s="1"/>
  <c r="AF6" i="3"/>
  <c r="AH2" i="26"/>
  <c r="AH47" i="26" s="1"/>
  <c r="AH98" i="26" s="1"/>
  <c r="AG6" i="3"/>
  <c r="AI2" i="26"/>
  <c r="AI47" i="26" s="1"/>
  <c r="AI98" i="26" s="1"/>
  <c r="AH6" i="3"/>
  <c r="AJ2" i="26"/>
  <c r="AJ47" i="26" s="1"/>
  <c r="AJ98" i="26" s="1"/>
  <c r="AI6" i="3"/>
  <c r="AK2" i="26"/>
  <c r="AK47" i="26" s="1"/>
  <c r="AK98" i="26" s="1"/>
  <c r="AJ6" i="3"/>
  <c r="AL2" i="26"/>
  <c r="AL47" i="26" s="1"/>
  <c r="AL98" i="26" s="1"/>
  <c r="Q213" i="2"/>
  <c r="Y213" i="2"/>
  <c r="AG213" i="2"/>
  <c r="AC21" i="3" s="1"/>
  <c r="R213" i="2"/>
  <c r="Z213" i="2"/>
  <c r="AH213" i="2"/>
  <c r="AD21" i="3" s="1"/>
  <c r="K213" i="2"/>
  <c r="S213" i="2"/>
  <c r="AA213" i="2"/>
  <c r="AI213" i="2"/>
  <c r="AE21" i="3" s="1"/>
  <c r="L213" i="2"/>
  <c r="T213" i="2"/>
  <c r="AB213" i="2"/>
  <c r="AJ213" i="2"/>
  <c r="AF21" i="3" s="1"/>
  <c r="M213" i="2"/>
  <c r="U213" i="2"/>
  <c r="AC213" i="2"/>
  <c r="Y21" i="3" s="1"/>
  <c r="AK213" i="2"/>
  <c r="AG21" i="3" s="1"/>
  <c r="N213" i="2"/>
  <c r="V213" i="2"/>
  <c r="AD213" i="2"/>
  <c r="Z21" i="3" s="1"/>
  <c r="AL213" i="2"/>
  <c r="AH21" i="3" s="1"/>
  <c r="O213" i="2"/>
  <c r="W213" i="2"/>
  <c r="AE213" i="2"/>
  <c r="AA21" i="3" s="1"/>
  <c r="AM213" i="2"/>
  <c r="AI21" i="3" s="1"/>
  <c r="P213" i="2"/>
  <c r="X213" i="2"/>
  <c r="AF213" i="2"/>
  <c r="AB21" i="3" s="1"/>
  <c r="AN213" i="2"/>
  <c r="AJ21" i="3" s="1"/>
  <c r="Y6" i="3"/>
  <c r="K62" i="2"/>
  <c r="K63" i="2" s="1"/>
  <c r="S62" i="2"/>
  <c r="S63" i="2" s="1"/>
  <c r="AA62" i="2"/>
  <c r="AA63" i="2" s="1"/>
  <c r="AI62" i="2"/>
  <c r="L62" i="2"/>
  <c r="L63" i="2" s="1"/>
  <c r="T62" i="2"/>
  <c r="T63" i="2" s="1"/>
  <c r="AB62" i="2"/>
  <c r="AB63" i="2" s="1"/>
  <c r="AJ62" i="2"/>
  <c r="M62" i="2"/>
  <c r="M63" i="2" s="1"/>
  <c r="U62" i="2"/>
  <c r="U63" i="2" s="1"/>
  <c r="AC62" i="2"/>
  <c r="AK62" i="2"/>
  <c r="N62" i="2"/>
  <c r="N63" i="2" s="1"/>
  <c r="V62" i="2"/>
  <c r="V63" i="2" s="1"/>
  <c r="AD62" i="2"/>
  <c r="AL62" i="2"/>
  <c r="O62" i="2"/>
  <c r="O63" i="2" s="1"/>
  <c r="W62" i="2"/>
  <c r="W63" i="2" s="1"/>
  <c r="AE62" i="2"/>
  <c r="AM62" i="2"/>
  <c r="P62" i="2"/>
  <c r="P63" i="2" s="1"/>
  <c r="X62" i="2"/>
  <c r="X63" i="2" s="1"/>
  <c r="AF62" i="2"/>
  <c r="AN62" i="2"/>
  <c r="Q62" i="2"/>
  <c r="Q63" i="2" s="1"/>
  <c r="Y62" i="2"/>
  <c r="Y63" i="2" s="1"/>
  <c r="AG62" i="2"/>
  <c r="R62" i="2"/>
  <c r="R63" i="2" s="1"/>
  <c r="Z62" i="2"/>
  <c r="Z63" i="2" s="1"/>
  <c r="AH62" i="2"/>
  <c r="K28" i="2"/>
  <c r="K33" i="2" s="1"/>
  <c r="S28" i="2"/>
  <c r="AA28" i="2"/>
  <c r="AI28" i="2"/>
  <c r="L28" i="2"/>
  <c r="L33" i="2" s="1"/>
  <c r="T28" i="2"/>
  <c r="T33" i="2" s="1"/>
  <c r="AB28" i="2"/>
  <c r="AJ28" i="2"/>
  <c r="M28" i="2"/>
  <c r="M33" i="2" s="1"/>
  <c r="U28" i="2"/>
  <c r="U33" i="2" s="1"/>
  <c r="AC28" i="2"/>
  <c r="AK28" i="2"/>
  <c r="N28" i="2"/>
  <c r="N33" i="2" s="1"/>
  <c r="V28" i="2"/>
  <c r="AD28" i="2"/>
  <c r="Z32" i="3" s="1"/>
  <c r="Z33" i="3" s="1"/>
  <c r="AL28" i="2"/>
  <c r="O28" i="2"/>
  <c r="O33" i="2" s="1"/>
  <c r="W28" i="2"/>
  <c r="AE28" i="2"/>
  <c r="AA32" i="3" s="1"/>
  <c r="AA33" i="3" s="1"/>
  <c r="AM28" i="2"/>
  <c r="P28" i="2"/>
  <c r="P33" i="2" s="1"/>
  <c r="X28" i="2"/>
  <c r="AF28" i="2"/>
  <c r="AB32" i="3" s="1"/>
  <c r="AB33" i="3" s="1"/>
  <c r="AN28" i="2"/>
  <c r="Q28" i="2"/>
  <c r="Q33" i="2" s="1"/>
  <c r="Y28" i="2"/>
  <c r="AG28" i="2"/>
  <c r="AC32" i="3" s="1"/>
  <c r="AC33" i="3" s="1"/>
  <c r="R28" i="2"/>
  <c r="R33" i="2" s="1"/>
  <c r="Z28" i="2"/>
  <c r="Z33" i="2" s="1"/>
  <c r="AH28" i="2"/>
  <c r="AD32" i="3" s="1"/>
  <c r="AD33" i="3" s="1"/>
  <c r="K27" i="2"/>
  <c r="K32" i="2" s="1"/>
  <c r="S27" i="2"/>
  <c r="S32" i="2" s="1"/>
  <c r="AA27" i="2"/>
  <c r="AA32" i="2" s="1"/>
  <c r="AI27" i="2"/>
  <c r="L27" i="2"/>
  <c r="L32" i="2" s="1"/>
  <c r="AB27" i="2"/>
  <c r="AB32" i="2" s="1"/>
  <c r="AJ27" i="2"/>
  <c r="M27" i="2"/>
  <c r="M32" i="2" s="1"/>
  <c r="U27" i="2"/>
  <c r="U32" i="2" s="1"/>
  <c r="AC27" i="2"/>
  <c r="AK27" i="2"/>
  <c r="T27" i="2"/>
  <c r="T32" i="2" s="1"/>
  <c r="N27" i="2"/>
  <c r="N32" i="2" s="1"/>
  <c r="V27" i="2"/>
  <c r="V32" i="2" s="1"/>
  <c r="AD27" i="2"/>
  <c r="AL27" i="2"/>
  <c r="O27" i="2"/>
  <c r="O32" i="2" s="1"/>
  <c r="W27" i="2"/>
  <c r="W32" i="2" s="1"/>
  <c r="AE27" i="2"/>
  <c r="AM27" i="2"/>
  <c r="P27" i="2"/>
  <c r="P32" i="2" s="1"/>
  <c r="X27" i="2"/>
  <c r="X32" i="2" s="1"/>
  <c r="AF27" i="2"/>
  <c r="AN27" i="2"/>
  <c r="Q27" i="2"/>
  <c r="Q32" i="2" s="1"/>
  <c r="Y27" i="2"/>
  <c r="Y32" i="2" s="1"/>
  <c r="AG27" i="2"/>
  <c r="R27" i="2"/>
  <c r="R32" i="2" s="1"/>
  <c r="Z27" i="2"/>
  <c r="Z32" i="2" s="1"/>
  <c r="AH27" i="2"/>
  <c r="K110" i="2"/>
  <c r="L110" i="2"/>
  <c r="M110" i="2"/>
  <c r="N110" i="2"/>
  <c r="O110" i="2"/>
  <c r="P110" i="2"/>
  <c r="Q110" i="2"/>
  <c r="R110" i="2"/>
  <c r="S110" i="2"/>
  <c r="T110" i="2"/>
  <c r="U110" i="2"/>
  <c r="V110" i="2"/>
  <c r="W110" i="2"/>
  <c r="X110" i="2"/>
  <c r="Y110" i="2"/>
  <c r="Z110" i="2"/>
  <c r="AA110" i="2"/>
  <c r="AB110" i="2"/>
  <c r="AC110" i="2"/>
  <c r="Y55" i="3" s="1"/>
  <c r="AD110" i="2"/>
  <c r="Z55" i="3" s="1"/>
  <c r="AE110" i="2"/>
  <c r="AA55" i="3" s="1"/>
  <c r="AF110" i="2"/>
  <c r="AB55" i="3" s="1"/>
  <c r="AG110" i="2"/>
  <c r="AC55" i="3" s="1"/>
  <c r="AH110" i="2"/>
  <c r="AD55" i="3" s="1"/>
  <c r="AI110" i="2"/>
  <c r="AE55" i="3" s="1"/>
  <c r="AJ110" i="2"/>
  <c r="AF55" i="3" s="1"/>
  <c r="AK110" i="2"/>
  <c r="AG55" i="3" s="1"/>
  <c r="AL110" i="2"/>
  <c r="AH55" i="3" s="1"/>
  <c r="AM110" i="2"/>
  <c r="AI55" i="3" s="1"/>
  <c r="AN110" i="2"/>
  <c r="Q228" i="2"/>
  <c r="Y228" i="2"/>
  <c r="AG228" i="2"/>
  <c r="R228" i="2"/>
  <c r="Z228" i="2"/>
  <c r="AH228" i="2"/>
  <c r="K228" i="2"/>
  <c r="S228" i="2"/>
  <c r="AA228" i="2"/>
  <c r="AI228" i="2"/>
  <c r="L228" i="2"/>
  <c r="T228" i="2"/>
  <c r="AB228" i="2"/>
  <c r="AJ228" i="2"/>
  <c r="M228" i="2"/>
  <c r="U228" i="2"/>
  <c r="AC228" i="2"/>
  <c r="AK228" i="2"/>
  <c r="N228" i="2"/>
  <c r="V228" i="2"/>
  <c r="AD228" i="2"/>
  <c r="AL228" i="2"/>
  <c r="O228" i="2"/>
  <c r="W228" i="2"/>
  <c r="AE228" i="2"/>
  <c r="AM228" i="2"/>
  <c r="P228" i="2"/>
  <c r="X228" i="2"/>
  <c r="AF228" i="2"/>
  <c r="AN228" i="2"/>
  <c r="Q249" i="2"/>
  <c r="Y249" i="2"/>
  <c r="AG249" i="2"/>
  <c r="AC25" i="3" s="1"/>
  <c r="R249" i="2"/>
  <c r="Z249" i="2"/>
  <c r="AH249" i="2"/>
  <c r="AD25" i="3" s="1"/>
  <c r="K249" i="2"/>
  <c r="S249" i="2"/>
  <c r="AA249" i="2"/>
  <c r="AI249" i="2"/>
  <c r="AE25" i="3" s="1"/>
  <c r="L249" i="2"/>
  <c r="T249" i="2"/>
  <c r="AB249" i="2"/>
  <c r="AJ249" i="2"/>
  <c r="AF25" i="3" s="1"/>
  <c r="M249" i="2"/>
  <c r="U249" i="2"/>
  <c r="AC249" i="2"/>
  <c r="Y25" i="3" s="1"/>
  <c r="AK249" i="2"/>
  <c r="AG25" i="3" s="1"/>
  <c r="N249" i="2"/>
  <c r="V249" i="2"/>
  <c r="AD249" i="2"/>
  <c r="Z25" i="3" s="1"/>
  <c r="AL249" i="2"/>
  <c r="AH25" i="3" s="1"/>
  <c r="O249" i="2"/>
  <c r="W249" i="2"/>
  <c r="AE249" i="2"/>
  <c r="AA25" i="3" s="1"/>
  <c r="AM249" i="2"/>
  <c r="AI25" i="3" s="1"/>
  <c r="P249" i="2"/>
  <c r="X249" i="2"/>
  <c r="AF249" i="2"/>
  <c r="AB25" i="3" s="1"/>
  <c r="AN249" i="2"/>
  <c r="AJ25" i="3" s="1"/>
  <c r="Q168" i="2"/>
  <c r="Q170" i="2"/>
  <c r="Q174" i="2" s="1"/>
  <c r="AG168" i="2"/>
  <c r="AC9" i="3" s="1"/>
  <c r="AG170" i="2"/>
  <c r="R168" i="2"/>
  <c r="R170" i="2"/>
  <c r="R174" i="2" s="1"/>
  <c r="Z168" i="2"/>
  <c r="Z170" i="2"/>
  <c r="AH168" i="2"/>
  <c r="AD9" i="3" s="1"/>
  <c r="AH170" i="2"/>
  <c r="K168" i="2"/>
  <c r="K169" i="2" s="1"/>
  <c r="K170" i="2"/>
  <c r="S168" i="2"/>
  <c r="S170" i="2"/>
  <c r="S174" i="2" s="1"/>
  <c r="AA168" i="2"/>
  <c r="AA170" i="2"/>
  <c r="AA174" i="2" s="1"/>
  <c r="L168" i="2"/>
  <c r="L170" i="2"/>
  <c r="L174" i="2" s="1"/>
  <c r="AB168" i="2"/>
  <c r="AB170" i="2"/>
  <c r="AB174" i="2" s="1"/>
  <c r="AJ168" i="2"/>
  <c r="AF9" i="3" s="1"/>
  <c r="AJ170" i="2"/>
  <c r="M168" i="2"/>
  <c r="M170" i="2"/>
  <c r="M174" i="2" s="1"/>
  <c r="U168" i="2"/>
  <c r="U170" i="2"/>
  <c r="AC168" i="2"/>
  <c r="AC170" i="2"/>
  <c r="AK168" i="2"/>
  <c r="AG9" i="3" s="1"/>
  <c r="AK170" i="2"/>
  <c r="N168" i="2"/>
  <c r="N170" i="2"/>
  <c r="N174" i="2" s="1"/>
  <c r="V168" i="2"/>
  <c r="V170" i="2"/>
  <c r="V174" i="2" s="1"/>
  <c r="AL168" i="2"/>
  <c r="AH9" i="3" s="1"/>
  <c r="AL170" i="2"/>
  <c r="W168" i="2"/>
  <c r="W170" i="2"/>
  <c r="W174" i="2" s="1"/>
  <c r="AE168" i="2"/>
  <c r="AE170" i="2"/>
  <c r="AM168" i="2"/>
  <c r="AI9" i="3" s="1"/>
  <c r="AM170" i="2"/>
  <c r="P168" i="2"/>
  <c r="P169" i="2" s="1"/>
  <c r="P170" i="2"/>
  <c r="X168" i="2"/>
  <c r="X170" i="2"/>
  <c r="X174" i="2" s="1"/>
  <c r="AF168" i="2"/>
  <c r="AB9" i="3" s="1"/>
  <c r="AF170" i="2"/>
  <c r="R298" i="2"/>
  <c r="R296" i="2"/>
  <c r="R295" i="2"/>
  <c r="R293" i="2"/>
  <c r="Z298" i="2"/>
  <c r="Z296" i="2"/>
  <c r="Z295" i="2"/>
  <c r="Z293" i="2"/>
  <c r="K298" i="2"/>
  <c r="K296" i="2"/>
  <c r="K295" i="2"/>
  <c r="K293" i="2"/>
  <c r="S298" i="2"/>
  <c r="S296" i="2"/>
  <c r="S295" i="2"/>
  <c r="S293" i="2"/>
  <c r="AA298" i="2"/>
  <c r="AA296" i="2"/>
  <c r="AA295" i="2"/>
  <c r="AA293" i="2"/>
  <c r="L298" i="2"/>
  <c r="L296" i="2"/>
  <c r="L295" i="2"/>
  <c r="L293" i="2"/>
  <c r="T298" i="2"/>
  <c r="T296" i="2"/>
  <c r="T295" i="2"/>
  <c r="T293" i="2"/>
  <c r="AB298" i="2"/>
  <c r="AB296" i="2"/>
  <c r="AB295" i="2"/>
  <c r="AB293" i="2"/>
  <c r="M298" i="2"/>
  <c r="M296" i="2"/>
  <c r="M295" i="2"/>
  <c r="M293" i="2"/>
  <c r="U298" i="2"/>
  <c r="U296" i="2"/>
  <c r="U295" i="2"/>
  <c r="U293" i="2"/>
  <c r="Q298" i="2"/>
  <c r="Q296" i="2"/>
  <c r="Q295" i="2"/>
  <c r="Q293" i="2"/>
  <c r="N298" i="2"/>
  <c r="N296" i="2"/>
  <c r="N295" i="2"/>
  <c r="N293" i="2"/>
  <c r="V298" i="2"/>
  <c r="V296" i="2"/>
  <c r="V295" i="2"/>
  <c r="V293" i="2"/>
  <c r="Y298" i="2"/>
  <c r="Y296" i="2"/>
  <c r="Y295" i="2"/>
  <c r="Y293" i="2"/>
  <c r="O298" i="2"/>
  <c r="O296" i="2"/>
  <c r="O295" i="2"/>
  <c r="O293" i="2"/>
  <c r="W298" i="2"/>
  <c r="W296" i="2"/>
  <c r="W295" i="2"/>
  <c r="W293" i="2"/>
  <c r="P298" i="2"/>
  <c r="P296" i="2"/>
  <c r="P295" i="2"/>
  <c r="P293" i="2"/>
  <c r="X298" i="2"/>
  <c r="X296" i="2"/>
  <c r="X295" i="2"/>
  <c r="X293" i="2"/>
  <c r="Q292" i="2"/>
  <c r="Y292" i="2"/>
  <c r="R292" i="2"/>
  <c r="Z292" i="2"/>
  <c r="K292" i="2"/>
  <c r="S292" i="2"/>
  <c r="AA292" i="2"/>
  <c r="L292" i="2"/>
  <c r="T292" i="2"/>
  <c r="AB292" i="2"/>
  <c r="M292" i="2"/>
  <c r="U292" i="2"/>
  <c r="N292" i="2"/>
  <c r="V292" i="2"/>
  <c r="O292" i="2"/>
  <c r="W292" i="2"/>
  <c r="P292" i="2"/>
  <c r="X292" i="2"/>
  <c r="Q287" i="2"/>
  <c r="Q284" i="2"/>
  <c r="Q285" i="2"/>
  <c r="Q282" i="2"/>
  <c r="Y287" i="2"/>
  <c r="Y284" i="2"/>
  <c r="Y285" i="2"/>
  <c r="Y282" i="2"/>
  <c r="R287" i="2"/>
  <c r="R284" i="2"/>
  <c r="R285" i="2"/>
  <c r="R282" i="2"/>
  <c r="Z287" i="2"/>
  <c r="Z284" i="2"/>
  <c r="Z285" i="2"/>
  <c r="Z282" i="2"/>
  <c r="K287" i="2"/>
  <c r="K284" i="2"/>
  <c r="K285" i="2"/>
  <c r="K282" i="2"/>
  <c r="S287" i="2"/>
  <c r="S284" i="2"/>
  <c r="S285" i="2"/>
  <c r="S282" i="2"/>
  <c r="AA287" i="2"/>
  <c r="AA284" i="2"/>
  <c r="AA285" i="2"/>
  <c r="AA282" i="2"/>
  <c r="L287" i="2"/>
  <c r="L285" i="2"/>
  <c r="L284" i="2"/>
  <c r="L282" i="2"/>
  <c r="T287" i="2"/>
  <c r="T285" i="2"/>
  <c r="T284" i="2"/>
  <c r="T282" i="2"/>
  <c r="AB287" i="2"/>
  <c r="AB285" i="2"/>
  <c r="AB284" i="2"/>
  <c r="AB282" i="2"/>
  <c r="M287" i="2"/>
  <c r="M284" i="2"/>
  <c r="M285" i="2"/>
  <c r="M282" i="2"/>
  <c r="U287" i="2"/>
  <c r="U284" i="2"/>
  <c r="U285" i="2"/>
  <c r="U282" i="2"/>
  <c r="N287" i="2"/>
  <c r="N284" i="2"/>
  <c r="N285" i="2"/>
  <c r="N282" i="2"/>
  <c r="V287" i="2"/>
  <c r="V284" i="2"/>
  <c r="V285" i="2"/>
  <c r="V282" i="2"/>
  <c r="O287" i="2"/>
  <c r="O284" i="2"/>
  <c r="O285" i="2"/>
  <c r="O282" i="2"/>
  <c r="W287" i="2"/>
  <c r="W284" i="2"/>
  <c r="W285" i="2"/>
  <c r="W282" i="2"/>
  <c r="P287" i="2"/>
  <c r="P285" i="2"/>
  <c r="P284" i="2"/>
  <c r="P282" i="2"/>
  <c r="X287" i="2"/>
  <c r="X285" i="2"/>
  <c r="X284" i="2"/>
  <c r="X282" i="2"/>
  <c r="Q281" i="2"/>
  <c r="Y281" i="2"/>
  <c r="R281" i="2"/>
  <c r="Z281" i="2"/>
  <c r="K281" i="2"/>
  <c r="S281" i="2"/>
  <c r="AA281" i="2"/>
  <c r="L281" i="2"/>
  <c r="T281" i="2"/>
  <c r="AB281" i="2"/>
  <c r="U281" i="2"/>
  <c r="N281" i="2"/>
  <c r="V281" i="2"/>
  <c r="M281" i="2"/>
  <c r="O281" i="2"/>
  <c r="W281" i="2"/>
  <c r="P281" i="2"/>
  <c r="X281" i="2"/>
  <c r="AD329" i="2" a="1"/>
  <c r="U317" i="2" a="1"/>
  <c r="T323" i="2" a="1"/>
  <c r="AG330" i="2" a="1"/>
  <c r="X314" i="2" a="1"/>
  <c r="AL314" i="2" a="1"/>
  <c r="Q316" i="2" a="1"/>
  <c r="Z314" i="2" a="1"/>
  <c r="AN317" i="2" a="1"/>
  <c r="W316" i="2" a="1"/>
  <c r="Q315" i="2" a="1"/>
  <c r="T316" i="2" a="1"/>
  <c r="S315" i="2" a="1"/>
  <c r="M322" i="2" a="1"/>
  <c r="AE329" i="2" a="1"/>
  <c r="R317" i="2" a="1"/>
  <c r="S330" i="2" a="1"/>
  <c r="AK314" i="2" a="1"/>
  <c r="Y323" i="2" a="1"/>
  <c r="AB314" i="2" a="1"/>
  <c r="AK322" i="2" a="1"/>
  <c r="O323" i="2" a="1"/>
  <c r="Y330" i="2" a="1"/>
  <c r="V314" i="2" a="1"/>
  <c r="P315" i="2" a="1"/>
  <c r="V329" i="2" a="1"/>
  <c r="O322" i="2" a="1"/>
  <c r="AC322" i="2" a="1"/>
  <c r="AG329" i="2" a="1"/>
  <c r="V330" i="2" a="1"/>
  <c r="R314" i="2" a="1"/>
  <c r="Y329" i="2" a="1"/>
  <c r="AI318" i="2" a="1"/>
  <c r="AG323" i="2" a="1"/>
  <c r="AM316" i="2" a="1"/>
  <c r="S317" i="2" a="1"/>
  <c r="K315" i="2" a="1"/>
  <c r="AF318" i="2" a="1"/>
  <c r="V315" i="2" a="1"/>
  <c r="M315" i="2" a="1"/>
  <c r="S329" i="2" a="1"/>
  <c r="W322" i="2" a="1"/>
  <c r="P316" i="2" a="1"/>
  <c r="P318" i="2" a="1"/>
  <c r="R323" i="2" a="1"/>
  <c r="AI315" i="2" a="1"/>
  <c r="AL322" i="2" a="1"/>
  <c r="AI316" i="2" a="1"/>
  <c r="K329" i="2" a="1"/>
  <c r="N315" i="2" a="1"/>
  <c r="R316" i="2" a="1"/>
  <c r="P329" i="2" a="1"/>
  <c r="AJ314" i="2" a="1"/>
  <c r="Y317" i="2" a="1"/>
  <c r="AF315" i="2" a="1"/>
  <c r="V317" i="2" a="1"/>
  <c r="T317" i="2" a="1"/>
  <c r="N317" i="2" a="1"/>
  <c r="AG317" i="2" a="1"/>
  <c r="AN316" i="2" a="1"/>
  <c r="AL323" i="2" a="1"/>
  <c r="AA322" i="2" a="1"/>
  <c r="AA317" i="2" a="1"/>
  <c r="X316" i="2" a="1"/>
  <c r="AF329" i="2" a="1"/>
  <c r="AM330" i="2" a="1"/>
  <c r="X323" i="2" a="1"/>
  <c r="AM329" i="2" a="1"/>
  <c r="AF314" i="2" a="1"/>
  <c r="AM318" i="2" a="1"/>
  <c r="T322" i="2" a="1"/>
  <c r="L316" i="2" a="1"/>
  <c r="N329" i="2" a="1"/>
  <c r="Y314" i="2" a="1"/>
  <c r="AE314" i="2" a="1"/>
  <c r="AN329" i="2" a="1"/>
  <c r="V316" i="2" a="1"/>
  <c r="N330" i="2" a="1"/>
  <c r="X329" i="2" a="1"/>
  <c r="AK316" i="2" a="1"/>
  <c r="X315" i="2" a="1"/>
  <c r="AN318" i="2" a="1"/>
  <c r="X318" i="2" a="1"/>
  <c r="AN314" i="2" a="1"/>
  <c r="V322" i="2" a="1"/>
  <c r="AB315" i="2" a="1"/>
  <c r="AL315" i="2" a="1"/>
  <c r="U315" i="2" a="1"/>
  <c r="R330" i="2" a="1"/>
  <c r="Y315" i="2" a="1"/>
  <c r="AF316" i="2" a="1"/>
  <c r="S314" i="2" a="1"/>
  <c r="AB316" i="2" a="1"/>
  <c r="AC318" i="2" a="1"/>
  <c r="AG315" i="2" a="1"/>
  <c r="N322" i="2" a="1"/>
  <c r="AC323" i="2" a="1"/>
  <c r="S316" i="2" a="1"/>
  <c r="K316" i="2" a="1"/>
  <c r="AJ322" i="2" a="1"/>
  <c r="AI314" i="2" a="1"/>
  <c r="Z317" i="2" a="1"/>
  <c r="K322" i="2" a="1"/>
  <c r="Z330" i="2" a="1"/>
  <c r="K314" i="2" a="1"/>
  <c r="AJ329" i="2" a="1"/>
  <c r="S322" i="2" a="1"/>
  <c r="AN322" i="2" a="1"/>
  <c r="Y322" i="2" a="1"/>
  <c r="AG318" i="2" a="1"/>
  <c r="AB329" i="2" a="1"/>
  <c r="P322" i="2" a="1"/>
  <c r="W315" i="2" a="1"/>
  <c r="AB317" i="2" a="1"/>
  <c r="N316" i="2" a="1"/>
  <c r="AB330" i="2" a="1"/>
  <c r="Q317" i="2" a="1"/>
  <c r="AG316" i="2" a="1"/>
  <c r="AG314" i="2" a="1"/>
  <c r="AM322" i="2" a="1"/>
  <c r="K317" i="2" a="1"/>
  <c r="Q318" i="2" a="1"/>
  <c r="AH314" i="2" a="1"/>
  <c r="AA318" i="2" a="1"/>
  <c r="AE318" i="2" a="1"/>
  <c r="X330" i="2" a="1"/>
  <c r="O318" i="2" a="1"/>
  <c r="AI323" i="2" a="1"/>
  <c r="AA330" i="2" a="1"/>
  <c r="AH315" i="2" a="1"/>
  <c r="R329" i="2" a="1"/>
  <c r="T330" i="2" a="1"/>
  <c r="Y318" i="2" a="1"/>
  <c r="AD330" i="2" a="1"/>
  <c r="P330" i="2" a="1"/>
  <c r="AI322" i="2" a="1"/>
  <c r="AC329" i="2" a="1"/>
  <c r="AM317" i="2" a="1"/>
  <c r="Z318" i="2" a="1"/>
  <c r="AI329" i="2" a="1"/>
  <c r="T318" i="2" a="1"/>
  <c r="U323" i="2" a="1"/>
  <c r="P314" i="2" a="1"/>
  <c r="AJ323" i="2" a="1"/>
  <c r="AI330" i="2" a="1"/>
  <c r="U318" i="2" a="1"/>
  <c r="AC314" i="2" a="1"/>
  <c r="M317" i="2" a="1"/>
  <c r="AJ330" i="2" a="1"/>
  <c r="W318" i="2" a="1"/>
  <c r="T329" i="2" a="1"/>
  <c r="AL318" i="2" a="1"/>
  <c r="W330" i="2" a="1"/>
  <c r="AF317" i="2" a="1"/>
  <c r="AM314" i="2" a="1"/>
  <c r="L330" i="2" a="1"/>
  <c r="Z322" i="2" a="1"/>
  <c r="AK318" i="2" a="1"/>
  <c r="M318" i="2" a="1"/>
  <c r="T315" i="2" a="1"/>
  <c r="L317" i="2" a="1"/>
  <c r="W323" i="2" a="1"/>
  <c r="Z329" i="2" a="1"/>
  <c r="AK329" i="2" a="1"/>
  <c r="AD314" i="2" a="1"/>
  <c r="T314" i="2" a="1"/>
  <c r="AN323" i="2" a="1"/>
  <c r="S318" i="2" a="1"/>
  <c r="AH322" i="2" a="1"/>
  <c r="W314" i="2" a="1"/>
  <c r="L318" i="2" a="1"/>
  <c r="AE322" i="2" a="1"/>
  <c r="AA323" i="2" a="1"/>
  <c r="AA316" i="2" a="1"/>
  <c r="K318" i="2" a="1"/>
  <c r="AE315" i="2" a="1"/>
  <c r="AE323" i="2" a="1"/>
  <c r="O330" i="2" a="1"/>
  <c r="K330" i="2" a="1"/>
  <c r="AN330" i="2" a="1"/>
  <c r="AC316" i="2" a="1"/>
  <c r="L322" i="2" a="1"/>
  <c r="Y316" i="2" a="1"/>
  <c r="L323" i="2" a="1"/>
  <c r="AK315" i="2" a="1"/>
  <c r="N314" i="2" a="1"/>
  <c r="AE317" i="2" a="1"/>
  <c r="AK317" i="2" a="1"/>
  <c r="W317" i="2" a="1"/>
  <c r="O329" i="2" a="1"/>
  <c r="AG322" i="2" a="1"/>
  <c r="P317" i="2" a="1"/>
  <c r="S323" i="2" a="1"/>
  <c r="AB323" i="2" a="1"/>
  <c r="M329" i="2" a="1"/>
  <c r="AJ318" i="2" a="1"/>
  <c r="U316" i="2" a="1"/>
  <c r="R322" i="2" a="1"/>
  <c r="AN315" i="2" a="1"/>
  <c r="U329" i="2" a="1"/>
  <c r="N323" i="2" a="1"/>
  <c r="Q314" i="2" a="1"/>
  <c r="U322" i="2" a="1"/>
  <c r="W329" i="2" a="1"/>
  <c r="AJ316" i="2" a="1"/>
  <c r="M314" i="2" a="1"/>
  <c r="O315" i="2" a="1"/>
  <c r="AD317" i="2" a="1"/>
  <c r="Z316" i="2" a="1"/>
  <c r="AH317" i="2" a="1"/>
  <c r="AC330" i="2" a="1"/>
  <c r="AK323" i="2" a="1"/>
  <c r="P323" i="2" a="1"/>
  <c r="AH330" i="2" a="1"/>
  <c r="AL317" i="2" a="1"/>
  <c r="L315" i="2" a="1"/>
  <c r="AJ315" i="2" a="1"/>
  <c r="M316" i="2" a="1"/>
  <c r="AL329" i="2" a="1"/>
  <c r="M330" i="2" a="1"/>
  <c r="AB322" i="2" a="1"/>
  <c r="O314" i="2" a="1"/>
  <c r="AH329" i="2" a="1"/>
  <c r="M323" i="2" a="1"/>
  <c r="U314" i="2" a="1"/>
  <c r="AD323" i="2" a="1"/>
  <c r="AC317" i="2" a="1"/>
  <c r="Q329" i="2" a="1"/>
  <c r="AD322" i="2" a="1"/>
  <c r="Q330" i="2" a="1"/>
  <c r="AB318" i="2" a="1"/>
  <c r="AH316" i="2" a="1"/>
  <c r="Q322" i="2" a="1"/>
  <c r="K323" i="2" a="1"/>
  <c r="R318" i="2" a="1"/>
  <c r="AI317" i="2" a="1"/>
  <c r="O317" i="2" a="1"/>
  <c r="L329" i="2" a="1"/>
  <c r="AF322" i="2" a="1"/>
  <c r="AL316" i="2" a="1"/>
  <c r="O316" i="2" a="1"/>
  <c r="Z315" i="2" a="1"/>
  <c r="AA315" i="2" a="1"/>
  <c r="N318" i="2" a="1"/>
  <c r="AH318" i="2" a="1"/>
  <c r="AJ317" i="2" a="1"/>
  <c r="AK330" i="2" a="1"/>
  <c r="AC315" i="2" a="1"/>
  <c r="V323" i="2" a="1"/>
  <c r="L314" i="2" a="1"/>
  <c r="Z323" i="2" a="1"/>
  <c r="X317" i="2" a="1"/>
  <c r="U330" i="2" a="1"/>
  <c r="R315" i="2" a="1"/>
  <c r="AD315" i="2" a="1"/>
  <c r="AA314" i="2" a="1"/>
  <c r="AA329" i="2" a="1"/>
  <c r="AE330" i="2" a="1"/>
  <c r="Q323" i="2" a="1"/>
  <c r="AM323" i="2" a="1"/>
  <c r="AL330" i="2" a="1"/>
  <c r="AH323" i="2" a="1"/>
  <c r="AM315" i="2" a="1"/>
  <c r="AF330" i="2" a="1"/>
  <c r="AD316" i="2" a="1"/>
  <c r="AD318" i="2" a="1"/>
  <c r="AE316" i="2" a="1"/>
  <c r="X322" i="2" a="1"/>
  <c r="V318" i="2" a="1"/>
  <c r="AF323" i="2" a="1"/>
  <c r="Y32" i="3" l="1"/>
  <c r="Y33" i="3" s="1"/>
  <c r="AC26" i="2"/>
  <c r="Z169" i="2"/>
  <c r="AN32" i="2"/>
  <c r="AJ36" i="3"/>
  <c r="AJ37" i="3" s="1"/>
  <c r="AL32" i="2"/>
  <c r="AH36" i="3"/>
  <c r="AH37" i="3" s="1"/>
  <c r="AF32" i="2"/>
  <c r="AB36" i="3"/>
  <c r="AB37" i="3" s="1"/>
  <c r="AC47" i="3"/>
  <c r="AA47" i="3"/>
  <c r="AM33" i="2"/>
  <c r="AI32" i="3"/>
  <c r="AI33" i="3" s="1"/>
  <c r="AK33" i="2"/>
  <c r="AG32" i="3"/>
  <c r="AG33" i="3" s="1"/>
  <c r="AN112" i="2"/>
  <c r="AJ55" i="3"/>
  <c r="AM32" i="2"/>
  <c r="AI36" i="3"/>
  <c r="AI37" i="3" s="1"/>
  <c r="AI32" i="2"/>
  <c r="AE36" i="3"/>
  <c r="AE37" i="3" s="1"/>
  <c r="AJ47" i="3"/>
  <c r="AL63" i="2"/>
  <c r="AH47" i="3"/>
  <c r="AJ63" i="2"/>
  <c r="AF47" i="3"/>
  <c r="AG32" i="2"/>
  <c r="AC36" i="3"/>
  <c r="AC37" i="3" s="1"/>
  <c r="AE32" i="2"/>
  <c r="AA36" i="3"/>
  <c r="AA37" i="3" s="1"/>
  <c r="AB47" i="3"/>
  <c r="AC32" i="2"/>
  <c r="Y36" i="3"/>
  <c r="Y37" i="3" s="1"/>
  <c r="AD47" i="3"/>
  <c r="AK32" i="2"/>
  <c r="AG36" i="3"/>
  <c r="AG37" i="3" s="1"/>
  <c r="AD63" i="2"/>
  <c r="Z47" i="3"/>
  <c r="AN33" i="2"/>
  <c r="AJ32" i="3"/>
  <c r="AJ33" i="3" s="1"/>
  <c r="AL33" i="2"/>
  <c r="AH32" i="3"/>
  <c r="AH33" i="3" s="1"/>
  <c r="AJ33" i="2"/>
  <c r="AF32" i="3"/>
  <c r="AF33" i="3" s="1"/>
  <c r="AM63" i="2"/>
  <c r="AI47" i="3"/>
  <c r="AK63" i="2"/>
  <c r="AG47" i="3"/>
  <c r="AE47" i="3"/>
  <c r="AE169" i="2"/>
  <c r="AA13" i="3" s="1"/>
  <c r="AA9" i="3"/>
  <c r="AD32" i="2"/>
  <c r="Z36" i="3"/>
  <c r="Z37" i="3" s="1"/>
  <c r="AJ32" i="2"/>
  <c r="AF36" i="3"/>
  <c r="AF37" i="3" s="1"/>
  <c r="AH32" i="2"/>
  <c r="AD36" i="3"/>
  <c r="AD37" i="3" s="1"/>
  <c r="AI33" i="2"/>
  <c r="AE32" i="3"/>
  <c r="AE33" i="3" s="1"/>
  <c r="Y56" i="3"/>
  <c r="AL169" i="2"/>
  <c r="AH13" i="3" s="1"/>
  <c r="AQ169" i="2"/>
  <c r="AM13" i="3" s="1"/>
  <c r="Y9" i="3"/>
  <c r="Y10" i="3" s="1"/>
  <c r="AC169" i="2"/>
  <c r="Y13" i="3" s="1"/>
  <c r="Y14" i="3" s="1"/>
  <c r="AB173" i="2"/>
  <c r="AB169" i="2"/>
  <c r="AM169" i="2"/>
  <c r="AI13" i="3" s="1"/>
  <c r="AR169" i="2"/>
  <c r="AN13" i="3" s="1"/>
  <c r="V173" i="2"/>
  <c r="V169" i="2"/>
  <c r="U169" i="2"/>
  <c r="L173" i="2"/>
  <c r="L169" i="2"/>
  <c r="AH169" i="2"/>
  <c r="AD13" i="3" s="1"/>
  <c r="Q173" i="2"/>
  <c r="Q169" i="2"/>
  <c r="N173" i="2"/>
  <c r="N169" i="2"/>
  <c r="AA173" i="2"/>
  <c r="AA169" i="2"/>
  <c r="AN170" i="2"/>
  <c r="AF169" i="2"/>
  <c r="AB13" i="3" s="1"/>
  <c r="M173" i="2"/>
  <c r="M169" i="2"/>
  <c r="AC63" i="2"/>
  <c r="Y47" i="3"/>
  <c r="Y48" i="3" s="1"/>
  <c r="X173" i="2"/>
  <c r="X169" i="2"/>
  <c r="W173" i="2"/>
  <c r="W169" i="2"/>
  <c r="AK169" i="2"/>
  <c r="AG13" i="3" s="1"/>
  <c r="AP169" i="2"/>
  <c r="AL13" i="3" s="1"/>
  <c r="AJ169" i="2"/>
  <c r="AF13" i="3" s="1"/>
  <c r="AO169" i="2"/>
  <c r="AK13" i="3" s="1"/>
  <c r="S173" i="2"/>
  <c r="S169" i="2"/>
  <c r="R173" i="2"/>
  <c r="R169" i="2"/>
  <c r="AG169" i="2"/>
  <c r="AC13" i="3" s="1"/>
  <c r="U173" i="2"/>
  <c r="Y168" i="2"/>
  <c r="K174" i="2"/>
  <c r="O170" i="2"/>
  <c r="O174" i="2" s="1"/>
  <c r="P174" i="2"/>
  <c r="T170" i="2"/>
  <c r="T174" i="2" s="1"/>
  <c r="U174" i="2"/>
  <c r="Y170" i="2"/>
  <c r="Y174" i="2" s="1"/>
  <c r="AN168" i="2"/>
  <c r="AJ9" i="3" s="1"/>
  <c r="Z174" i="2"/>
  <c r="AD170" i="2"/>
  <c r="P173" i="2"/>
  <c r="T168" i="2"/>
  <c r="Z173" i="2"/>
  <c r="AD168" i="2"/>
  <c r="Z9" i="3" s="1"/>
  <c r="AI170" i="2"/>
  <c r="AI168" i="2"/>
  <c r="AE9" i="3" s="1"/>
  <c r="K173" i="2"/>
  <c r="O168" i="2"/>
  <c r="AE112" i="2"/>
  <c r="AF112" i="2"/>
  <c r="AG112" i="2"/>
  <c r="AJ112" i="2"/>
  <c r="AH112" i="2"/>
  <c r="X111" i="2"/>
  <c r="X112" i="2"/>
  <c r="X113" i="2" s="1"/>
  <c r="P111" i="2"/>
  <c r="P112" i="2"/>
  <c r="P113" i="2" s="1"/>
  <c r="W111" i="2"/>
  <c r="W112" i="2"/>
  <c r="W113" i="2" s="1"/>
  <c r="O111" i="2"/>
  <c r="O112" i="2"/>
  <c r="O113" i="2" s="1"/>
  <c r="AL112" i="2"/>
  <c r="AD112" i="2"/>
  <c r="V112" i="2"/>
  <c r="V113" i="2" s="1"/>
  <c r="V111" i="2"/>
  <c r="N112" i="2"/>
  <c r="N113" i="2" s="1"/>
  <c r="N111" i="2"/>
  <c r="AM112" i="2"/>
  <c r="AK112" i="2"/>
  <c r="AC112" i="2"/>
  <c r="U112" i="2"/>
  <c r="U113" i="2" s="1"/>
  <c r="U111" i="2"/>
  <c r="M112" i="2"/>
  <c r="M113" i="2" s="1"/>
  <c r="M111" i="2"/>
  <c r="AB111" i="2"/>
  <c r="AB112" i="2"/>
  <c r="AB113" i="2" s="1"/>
  <c r="T111" i="2"/>
  <c r="T112" i="2"/>
  <c r="T113" i="2" s="1"/>
  <c r="L111" i="2"/>
  <c r="L112" i="2"/>
  <c r="L113" i="2" s="1"/>
  <c r="AI112" i="2"/>
  <c r="AA111" i="2"/>
  <c r="AA112" i="2"/>
  <c r="AA113" i="2" s="1"/>
  <c r="S111" i="2"/>
  <c r="S112" i="2"/>
  <c r="S113" i="2" s="1"/>
  <c r="K111" i="2"/>
  <c r="K112" i="2"/>
  <c r="K113" i="2" s="1"/>
  <c r="Z111" i="2"/>
  <c r="Z112" i="2"/>
  <c r="Z113" i="2" s="1"/>
  <c r="R111" i="2"/>
  <c r="R112" i="2"/>
  <c r="R113" i="2" s="1"/>
  <c r="Y111" i="2"/>
  <c r="Y112" i="2"/>
  <c r="Y113" i="2" s="1"/>
  <c r="Q111" i="2"/>
  <c r="Q112" i="2"/>
  <c r="Q113" i="2" s="1"/>
  <c r="AH26" i="2"/>
  <c r="AH33" i="2"/>
  <c r="AG26" i="2"/>
  <c r="AG33" i="2"/>
  <c r="Y26" i="2"/>
  <c r="Y31" i="2" s="1"/>
  <c r="Y33" i="2"/>
  <c r="AF26" i="2"/>
  <c r="AF33" i="2"/>
  <c r="X26" i="2"/>
  <c r="X31" i="2" s="1"/>
  <c r="X33" i="2"/>
  <c r="AE26" i="2"/>
  <c r="AE33" i="2"/>
  <c r="W26" i="2"/>
  <c r="W31" i="2" s="1"/>
  <c r="W33" i="2"/>
  <c r="AD26" i="2"/>
  <c r="AD33" i="2"/>
  <c r="V26" i="2"/>
  <c r="V31" i="2" s="1"/>
  <c r="V33" i="2"/>
  <c r="AC33" i="2"/>
  <c r="AB26" i="2"/>
  <c r="AB31" i="2" s="1"/>
  <c r="AB33" i="2"/>
  <c r="AA26" i="2"/>
  <c r="AA31" i="2" s="1"/>
  <c r="AA33" i="2"/>
  <c r="S26" i="2"/>
  <c r="S31" i="2" s="1"/>
  <c r="S33" i="2"/>
  <c r="Q26" i="2"/>
  <c r="Q31" i="2" s="1"/>
  <c r="O26" i="2"/>
  <c r="O31" i="2" s="1"/>
  <c r="K26" i="2"/>
  <c r="K31" i="2" s="1"/>
  <c r="AN26" i="2"/>
  <c r="AL26" i="2"/>
  <c r="AJ26" i="2"/>
  <c r="N26" i="2"/>
  <c r="N31" i="2" s="1"/>
  <c r="T26" i="2"/>
  <c r="T31" i="2" s="1"/>
  <c r="Z26" i="2"/>
  <c r="Z31" i="2" s="1"/>
  <c r="P26" i="2"/>
  <c r="P31" i="2" s="1"/>
  <c r="L26" i="2"/>
  <c r="L31" i="2" s="1"/>
  <c r="R26" i="2"/>
  <c r="R31" i="2" s="1"/>
  <c r="AM26" i="2"/>
  <c r="AK26" i="2"/>
  <c r="AI26" i="2"/>
  <c r="U26" i="2"/>
  <c r="U31" i="2" s="1"/>
  <c r="M26" i="2"/>
  <c r="M31" i="2" s="1"/>
  <c r="P171" i="2"/>
  <c r="N171" i="2"/>
  <c r="M171" i="2"/>
  <c r="L171" i="2"/>
  <c r="K171" i="2"/>
  <c r="AG171" i="2"/>
  <c r="AC17" i="3" s="1"/>
  <c r="AE171" i="2"/>
  <c r="AA17" i="3" s="1"/>
  <c r="AC171" i="2"/>
  <c r="Y17" i="3" s="1"/>
  <c r="AB171" i="2"/>
  <c r="AA171" i="2"/>
  <c r="Z171" i="2"/>
  <c r="Q171" i="2"/>
  <c r="AF171" i="2"/>
  <c r="AB17" i="3" s="1"/>
  <c r="AM171" i="2"/>
  <c r="AI17" i="3" s="1"/>
  <c r="AL171" i="2"/>
  <c r="AH17" i="3" s="1"/>
  <c r="AK171" i="2"/>
  <c r="AG17" i="3" s="1"/>
  <c r="AJ171" i="2"/>
  <c r="AF17" i="3" s="1"/>
  <c r="AH171" i="2"/>
  <c r="AD17" i="3" s="1"/>
  <c r="X171" i="2"/>
  <c r="W171" i="2"/>
  <c r="V171" i="2"/>
  <c r="U171" i="2"/>
  <c r="S171" i="2"/>
  <c r="R171" i="2"/>
  <c r="AA303" i="2"/>
  <c r="X306" i="2"/>
  <c r="W306" i="2"/>
  <c r="Y306" i="2"/>
  <c r="U306" i="2"/>
  <c r="AB306" i="2"/>
  <c r="S306" i="2"/>
  <c r="Z306" i="2"/>
  <c r="S303" i="2"/>
  <c r="R303" i="2"/>
  <c r="V306" i="2"/>
  <c r="T306" i="2"/>
  <c r="AA306" i="2"/>
  <c r="R306" i="2"/>
  <c r="X307" i="2"/>
  <c r="W307" i="2"/>
  <c r="Y307" i="2"/>
  <c r="U307" i="2"/>
  <c r="AB307" i="2"/>
  <c r="S307" i="2"/>
  <c r="Z307" i="2"/>
  <c r="X303" i="2"/>
  <c r="AB303" i="2"/>
  <c r="Y303" i="2"/>
  <c r="V307" i="2"/>
  <c r="T307" i="2"/>
  <c r="AA307" i="2"/>
  <c r="R307" i="2"/>
  <c r="T303" i="2"/>
  <c r="V309" i="2"/>
  <c r="T309" i="2"/>
  <c r="AA309" i="2"/>
  <c r="R309" i="2"/>
  <c r="W303" i="2"/>
  <c r="X304" i="2"/>
  <c r="W304" i="2"/>
  <c r="Y304" i="2"/>
  <c r="U304" i="2"/>
  <c r="AB304" i="2"/>
  <c r="S304" i="2"/>
  <c r="Z304" i="2"/>
  <c r="V303" i="2"/>
  <c r="X309" i="2"/>
  <c r="W309" i="2"/>
  <c r="Y309" i="2"/>
  <c r="U309" i="2"/>
  <c r="AB309" i="2"/>
  <c r="S309" i="2"/>
  <c r="Z309" i="2"/>
  <c r="U303" i="2"/>
  <c r="Z303" i="2"/>
  <c r="V304" i="2"/>
  <c r="T304" i="2"/>
  <c r="AA304" i="2"/>
  <c r="R304" i="2"/>
  <c r="N317" i="2"/>
  <c r="W317" i="2"/>
  <c r="AN316" i="2"/>
  <c r="V316" i="2"/>
  <c r="AE315" i="2"/>
  <c r="V318" i="2"/>
  <c r="V320" i="2" s="1"/>
  <c r="AE318" i="2"/>
  <c r="AE320" i="2" s="1"/>
  <c r="M316" i="2"/>
  <c r="AD315" i="2"/>
  <c r="AM314" i="2"/>
  <c r="R323" i="2"/>
  <c r="M317" i="2"/>
  <c r="AD318" i="2"/>
  <c r="AD320" i="2" s="1"/>
  <c r="AM315" i="2"/>
  <c r="R322" i="2"/>
  <c r="U316" i="2"/>
  <c r="AL314" i="2"/>
  <c r="Z317" i="2"/>
  <c r="U315" i="2"/>
  <c r="AL315" i="2"/>
  <c r="Z323" i="2"/>
  <c r="L314" i="2"/>
  <c r="AC314" i="2"/>
  <c r="Q318" i="2"/>
  <c r="Q320" i="2" s="1"/>
  <c r="AH317" i="2"/>
  <c r="L316" i="2"/>
  <c r="AC315" i="2"/>
  <c r="AA314" i="2"/>
  <c r="Q323" i="2"/>
  <c r="AH316" i="2"/>
  <c r="T315" i="2"/>
  <c r="S322" i="2"/>
  <c r="P317" i="2"/>
  <c r="Y317" i="2"/>
  <c r="T314" i="2"/>
  <c r="AK314" i="2"/>
  <c r="P322" i="2"/>
  <c r="Y318" i="2"/>
  <c r="Y320" i="2" s="1"/>
  <c r="AJ323" i="2"/>
  <c r="X318" i="2"/>
  <c r="X320" i="2" s="1"/>
  <c r="AG314" i="2"/>
  <c r="AB314" i="2"/>
  <c r="X317" i="2"/>
  <c r="AG317" i="2"/>
  <c r="K323" i="2"/>
  <c r="O318" i="2"/>
  <c r="O319" i="2" s="1"/>
  <c r="AF316" i="2"/>
  <c r="AI315" i="2"/>
  <c r="K322" i="2"/>
  <c r="O317" i="2"/>
  <c r="AF318" i="2"/>
  <c r="AI318" i="2"/>
  <c r="AI320" i="2" s="1"/>
  <c r="N318" i="2"/>
  <c r="N319" i="2" s="1"/>
  <c r="W318" i="2"/>
  <c r="AN314" i="2"/>
  <c r="V315" i="2"/>
  <c r="AE314" i="2"/>
  <c r="M314" i="2"/>
  <c r="AL322" i="2"/>
  <c r="R318" i="2"/>
  <c r="R320" i="2" s="1"/>
  <c r="L323" i="2"/>
  <c r="AC323" i="2"/>
  <c r="AA317" i="2"/>
  <c r="Z315" i="2"/>
  <c r="T317" i="2"/>
  <c r="AK317" i="2"/>
  <c r="Q316" i="2"/>
  <c r="AB316" i="2"/>
  <c r="S314" i="2"/>
  <c r="X323" i="2"/>
  <c r="AG323" i="2"/>
  <c r="AJ315" i="2"/>
  <c r="O323" i="2"/>
  <c r="AF317" i="2"/>
  <c r="AI317" i="2"/>
  <c r="Y330" i="2"/>
  <c r="Y332" i="2" s="1"/>
  <c r="M330" i="2"/>
  <c r="M331" i="2" s="1"/>
  <c r="V330" i="2"/>
  <c r="V332" i="2" s="1"/>
  <c r="AE330" i="2"/>
  <c r="AE332" i="2" s="1"/>
  <c r="AN330" i="2"/>
  <c r="AN332" i="2" s="1"/>
  <c r="L329" i="2"/>
  <c r="AC329" i="2"/>
  <c r="Q329" i="2"/>
  <c r="M315" i="2"/>
  <c r="AD314" i="2"/>
  <c r="R317" i="2"/>
  <c r="AC322" i="2"/>
  <c r="AA323" i="2"/>
  <c r="Z316" i="2"/>
  <c r="T322" i="2"/>
  <c r="AK318" i="2"/>
  <c r="AP319" i="2" s="1"/>
  <c r="Q314" i="2"/>
  <c r="AH315" i="2"/>
  <c r="AB318" i="2"/>
  <c r="AB320" i="2" s="1"/>
  <c r="S315" i="2"/>
  <c r="P314" i="2"/>
  <c r="AG322" i="2"/>
  <c r="AJ314" i="2"/>
  <c r="O322" i="2"/>
  <c r="AF322" i="2"/>
  <c r="AI316" i="2"/>
  <c r="N323" i="2"/>
  <c r="W316" i="2"/>
  <c r="AN318" i="2"/>
  <c r="AS319" i="2" s="1"/>
  <c r="L330" i="2"/>
  <c r="L331" i="2" s="1"/>
  <c r="U330" i="2"/>
  <c r="U332" i="2" s="1"/>
  <c r="AD330" i="2"/>
  <c r="AD332" i="2" s="1"/>
  <c r="AM330" i="2"/>
  <c r="AM332" i="2" s="1"/>
  <c r="T329" i="2"/>
  <c r="AK329" i="2"/>
  <c r="U314" i="2"/>
  <c r="AA322" i="2"/>
  <c r="AR320" i="2"/>
  <c r="Z318" i="2"/>
  <c r="Z320" i="2" s="1"/>
  <c r="T323" i="2"/>
  <c r="AK323" i="2"/>
  <c r="AQ320" i="2"/>
  <c r="Q315" i="2"/>
  <c r="AH314" i="2"/>
  <c r="AB317" i="2"/>
  <c r="S318" i="2"/>
  <c r="P315" i="2"/>
  <c r="Y314" i="2"/>
  <c r="AJ316" i="2"/>
  <c r="AF323" i="2"/>
  <c r="AI323" i="2"/>
  <c r="K316" i="2"/>
  <c r="N322" i="2"/>
  <c r="W323" i="2"/>
  <c r="AN317" i="2"/>
  <c r="V317" i="2"/>
  <c r="AE317" i="2"/>
  <c r="T330" i="2"/>
  <c r="T332" i="2" s="1"/>
  <c r="AC330" i="2"/>
  <c r="AC332" i="2" s="1"/>
  <c r="AL330" i="2"/>
  <c r="K329" i="2"/>
  <c r="AB329" i="2"/>
  <c r="L315" i="2"/>
  <c r="AK322" i="2"/>
  <c r="Q317" i="2"/>
  <c r="AH318" i="2"/>
  <c r="AH320" i="2" s="1"/>
  <c r="AB322" i="2"/>
  <c r="S317" i="2"/>
  <c r="P316" i="2"/>
  <c r="Y315" i="2"/>
  <c r="AJ318" i="2"/>
  <c r="AJ320" i="2" s="1"/>
  <c r="X314" i="2"/>
  <c r="AI322" i="2"/>
  <c r="K314" i="2"/>
  <c r="W322" i="2"/>
  <c r="AN322" i="2"/>
  <c r="V323" i="2"/>
  <c r="AE316" i="2"/>
  <c r="M318" i="2"/>
  <c r="M319" i="2" s="1"/>
  <c r="AD317" i="2"/>
  <c r="AM318" i="2"/>
  <c r="AM320" i="2" s="1"/>
  <c r="K330" i="2"/>
  <c r="K331" i="2" s="1"/>
  <c r="AB330" i="2"/>
  <c r="AB332" i="2" s="1"/>
  <c r="AK330" i="2"/>
  <c r="AK332" i="2" s="1"/>
  <c r="Q330" i="2"/>
  <c r="S329" i="2"/>
  <c r="AJ329" i="2"/>
  <c r="O329" i="2"/>
  <c r="P329" i="2"/>
  <c r="AB323" i="2"/>
  <c r="S323" i="2"/>
  <c r="P318" i="2"/>
  <c r="Y316" i="2"/>
  <c r="AJ317" i="2"/>
  <c r="X315" i="2"/>
  <c r="AG316" i="2"/>
  <c r="K315" i="2"/>
  <c r="O314" i="2"/>
  <c r="AN323" i="2"/>
  <c r="V322" i="2"/>
  <c r="AE323" i="2"/>
  <c r="M323" i="2"/>
  <c r="AD316" i="2"/>
  <c r="AM317" i="2"/>
  <c r="U317" i="2"/>
  <c r="AL318" i="2"/>
  <c r="AQ319" i="2" s="1"/>
  <c r="Z322" i="2"/>
  <c r="S330" i="2"/>
  <c r="S332" i="2" s="1"/>
  <c r="AJ330" i="2"/>
  <c r="AJ332" i="2" s="1"/>
  <c r="R329" i="2"/>
  <c r="AA329" i="2"/>
  <c r="N329" i="2"/>
  <c r="W329" i="2"/>
  <c r="X329" i="2"/>
  <c r="AJ322" i="2"/>
  <c r="AP320" i="2"/>
  <c r="X316" i="2"/>
  <c r="AG315" i="2"/>
  <c r="K318" i="2"/>
  <c r="K319" i="2" s="1"/>
  <c r="O316" i="2"/>
  <c r="AF315" i="2"/>
  <c r="N314" i="2"/>
  <c r="AE322" i="2"/>
  <c r="M322" i="2"/>
  <c r="AD323" i="2"/>
  <c r="AM316" i="2"/>
  <c r="U318" i="2"/>
  <c r="U320" i="2" s="1"/>
  <c r="AL317" i="2"/>
  <c r="R315" i="2"/>
  <c r="L318" i="2"/>
  <c r="L320" i="2" s="1"/>
  <c r="AC316" i="2"/>
  <c r="AA316" i="2"/>
  <c r="Q322" i="2"/>
  <c r="AH323" i="2"/>
  <c r="R330" i="2"/>
  <c r="R332" i="2" s="1"/>
  <c r="AA330" i="2"/>
  <c r="AG330" i="2"/>
  <c r="AG332" i="2" s="1"/>
  <c r="P330" i="2"/>
  <c r="Z329" i="2"/>
  <c r="AI329" i="2"/>
  <c r="V329" i="2"/>
  <c r="AE329" i="2"/>
  <c r="AF329" i="2"/>
  <c r="K317" i="2"/>
  <c r="AO320" i="2"/>
  <c r="O315" i="2"/>
  <c r="AF314" i="2"/>
  <c r="AI314" i="2"/>
  <c r="N315" i="2"/>
  <c r="W314" i="2"/>
  <c r="AD322" i="2"/>
  <c r="AM323" i="2"/>
  <c r="AS320" i="2"/>
  <c r="U323" i="2"/>
  <c r="AL316" i="2"/>
  <c r="R316" i="2"/>
  <c r="L317" i="2"/>
  <c r="AC317" i="2"/>
  <c r="AA315" i="2"/>
  <c r="AH322" i="2"/>
  <c r="T316" i="2"/>
  <c r="AK316" i="2"/>
  <c r="P323" i="2"/>
  <c r="Y323" i="2"/>
  <c r="Z330" i="2"/>
  <c r="Z332" i="2" s="1"/>
  <c r="AI330" i="2"/>
  <c r="AI332" i="2" s="1"/>
  <c r="O330" i="2"/>
  <c r="O331" i="2" s="1"/>
  <c r="X330" i="2"/>
  <c r="X332" i="2" s="1"/>
  <c r="AH329" i="2"/>
  <c r="Y329" i="2"/>
  <c r="M329" i="2"/>
  <c r="AD329" i="2"/>
  <c r="AM329" i="2"/>
  <c r="AN329" i="2"/>
  <c r="N316" i="2"/>
  <c r="W315" i="2"/>
  <c r="AN315" i="2"/>
  <c r="V314" i="2"/>
  <c r="AM322" i="2"/>
  <c r="U322" i="2"/>
  <c r="AL323" i="2"/>
  <c r="R314" i="2"/>
  <c r="L322" i="2"/>
  <c r="AC318" i="2"/>
  <c r="AC320" i="2" s="1"/>
  <c r="AA318" i="2"/>
  <c r="AA320" i="2" s="1"/>
  <c r="Z314" i="2"/>
  <c r="T318" i="2"/>
  <c r="T320" i="2" s="1"/>
  <c r="AK315" i="2"/>
  <c r="Y322" i="2"/>
  <c r="AB315" i="2"/>
  <c r="S316" i="2"/>
  <c r="X322" i="2"/>
  <c r="AG318" i="2"/>
  <c r="AG320" i="2" s="1"/>
  <c r="AH330" i="2"/>
  <c r="N330" i="2"/>
  <c r="N331" i="2" s="1"/>
  <c r="W330" i="2"/>
  <c r="AF330" i="2"/>
  <c r="AF332" i="2" s="1"/>
  <c r="U329" i="2"/>
  <c r="AL329" i="2"/>
  <c r="AG329" i="2"/>
  <c r="AP326" i="2"/>
  <c r="AO326" i="2"/>
  <c r="AQ332" i="2"/>
  <c r="AP332" i="2"/>
  <c r="AO332" i="2"/>
  <c r="AR332" i="2"/>
  <c r="AS332" i="2"/>
  <c r="C18" i="6"/>
  <c r="G35" i="6"/>
  <c r="B4" i="6"/>
  <c r="C12" i="6"/>
  <c r="AD171" i="2" l="1"/>
  <c r="Z17" i="3" s="1"/>
  <c r="AN171" i="2"/>
  <c r="AJ17" i="3" s="1"/>
  <c r="T171" i="2"/>
  <c r="AK31" i="2"/>
  <c r="AG40" i="3"/>
  <c r="AG41" i="3" s="1"/>
  <c r="AJ31" i="2"/>
  <c r="AF40" i="3"/>
  <c r="AF41" i="3" s="1"/>
  <c r="AI51" i="3"/>
  <c r="AI48" i="3"/>
  <c r="Z51" i="3"/>
  <c r="Z48" i="3"/>
  <c r="AB51" i="3"/>
  <c r="AH51" i="3"/>
  <c r="AH48" i="3"/>
  <c r="AC51" i="3"/>
  <c r="AM31" i="2"/>
  <c r="AI40" i="3"/>
  <c r="AI41" i="3" s="1"/>
  <c r="AL31" i="2"/>
  <c r="AH40" i="3"/>
  <c r="AH41" i="3" s="1"/>
  <c r="AD31" i="2"/>
  <c r="Z40" i="3"/>
  <c r="Z41" i="3" s="1"/>
  <c r="AF31" i="2"/>
  <c r="AB40" i="3"/>
  <c r="AB41" i="3" s="1"/>
  <c r="AN31" i="2"/>
  <c r="AJ40" i="3"/>
  <c r="AJ41" i="3" s="1"/>
  <c r="O171" i="2"/>
  <c r="AJ51" i="3"/>
  <c r="AE51" i="3"/>
  <c r="AD51" i="3"/>
  <c r="AC31" i="2"/>
  <c r="Y40" i="3"/>
  <c r="Y41" i="3" s="1"/>
  <c r="AE31" i="2"/>
  <c r="AA40" i="3"/>
  <c r="AA41" i="3" s="1"/>
  <c r="AG31" i="2"/>
  <c r="AC40" i="3"/>
  <c r="AC41" i="3" s="1"/>
  <c r="AG51" i="3"/>
  <c r="AG48" i="3"/>
  <c r="AF51" i="3"/>
  <c r="AF48" i="3"/>
  <c r="AA51" i="3"/>
  <c r="AI31" i="2"/>
  <c r="AE40" i="3"/>
  <c r="AE41" i="3" s="1"/>
  <c r="AH31" i="2"/>
  <c r="AD40" i="3"/>
  <c r="AD41" i="3" s="1"/>
  <c r="Y51" i="3"/>
  <c r="Y52" i="3" s="1"/>
  <c r="O173" i="2"/>
  <c r="O169" i="2"/>
  <c r="AI169" i="2"/>
  <c r="AE13" i="3" s="1"/>
  <c r="AD169" i="2"/>
  <c r="Z13" i="3" s="1"/>
  <c r="T173" i="2"/>
  <c r="T169" i="2"/>
  <c r="AN169" i="2"/>
  <c r="AJ13" i="3" s="1"/>
  <c r="AS169" i="2"/>
  <c r="AO13" i="3" s="1"/>
  <c r="Y173" i="2"/>
  <c r="Y169" i="2"/>
  <c r="Y171" i="2"/>
  <c r="AI171" i="2"/>
  <c r="AE17" i="3" s="1"/>
  <c r="K320" i="2"/>
  <c r="AD319" i="2"/>
  <c r="R324" i="2"/>
  <c r="R326" i="2" s="1"/>
  <c r="AO319" i="2"/>
  <c r="N320" i="2"/>
  <c r="X324" i="2"/>
  <c r="X326" i="2" s="1"/>
  <c r="U324" i="2"/>
  <c r="U326" i="2" s="1"/>
  <c r="M332" i="2"/>
  <c r="V324" i="2"/>
  <c r="V326" i="2" s="1"/>
  <c r="AN320" i="2"/>
  <c r="Z324" i="2"/>
  <c r="Z326" i="2" s="1"/>
  <c r="O320" i="2"/>
  <c r="AI319" i="2"/>
  <c r="AM324" i="2"/>
  <c r="AM326" i="2" s="1"/>
  <c r="L319" i="2"/>
  <c r="AG319" i="2"/>
  <c r="V331" i="2"/>
  <c r="AF324" i="2"/>
  <c r="AF326" i="2" s="1"/>
  <c r="S319" i="2"/>
  <c r="AJ324" i="2"/>
  <c r="AJ326" i="2" s="1"/>
  <c r="P319" i="2"/>
  <c r="Q319" i="2"/>
  <c r="K324" i="2"/>
  <c r="K326" i="2" s="1"/>
  <c r="O324" i="2"/>
  <c r="O326" i="2" s="1"/>
  <c r="AG324" i="2"/>
  <c r="AG326" i="2" s="1"/>
  <c r="Z319" i="2"/>
  <c r="W324" i="2"/>
  <c r="S320" i="2"/>
  <c r="AK320" i="2"/>
  <c r="AA324" i="2"/>
  <c r="AA326" i="2" s="1"/>
  <c r="AK319" i="2"/>
  <c r="AL320" i="2"/>
  <c r="AE319" i="2"/>
  <c r="AN319" i="2"/>
  <c r="AF320" i="2"/>
  <c r="AF319" i="2"/>
  <c r="Q331" i="2"/>
  <c r="AR331" i="2"/>
  <c r="U319" i="2"/>
  <c r="Y324" i="2"/>
  <c r="Y326" i="2" s="1"/>
  <c r="AM331" i="2"/>
  <c r="T324" i="2"/>
  <c r="AO331" i="2"/>
  <c r="AG331" i="2"/>
  <c r="N332" i="2"/>
  <c r="AL324" i="2"/>
  <c r="O332" i="2"/>
  <c r="AF331" i="2"/>
  <c r="L324" i="2"/>
  <c r="L325" i="2" s="1"/>
  <c r="Y319" i="2"/>
  <c r="AE324" i="2"/>
  <c r="AE326" i="2" s="1"/>
  <c r="S324" i="2"/>
  <c r="S326" i="2" s="1"/>
  <c r="AB324" i="2"/>
  <c r="AB319" i="2"/>
  <c r="AD324" i="2"/>
  <c r="AD326" i="2" s="1"/>
  <c r="AN324" i="2"/>
  <c r="AS325" i="2" s="1"/>
  <c r="AD331" i="2"/>
  <c r="AH324" i="2"/>
  <c r="Q332" i="2"/>
  <c r="R319" i="2"/>
  <c r="AI324" i="2"/>
  <c r="AI326" i="2" s="1"/>
  <c r="AL331" i="2"/>
  <c r="AA331" i="2"/>
  <c r="AA332" i="2"/>
  <c r="AK324" i="2"/>
  <c r="AP325" i="2" s="1"/>
  <c r="N324" i="2"/>
  <c r="N326" i="2" s="1"/>
  <c r="X319" i="2"/>
  <c r="AA319" i="2"/>
  <c r="V319" i="2"/>
  <c r="AH331" i="2"/>
  <c r="L332" i="2"/>
  <c r="AS331" i="2"/>
  <c r="P320" i="2"/>
  <c r="AH319" i="2"/>
  <c r="AR319" i="2"/>
  <c r="AH332" i="2"/>
  <c r="W331" i="2"/>
  <c r="AQ331" i="2"/>
  <c r="AN331" i="2"/>
  <c r="K332" i="2"/>
  <c r="AL332" i="2"/>
  <c r="AM319" i="2"/>
  <c r="AB331" i="2"/>
  <c r="U331" i="2"/>
  <c r="AK331" i="2"/>
  <c r="AJ319" i="2"/>
  <c r="W319" i="2"/>
  <c r="AJ331" i="2"/>
  <c r="AP331" i="2"/>
  <c r="P332" i="2"/>
  <c r="W320" i="2"/>
  <c r="M320" i="2"/>
  <c r="Y331" i="2"/>
  <c r="W332" i="2"/>
  <c r="P331" i="2"/>
  <c r="AC319" i="2"/>
  <c r="T331" i="2"/>
  <c r="X331" i="2"/>
  <c r="R331" i="2"/>
  <c r="S331" i="2"/>
  <c r="T319" i="2"/>
  <c r="Z331" i="2"/>
  <c r="AL319" i="2"/>
  <c r="AE331" i="2"/>
  <c r="AC331" i="2"/>
  <c r="AI331" i="2"/>
  <c r="P324" i="2"/>
  <c r="P326" i="2" s="1"/>
  <c r="M324" i="2"/>
  <c r="M326" i="2" s="1"/>
  <c r="Q324" i="2"/>
  <c r="Q326" i="2" s="1"/>
  <c r="AC324" i="2"/>
  <c r="AC326" i="2" s="1"/>
  <c r="AC409" i="2"/>
  <c r="AC405" i="2"/>
  <c r="AC359" i="2"/>
  <c r="AC402" i="2"/>
  <c r="AC420" i="2"/>
  <c r="AC339" i="2"/>
  <c r="AC347" i="2"/>
  <c r="AC351" i="2"/>
  <c r="AC423" i="2"/>
  <c r="AC355" i="2"/>
  <c r="AC371" i="2"/>
  <c r="AC412" i="2"/>
  <c r="AC379" i="2"/>
  <c r="AC383" i="2"/>
  <c r="AC368" i="2"/>
  <c r="AC343" i="2"/>
  <c r="AR326" i="2"/>
  <c r="AS326" i="2"/>
  <c r="AQ326" i="2"/>
  <c r="AC413" i="2"/>
  <c r="AC346" i="2"/>
  <c r="AC350" i="2"/>
  <c r="Q7" i="2"/>
  <c r="V7" i="2"/>
  <c r="W7" i="2"/>
  <c r="N7" i="2"/>
  <c r="K7" i="2" s="1"/>
  <c r="O5" i="2"/>
  <c r="X7" i="2"/>
  <c r="Y5" i="2"/>
  <c r="O6" i="2"/>
  <c r="Y6" i="2"/>
  <c r="R7" i="2"/>
  <c r="AB7" i="2"/>
  <c r="AG5" i="2"/>
  <c r="AG6" i="2"/>
  <c r="AL6" i="2" s="1"/>
  <c r="AQ6" i="2" s="1"/>
  <c r="S7" i="2"/>
  <c r="T5" i="2"/>
  <c r="AC7" i="2"/>
  <c r="AD5" i="2"/>
  <c r="AH5" i="2"/>
  <c r="T6" i="2"/>
  <c r="AA7" i="2"/>
  <c r="K35" i="6"/>
  <c r="C15" i="6"/>
  <c r="C17" i="6" s="1"/>
  <c r="K341" i="2"/>
  <c r="K401" i="2"/>
  <c r="K425" i="2"/>
  <c r="K411" i="2"/>
  <c r="K381" i="2"/>
  <c r="K377" i="2"/>
  <c r="K385" i="2"/>
  <c r="K353" i="2"/>
  <c r="K345" i="2"/>
  <c r="K337" i="2"/>
  <c r="K414" i="2"/>
  <c r="K407" i="2"/>
  <c r="K361" i="2"/>
  <c r="K370" i="2"/>
  <c r="O391" i="2"/>
  <c r="K366" i="2"/>
  <c r="O370" i="2"/>
  <c r="K357" i="2"/>
  <c r="O373" i="2"/>
  <c r="K373" i="2"/>
  <c r="K349" i="2"/>
  <c r="O357" i="2"/>
  <c r="K422" i="2"/>
  <c r="K419" i="2"/>
  <c r="K404" i="2"/>
  <c r="P419" i="2"/>
  <c r="P385" i="2"/>
  <c r="P401" i="2"/>
  <c r="P411" i="2"/>
  <c r="P337" i="2"/>
  <c r="T425" i="2"/>
  <c r="P425" i="2"/>
  <c r="T391" i="2"/>
  <c r="P366" i="2"/>
  <c r="T341" i="2"/>
  <c r="P341" i="2"/>
  <c r="T395" i="2"/>
  <c r="T349" i="2"/>
  <c r="T357" i="2"/>
  <c r="P357" i="2"/>
  <c r="P407" i="2"/>
  <c r="T407" i="2"/>
  <c r="P381" i="2"/>
  <c r="P349" i="2"/>
  <c r="T422" i="2"/>
  <c r="P422" i="2"/>
  <c r="P345" i="2"/>
  <c r="P414" i="2"/>
  <c r="T414" i="2"/>
  <c r="P404" i="2"/>
  <c r="T404" i="2"/>
  <c r="T361" i="2"/>
  <c r="P361" i="2"/>
  <c r="P353" i="2"/>
  <c r="T353" i="2"/>
  <c r="P377" i="2"/>
  <c r="T377" i="2"/>
  <c r="P370" i="2"/>
  <c r="T370" i="2"/>
  <c r="T345" i="2"/>
  <c r="T381" i="2"/>
  <c r="P373" i="2"/>
  <c r="T373" i="2"/>
  <c r="Z411" i="2"/>
  <c r="Z366" i="2"/>
  <c r="Z385" i="2"/>
  <c r="Z419" i="2"/>
  <c r="AD422" i="2"/>
  <c r="Z422" i="2"/>
  <c r="Z377" i="2"/>
  <c r="AD377" i="2"/>
  <c r="Z341" i="2"/>
  <c r="AD341" i="2"/>
  <c r="Z401" i="2"/>
  <c r="Z337" i="2"/>
  <c r="AD395" i="2"/>
  <c r="AD357" i="2"/>
  <c r="Z357" i="2"/>
  <c r="Z370" i="2"/>
  <c r="AD370" i="2"/>
  <c r="Z373" i="2"/>
  <c r="AD391" i="2"/>
  <c r="AD373" i="2"/>
  <c r="AD345" i="2"/>
  <c r="Z345" i="2"/>
  <c r="Z349" i="2"/>
  <c r="AD349" i="2"/>
  <c r="Z361" i="2"/>
  <c r="AD361" i="2"/>
  <c r="Z414" i="2"/>
  <c r="AD414" i="2"/>
  <c r="AD404" i="2"/>
  <c r="AD353" i="2"/>
  <c r="Z353" i="2"/>
  <c r="Z381" i="2"/>
  <c r="AD381" i="2"/>
  <c r="Z407" i="2"/>
  <c r="AD407" i="2"/>
  <c r="AD425" i="2"/>
  <c r="Z425" i="2"/>
  <c r="Z404" i="2"/>
  <c r="AG381" i="2"/>
  <c r="AG425" i="2"/>
  <c r="AG353" i="2"/>
  <c r="AG404" i="2"/>
  <c r="AG366" i="2"/>
  <c r="AG370" i="2"/>
  <c r="AG357" i="2"/>
  <c r="AG377" i="2"/>
  <c r="AG345" i="2"/>
  <c r="AG407" i="2"/>
  <c r="AG341" i="2"/>
  <c r="AG349" i="2"/>
  <c r="AG422" i="2"/>
  <c r="AG373" i="2"/>
  <c r="AG361" i="2"/>
  <c r="U411" i="2"/>
  <c r="U419" i="2"/>
  <c r="Y345" i="2"/>
  <c r="U361" i="2"/>
  <c r="U404" i="2"/>
  <c r="U345" i="2"/>
  <c r="Y404" i="2"/>
  <c r="Y361" i="2"/>
  <c r="U370" i="2"/>
  <c r="Y370" i="2"/>
  <c r="U377" i="2"/>
  <c r="Y377" i="2"/>
  <c r="Y357" i="2"/>
  <c r="Y422" i="2"/>
  <c r="U422" i="2"/>
  <c r="U357" i="2"/>
  <c r="U337" i="2"/>
  <c r="Y407" i="2"/>
  <c r="U407" i="2"/>
  <c r="U366" i="2"/>
  <c r="Y395" i="2"/>
  <c r="Y373" i="2"/>
  <c r="U373" i="2"/>
  <c r="Y353" i="2"/>
  <c r="U353" i="2"/>
  <c r="Y381" i="2"/>
  <c r="Y391" i="2"/>
  <c r="U381" i="2"/>
  <c r="Y414" i="2"/>
  <c r="U414" i="2"/>
  <c r="U385" i="2"/>
  <c r="U425" i="2"/>
  <c r="Y425" i="2"/>
  <c r="U401" i="2"/>
  <c r="Y341" i="2"/>
  <c r="U341" i="2"/>
  <c r="Y349" i="2"/>
  <c r="U349" i="2"/>
  <c r="AE401" i="2"/>
  <c r="AE414" i="2"/>
  <c r="AE361" i="2"/>
  <c r="AE345" i="2"/>
  <c r="AE422" i="2"/>
  <c r="AE377" i="2"/>
  <c r="AE385" i="2"/>
  <c r="AE425" i="2"/>
  <c r="AE381" i="2"/>
  <c r="AE411" i="2"/>
  <c r="AE373" i="2"/>
  <c r="AE349" i="2"/>
  <c r="AE404" i="2"/>
  <c r="AE419" i="2"/>
  <c r="AE353" i="2"/>
  <c r="AE366" i="2"/>
  <c r="AE357" i="2"/>
  <c r="AE370" i="2"/>
  <c r="AE407" i="2"/>
  <c r="AE341" i="2"/>
  <c r="AE337" i="2"/>
  <c r="AA492" i="2" l="1"/>
  <c r="AA491" i="2"/>
  <c r="AA493" i="2"/>
  <c r="S492" i="2"/>
  <c r="S491" i="2"/>
  <c r="S493" i="2"/>
  <c r="AB492" i="2"/>
  <c r="AB491" i="2"/>
  <c r="AC491" i="2" s="1"/>
  <c r="AB493" i="2"/>
  <c r="R492" i="2"/>
  <c r="R493" i="2"/>
  <c r="R491" i="2"/>
  <c r="X491" i="2"/>
  <c r="X493" i="2"/>
  <c r="X492" i="2"/>
  <c r="N493" i="2"/>
  <c r="N491" i="2"/>
  <c r="N492" i="2"/>
  <c r="W493" i="2"/>
  <c r="W491" i="2"/>
  <c r="W492" i="2"/>
  <c r="V493" i="2"/>
  <c r="V492" i="2"/>
  <c r="V491" i="2"/>
  <c r="Q491" i="2"/>
  <c r="Q493" i="2"/>
  <c r="Q492" i="2"/>
  <c r="W325" i="2"/>
  <c r="Z325" i="2"/>
  <c r="AR325" i="2"/>
  <c r="AA325" i="2"/>
  <c r="AM325" i="2"/>
  <c r="AF325" i="2"/>
  <c r="AO325" i="2"/>
  <c r="O325" i="2"/>
  <c r="K325" i="2"/>
  <c r="W326" i="2"/>
  <c r="AG325" i="2"/>
  <c r="AL325" i="2"/>
  <c r="T325" i="2"/>
  <c r="T326" i="2"/>
  <c r="AK325" i="2"/>
  <c r="X325" i="2"/>
  <c r="AN326" i="2"/>
  <c r="AL326" i="2"/>
  <c r="AD325" i="2"/>
  <c r="AE325" i="2"/>
  <c r="AK326" i="2"/>
  <c r="AH326" i="2"/>
  <c r="R325" i="2"/>
  <c r="Y325" i="2"/>
  <c r="L326" i="2"/>
  <c r="AN325" i="2"/>
  <c r="AB325" i="2"/>
  <c r="AI325" i="2"/>
  <c r="AB326" i="2"/>
  <c r="AQ325" i="2"/>
  <c r="M325" i="2"/>
  <c r="AJ325" i="2"/>
  <c r="S325" i="2"/>
  <c r="N325" i="2"/>
  <c r="AC325" i="2"/>
  <c r="AH325" i="2"/>
  <c r="U325" i="2"/>
  <c r="P325" i="2"/>
  <c r="Q325" i="2"/>
  <c r="V325" i="2"/>
  <c r="AL5" i="2"/>
  <c r="AQ5" i="2" s="1"/>
  <c r="AG379" i="2"/>
  <c r="AG355" i="2"/>
  <c r="AG343" i="2"/>
  <c r="AF371" i="2"/>
  <c r="AF343" i="2"/>
  <c r="AF351" i="2"/>
  <c r="AF423" i="2"/>
  <c r="AF405" i="2"/>
  <c r="AF409" i="2"/>
  <c r="AF359" i="2"/>
  <c r="AF383" i="2"/>
  <c r="AF402" i="2"/>
  <c r="AF347" i="2"/>
  <c r="AF368" i="2"/>
  <c r="AF379" i="2"/>
  <c r="P371" i="2"/>
  <c r="AC416" i="2"/>
  <c r="AC415" i="2"/>
  <c r="AC386" i="2"/>
  <c r="AC387" i="2"/>
  <c r="AC338" i="2"/>
  <c r="AC367" i="2"/>
  <c r="AC342" i="2"/>
  <c r="AC358" i="2"/>
  <c r="AC408" i="2"/>
  <c r="AC406" i="2"/>
  <c r="AC362" i="2"/>
  <c r="AC363" i="2"/>
  <c r="AC403" i="2"/>
  <c r="AC374" i="2"/>
  <c r="AC354" i="2"/>
  <c r="AC382" i="2"/>
  <c r="AC378" i="2"/>
  <c r="AF362" i="2"/>
  <c r="AF363" i="2"/>
  <c r="AF416" i="2"/>
  <c r="AC421" i="2"/>
  <c r="AC426" i="2"/>
  <c r="AC427" i="2"/>
  <c r="AC424" i="2"/>
  <c r="O411" i="2"/>
  <c r="AF415" i="2"/>
  <c r="AG409" i="2"/>
  <c r="AG408" i="2"/>
  <c r="AF408" i="2"/>
  <c r="O401" i="2"/>
  <c r="AF403" i="2"/>
  <c r="AF387" i="2"/>
  <c r="AF386" i="2"/>
  <c r="AF382" i="2"/>
  <c r="AG374" i="2"/>
  <c r="AF374" i="2"/>
  <c r="AD366" i="2"/>
  <c r="T337" i="2"/>
  <c r="Y366" i="2"/>
  <c r="O366" i="2"/>
  <c r="O337" i="2"/>
  <c r="AE367" i="2"/>
  <c r="Z367" i="2"/>
  <c r="P338" i="2"/>
  <c r="AG378" i="2"/>
  <c r="AF378" i="2"/>
  <c r="AG354" i="2"/>
  <c r="AF358" i="2"/>
  <c r="U354" i="2"/>
  <c r="AG342" i="2"/>
  <c r="AF346" i="2"/>
  <c r="AF342" i="2"/>
  <c r="AH6" i="2"/>
  <c r="AI6" i="2" s="1"/>
  <c r="AK6" i="2"/>
  <c r="AP6" i="2" s="1"/>
  <c r="AJ6" i="2"/>
  <c r="AO6" i="2" s="1"/>
  <c r="Z7" i="2"/>
  <c r="P7" i="2"/>
  <c r="U7" i="2"/>
  <c r="AD6" i="2"/>
  <c r="O7" i="2"/>
  <c r="Q12" i="2"/>
  <c r="Q11" i="2"/>
  <c r="AB12" i="2"/>
  <c r="AB11" i="2"/>
  <c r="AM5" i="2"/>
  <c r="AI5" i="2"/>
  <c r="S11" i="2"/>
  <c r="S12" i="2"/>
  <c r="R12" i="2"/>
  <c r="R11" i="2"/>
  <c r="Z11" i="2"/>
  <c r="Z12" i="2"/>
  <c r="X11" i="2"/>
  <c r="X12" i="2"/>
  <c r="W11" i="2"/>
  <c r="W12" i="2"/>
  <c r="V11" i="2"/>
  <c r="V12" i="2"/>
  <c r="AE7" i="2"/>
  <c r="AJ5" i="2"/>
  <c r="AO5" i="2" s="1"/>
  <c r="U12" i="2"/>
  <c r="U11" i="2"/>
  <c r="AA12" i="2"/>
  <c r="AA11" i="2"/>
  <c r="P11" i="2"/>
  <c r="P12" i="2"/>
  <c r="N11" i="2"/>
  <c r="AF7" i="2"/>
  <c r="AK5" i="2"/>
  <c r="AP5" i="2" s="1"/>
  <c r="Y7" i="2"/>
  <c r="O381" i="2"/>
  <c r="O341" i="2"/>
  <c r="O414" i="2"/>
  <c r="O345" i="2"/>
  <c r="O407" i="2"/>
  <c r="O404" i="2"/>
  <c r="O349" i="2"/>
  <c r="O361" i="2"/>
  <c r="O425" i="2"/>
  <c r="O377" i="2"/>
  <c r="O422" i="2"/>
  <c r="O395" i="2"/>
  <c r="O353" i="2"/>
  <c r="T342" i="2" l="1"/>
  <c r="AD382" i="2"/>
  <c r="U346" i="2"/>
  <c r="AG351" i="2"/>
  <c r="AG350" i="2"/>
  <c r="AG346" i="2"/>
  <c r="AG347" i="2"/>
  <c r="P412" i="2"/>
  <c r="AE338" i="2"/>
  <c r="Z338" i="2"/>
  <c r="AD337" i="2"/>
  <c r="P415" i="2"/>
  <c r="AD346" i="2"/>
  <c r="U378" i="2"/>
  <c r="T366" i="2"/>
  <c r="Y367" i="2" s="1"/>
  <c r="U367" i="2"/>
  <c r="P367" i="2"/>
  <c r="P378" i="2"/>
  <c r="T378" i="2"/>
  <c r="Y342" i="2"/>
  <c r="T405" i="2"/>
  <c r="T362" i="2"/>
  <c r="Y362" i="2"/>
  <c r="U420" i="2"/>
  <c r="P420" i="2"/>
  <c r="Y392" i="2"/>
  <c r="Z405" i="2"/>
  <c r="AE405" i="2"/>
  <c r="AG424" i="2"/>
  <c r="AG423" i="2"/>
  <c r="U412" i="2"/>
  <c r="Y411" i="2"/>
  <c r="T423" i="2"/>
  <c r="U423" i="2"/>
  <c r="P423" i="2"/>
  <c r="Y385" i="2"/>
  <c r="Y401" i="2"/>
  <c r="U402" i="2"/>
  <c r="P374" i="2"/>
  <c r="U374" i="2" s="1"/>
  <c r="Z374" i="2" s="1"/>
  <c r="AE374" i="2" s="1"/>
  <c r="U405" i="2"/>
  <c r="AE408" i="2"/>
  <c r="Z408" i="2"/>
  <c r="Y358" i="2"/>
  <c r="AE420" i="2"/>
  <c r="Z420" i="2"/>
  <c r="AG427" i="2"/>
  <c r="AG426" i="2"/>
  <c r="AG362" i="2"/>
  <c r="AG363" i="2"/>
  <c r="U342" i="2"/>
  <c r="AE362" i="2"/>
  <c r="Z362" i="2"/>
  <c r="U338" i="2"/>
  <c r="Y337" i="2"/>
  <c r="Y338" i="2" s="1"/>
  <c r="U415" i="2"/>
  <c r="Y405" i="2"/>
  <c r="Z378" i="2"/>
  <c r="AE378" i="2"/>
  <c r="Y378" i="2"/>
  <c r="AD401" i="2"/>
  <c r="Z402" i="2"/>
  <c r="AE402" i="2"/>
  <c r="P342" i="2"/>
  <c r="AG405" i="2"/>
  <c r="AG406" i="2"/>
  <c r="P402" i="2"/>
  <c r="T401" i="2"/>
  <c r="T402" i="2" s="1"/>
  <c r="AD362" i="2"/>
  <c r="Z354" i="2"/>
  <c r="AE354" i="2"/>
  <c r="AD405" i="2"/>
  <c r="U371" i="2"/>
  <c r="Z371" i="2" s="1"/>
  <c r="AE371" i="2" s="1"/>
  <c r="Y491" i="2"/>
  <c r="Y493" i="2"/>
  <c r="Y492" i="2"/>
  <c r="O493" i="2"/>
  <c r="O491" i="2"/>
  <c r="O492" i="2"/>
  <c r="U493" i="2"/>
  <c r="U491" i="2"/>
  <c r="U492" i="2"/>
  <c r="Z491" i="2"/>
  <c r="Z492" i="2"/>
  <c r="Z493" i="2"/>
  <c r="AE491" i="2"/>
  <c r="AG383" i="2"/>
  <c r="AG382" i="2"/>
  <c r="AG368" i="2"/>
  <c r="AG367" i="2"/>
  <c r="AG359" i="2"/>
  <c r="AG358" i="2"/>
  <c r="AG371" i="2"/>
  <c r="Z386" i="2"/>
  <c r="AE386" i="2"/>
  <c r="AD385" i="2"/>
  <c r="Z342" i="2"/>
  <c r="AE342" i="2"/>
  <c r="AD392" i="2"/>
  <c r="AE358" i="2"/>
  <c r="Z358" i="2"/>
  <c r="P346" i="2"/>
  <c r="AD415" i="2"/>
  <c r="AD396" i="2"/>
  <c r="T358" i="2"/>
  <c r="P354" i="2"/>
  <c r="T392" i="2"/>
  <c r="AD378" i="2"/>
  <c r="O385" i="2"/>
  <c r="AE412" i="2"/>
  <c r="Z412" i="2"/>
  <c r="AD411" i="2"/>
  <c r="Z423" i="2"/>
  <c r="AE423" i="2"/>
  <c r="Y423" i="2"/>
  <c r="AD423" i="2"/>
  <c r="AD408" i="2"/>
  <c r="P405" i="2"/>
  <c r="K412" i="2"/>
  <c r="K420" i="2"/>
  <c r="K355" i="2"/>
  <c r="P355" i="2"/>
  <c r="Z355" i="2"/>
  <c r="U355" i="2"/>
  <c r="AE355" i="2"/>
  <c r="AD355" i="2"/>
  <c r="O355" i="2"/>
  <c r="T355" i="2"/>
  <c r="Y355" i="2"/>
  <c r="K405" i="2"/>
  <c r="O405" i="2"/>
  <c r="K383" i="2"/>
  <c r="P383" i="2"/>
  <c r="Z383" i="2"/>
  <c r="AE383" i="2"/>
  <c r="U383" i="2"/>
  <c r="Y347" i="2"/>
  <c r="O347" i="2"/>
  <c r="AD347" i="2"/>
  <c r="T347" i="2"/>
  <c r="U347" i="2"/>
  <c r="K347" i="2"/>
  <c r="P347" i="2"/>
  <c r="Z347" i="2"/>
  <c r="AE347" i="2"/>
  <c r="O351" i="2"/>
  <c r="Y351" i="2"/>
  <c r="T351" i="2"/>
  <c r="AD351" i="2"/>
  <c r="K351" i="2"/>
  <c r="P351" i="2"/>
  <c r="U351" i="2"/>
  <c r="AE351" i="2"/>
  <c r="Z351" i="2"/>
  <c r="AD343" i="2"/>
  <c r="O343" i="2"/>
  <c r="Y343" i="2"/>
  <c r="T343" i="2"/>
  <c r="U343" i="2"/>
  <c r="Z343" i="2"/>
  <c r="P343" i="2"/>
  <c r="K343" i="2"/>
  <c r="AE343" i="2"/>
  <c r="P409" i="2"/>
  <c r="AE409" i="2"/>
  <c r="U409" i="2"/>
  <c r="Z409" i="2"/>
  <c r="K409" i="2"/>
  <c r="O423" i="2"/>
  <c r="K423" i="2"/>
  <c r="K368" i="2"/>
  <c r="Z368" i="2"/>
  <c r="AE368" i="2"/>
  <c r="P368" i="2"/>
  <c r="U368" i="2"/>
  <c r="U339" i="2"/>
  <c r="AE339" i="2"/>
  <c r="Z339" i="2"/>
  <c r="K339" i="2"/>
  <c r="P339" i="2"/>
  <c r="Z379" i="2"/>
  <c r="AE379" i="2"/>
  <c r="U379" i="2"/>
  <c r="P379" i="2"/>
  <c r="K379" i="2"/>
  <c r="O379" i="2"/>
  <c r="AD379" i="2"/>
  <c r="T379" i="2"/>
  <c r="Y379" i="2"/>
  <c r="Z359" i="2"/>
  <c r="K359" i="2"/>
  <c r="AE359" i="2"/>
  <c r="U359" i="2"/>
  <c r="P359" i="2"/>
  <c r="T359" i="2"/>
  <c r="O359" i="2"/>
  <c r="Y359" i="2"/>
  <c r="AD359" i="2"/>
  <c r="K402" i="2"/>
  <c r="T393" i="2"/>
  <c r="O393" i="2"/>
  <c r="AD393" i="2"/>
  <c r="Y393" i="2"/>
  <c r="AF354" i="2"/>
  <c r="T411" i="2"/>
  <c r="T412" i="2" s="1"/>
  <c r="Y382" i="2"/>
  <c r="T382" i="2"/>
  <c r="U358" i="2"/>
  <c r="P358" i="2"/>
  <c r="P408" i="2"/>
  <c r="U408" i="2"/>
  <c r="AD358" i="2"/>
  <c r="Y415" i="2"/>
  <c r="T415" i="2"/>
  <c r="AD354" i="2"/>
  <c r="Y396" i="2"/>
  <c r="T396" i="2"/>
  <c r="Z382" i="2"/>
  <c r="AE382" i="2"/>
  <c r="T408" i="2"/>
  <c r="Y408" i="2"/>
  <c r="AE346" i="2"/>
  <c r="Z346" i="2"/>
  <c r="Y346" i="2"/>
  <c r="T346" i="2"/>
  <c r="AD342" i="2"/>
  <c r="U362" i="2"/>
  <c r="P362" i="2"/>
  <c r="AF413" i="2"/>
  <c r="P386" i="2"/>
  <c r="T385" i="2"/>
  <c r="U386" i="2"/>
  <c r="Z415" i="2"/>
  <c r="AE415" i="2"/>
  <c r="U382" i="2"/>
  <c r="P382" i="2"/>
  <c r="AF367" i="2"/>
  <c r="Y354" i="2"/>
  <c r="T354" i="2"/>
  <c r="AF406" i="2"/>
  <c r="P363" i="2"/>
  <c r="Z363" i="2"/>
  <c r="K363" i="2"/>
  <c r="AE363" i="2"/>
  <c r="U363" i="2"/>
  <c r="K362" i="2"/>
  <c r="AD363" i="2"/>
  <c r="O363" i="2"/>
  <c r="O362" i="2"/>
  <c r="T363" i="2"/>
  <c r="Y363" i="2"/>
  <c r="T419" i="2"/>
  <c r="T426" i="2"/>
  <c r="P426" i="2"/>
  <c r="AD426" i="2"/>
  <c r="AD419" i="2"/>
  <c r="Z426" i="2"/>
  <c r="AF421" i="2"/>
  <c r="AF427" i="2"/>
  <c r="AF426" i="2"/>
  <c r="AF424" i="2"/>
  <c r="O419" i="2"/>
  <c r="U426" i="2"/>
  <c r="Y426" i="2"/>
  <c r="Y419" i="2"/>
  <c r="AE426" i="2"/>
  <c r="K413" i="2"/>
  <c r="P413" i="2"/>
  <c r="U413" i="2"/>
  <c r="Z413" i="2"/>
  <c r="AE413" i="2"/>
  <c r="K416" i="2"/>
  <c r="AE416" i="2"/>
  <c r="P416" i="2"/>
  <c r="Z416" i="2"/>
  <c r="U416" i="2"/>
  <c r="K415" i="2"/>
  <c r="AD416" i="2"/>
  <c r="Y416" i="2"/>
  <c r="O416" i="2"/>
  <c r="O415" i="2"/>
  <c r="T416" i="2"/>
  <c r="AD409" i="2"/>
  <c r="O409" i="2"/>
  <c r="T409" i="2"/>
  <c r="O408" i="2"/>
  <c r="Y409" i="2"/>
  <c r="K408" i="2"/>
  <c r="K406" i="2"/>
  <c r="Z406" i="2"/>
  <c r="P406" i="2"/>
  <c r="AE406" i="2"/>
  <c r="U406" i="2"/>
  <c r="Y406" i="2"/>
  <c r="T406" i="2"/>
  <c r="AD406" i="2"/>
  <c r="O406" i="2"/>
  <c r="K403" i="2"/>
  <c r="U403" i="2"/>
  <c r="P403" i="2"/>
  <c r="AE403" i="2"/>
  <c r="Z403" i="2"/>
  <c r="AE387" i="2"/>
  <c r="K386" i="2"/>
  <c r="U387" i="2"/>
  <c r="Z387" i="2"/>
  <c r="P387" i="2"/>
  <c r="K387" i="2"/>
  <c r="K382" i="2"/>
  <c r="AD383" i="2"/>
  <c r="O383" i="2"/>
  <c r="T383" i="2"/>
  <c r="O382" i="2"/>
  <c r="Y383" i="2"/>
  <c r="AD367" i="2"/>
  <c r="T339" i="2"/>
  <c r="T397" i="2"/>
  <c r="AD397" i="2"/>
  <c r="O396" i="2"/>
  <c r="O397" i="2"/>
  <c r="Y397" i="2"/>
  <c r="O392" i="2"/>
  <c r="T338" i="2"/>
  <c r="K367" i="2"/>
  <c r="K338" i="2"/>
  <c r="O378" i="2"/>
  <c r="K378" i="2"/>
  <c r="K358" i="2"/>
  <c r="O358" i="2"/>
  <c r="K354" i="2"/>
  <c r="O354" i="2"/>
  <c r="O346" i="2"/>
  <c r="K346" i="2"/>
  <c r="O342" i="2"/>
  <c r="K342" i="2"/>
  <c r="Y350" i="2"/>
  <c r="U350" i="2"/>
  <c r="AF350" i="2"/>
  <c r="P350" i="2"/>
  <c r="T350" i="2"/>
  <c r="Z350" i="2"/>
  <c r="AE350" i="2"/>
  <c r="AD350" i="2"/>
  <c r="AN5" i="2"/>
  <c r="AR5" i="2"/>
  <c r="AS5" i="2" s="1"/>
  <c r="AM6" i="2"/>
  <c r="T7" i="2"/>
  <c r="AD7" i="2"/>
  <c r="Q494" i="2"/>
  <c r="V494" i="2"/>
  <c r="AB494" i="2"/>
  <c r="AA494" i="2"/>
  <c r="X494" i="2"/>
  <c r="N494" i="2"/>
  <c r="S494" i="2"/>
  <c r="W494" i="2"/>
  <c r="AC494" i="2"/>
  <c r="R494" i="2"/>
  <c r="AG7" i="2"/>
  <c r="T367" i="2" l="1"/>
  <c r="Y402" i="2"/>
  <c r="AD402" i="2"/>
  <c r="AD338" i="2"/>
  <c r="AD412" i="2"/>
  <c r="AD386" i="2"/>
  <c r="AH7" i="2"/>
  <c r="T492" i="2"/>
  <c r="T493" i="2"/>
  <c r="T491" i="2"/>
  <c r="AF491" i="2"/>
  <c r="T386" i="2"/>
  <c r="O402" i="2"/>
  <c r="Y412" i="2"/>
  <c r="O368" i="2"/>
  <c r="Y368" i="2"/>
  <c r="O412" i="2"/>
  <c r="AD339" i="2"/>
  <c r="T420" i="2"/>
  <c r="AD368" i="2"/>
  <c r="O339" i="2"/>
  <c r="T368" i="2"/>
  <c r="Y339" i="2"/>
  <c r="Y420" i="2"/>
  <c r="AD420" i="2"/>
  <c r="Y386" i="2"/>
  <c r="AD424" i="2"/>
  <c r="O424" i="2"/>
  <c r="T424" i="2"/>
  <c r="Y424" i="2"/>
  <c r="K427" i="2"/>
  <c r="U427" i="2"/>
  <c r="Z427" i="2"/>
  <c r="AE427" i="2"/>
  <c r="K426" i="2"/>
  <c r="P427" i="2"/>
  <c r="K421" i="2"/>
  <c r="P421" i="2"/>
  <c r="AE421" i="2"/>
  <c r="Z421" i="2"/>
  <c r="U421" i="2"/>
  <c r="P424" i="2"/>
  <c r="U424" i="2"/>
  <c r="K424" i="2"/>
  <c r="Z424" i="2"/>
  <c r="AE424" i="2"/>
  <c r="T427" i="2"/>
  <c r="AD427" i="2"/>
  <c r="Y427" i="2"/>
  <c r="O427" i="2"/>
  <c r="O426" i="2"/>
  <c r="T413" i="2"/>
  <c r="Y413" i="2"/>
  <c r="AD403" i="2"/>
  <c r="O413" i="2"/>
  <c r="AD413" i="2"/>
  <c r="Y403" i="2"/>
  <c r="O403" i="2"/>
  <c r="T403" i="2"/>
  <c r="O386" i="2"/>
  <c r="Y387" i="2"/>
  <c r="AD387" i="2"/>
  <c r="O387" i="2"/>
  <c r="T387" i="2"/>
  <c r="O338" i="2"/>
  <c r="O367" i="2"/>
  <c r="O350" i="2"/>
  <c r="K350" i="2"/>
  <c r="AN6" i="2"/>
  <c r="AR6" i="2"/>
  <c r="AS6" i="2" s="1"/>
  <c r="Z494" i="2"/>
  <c r="U494" i="2"/>
  <c r="Y494" i="2"/>
  <c r="AE494" i="2"/>
  <c r="AG491" i="2" l="1"/>
  <c r="O420" i="2"/>
  <c r="O421" i="2"/>
  <c r="T421" i="2"/>
  <c r="AD421" i="2"/>
  <c r="Y421" i="2"/>
  <c r="T494" i="2"/>
  <c r="C21" i="6"/>
  <c r="O494" i="2"/>
  <c r="AF494" i="2"/>
  <c r="AH491" i="2" l="1"/>
  <c r="H23" i="6"/>
  <c r="K23" i="6"/>
  <c r="J23" i="6"/>
  <c r="G23" i="6"/>
  <c r="Q7" i="6"/>
  <c r="Q16" i="6" s="1"/>
  <c r="AG494" i="2"/>
  <c r="AJ491" i="2" l="1"/>
  <c r="I23" i="6"/>
  <c r="F23" i="6"/>
  <c r="R16" i="6"/>
  <c r="S16" i="6" s="1"/>
  <c r="P16" i="6"/>
  <c r="O16" i="6" s="1"/>
  <c r="P7" i="6"/>
  <c r="O7" i="6" s="1"/>
  <c r="R7" i="6"/>
  <c r="S7" i="6" s="1"/>
  <c r="AH494" i="2"/>
  <c r="AK491" i="2" l="1"/>
  <c r="AJ494" i="2"/>
  <c r="AL491" i="2" l="1"/>
  <c r="AK494" i="2"/>
  <c r="AM491" i="2" l="1"/>
  <c r="AL494" i="2"/>
  <c r="AO491" i="2" l="1"/>
  <c r="AO494" i="2" s="1"/>
  <c r="AM494" i="2"/>
  <c r="AP491" i="2" l="1"/>
  <c r="AP494" i="2" s="1"/>
  <c r="AQ491" i="2" l="1"/>
  <c r="AQ494" i="2" s="1"/>
  <c r="AR491" i="2" l="1"/>
  <c r="AR494" i="2" l="1"/>
  <c r="K33" i="6" l="1"/>
  <c r="BU6" i="5" l="1"/>
  <c r="AB6" i="5" s="1"/>
  <c r="AB17" i="5" l="1"/>
  <c r="AB16" i="5"/>
  <c r="AR6" i="5" l="1"/>
  <c r="AD103" i="2" l="1"/>
  <c r="AB22" i="26" s="1"/>
  <c r="AB30" i="26" l="1"/>
  <c r="AB63" i="26"/>
  <c r="AB69" i="26" s="1"/>
  <c r="AB72" i="26" s="1"/>
  <c r="E17" i="8"/>
  <c r="E18" i="8" s="1"/>
  <c r="Z54" i="3"/>
  <c r="AD177" i="2"/>
  <c r="AD179" i="2" s="1"/>
  <c r="AD191" i="2" s="1"/>
  <c r="AD164" i="2" s="1"/>
  <c r="AD158" i="2"/>
  <c r="AD111" i="2"/>
  <c r="AD105" i="2"/>
  <c r="AD106" i="2"/>
  <c r="AD108" i="2" s="1"/>
  <c r="AC174" i="2"/>
  <c r="AC105" i="2"/>
  <c r="AC111" i="2"/>
  <c r="AC173" i="2"/>
  <c r="F7" i="6" l="1"/>
  <c r="V12" i="23"/>
  <c r="V13" i="23" s="1"/>
  <c r="AD159" i="2"/>
  <c r="Z8" i="3"/>
  <c r="Z10" i="3" s="1"/>
  <c r="Z56" i="3"/>
  <c r="Z50" i="3"/>
  <c r="Z52" i="3" s="1"/>
  <c r="AD189" i="2"/>
  <c r="AD190" i="2" s="1"/>
  <c r="AD207" i="2"/>
  <c r="AD174" i="2"/>
  <c r="AC216" i="2"/>
  <c r="AD216" i="2" s="1"/>
  <c r="AC199" i="2"/>
  <c r="AC440" i="2"/>
  <c r="AC204" i="2"/>
  <c r="AD204" i="2" s="1"/>
  <c r="AD173" i="2"/>
  <c r="AC237" i="2"/>
  <c r="AC161" i="2"/>
  <c r="AC165" i="2"/>
  <c r="AD107" i="2"/>
  <c r="AD113" i="2"/>
  <c r="F8" i="28" l="1"/>
  <c r="F8" i="29"/>
  <c r="Z12" i="3"/>
  <c r="Z14" i="3" s="1"/>
  <c r="F8" i="6"/>
  <c r="D19" i="8"/>
  <c r="Y16" i="3"/>
  <c r="Y18" i="3" s="1"/>
  <c r="AD237" i="2"/>
  <c r="AD238" i="2" s="1"/>
  <c r="AC514" i="2"/>
  <c r="AD205" i="2"/>
  <c r="AC197" i="2"/>
  <c r="AC198" i="2" s="1"/>
  <c r="AD199" i="2"/>
  <c r="AD161" i="2"/>
  <c r="AD162" i="2" s="1"/>
  <c r="AC443" i="2"/>
  <c r="AC457" i="2"/>
  <c r="AD440" i="2"/>
  <c r="AC527" i="2"/>
  <c r="AD165" i="2"/>
  <c r="AC162" i="2"/>
  <c r="AC166" i="2"/>
  <c r="AD217" i="2"/>
  <c r="AD527" i="2" l="1"/>
  <c r="E19" i="8"/>
  <c r="Z16" i="3"/>
  <c r="Z18" i="3" s="1"/>
  <c r="AD166" i="2"/>
  <c r="AC531" i="2"/>
  <c r="AD531" i="2" s="1"/>
  <c r="AD443" i="2"/>
  <c r="AD197" i="2"/>
  <c r="AD200" i="2"/>
  <c r="AD201" i="2" s="1"/>
  <c r="AC464" i="2"/>
  <c r="AC473" i="2" s="1"/>
  <c r="AC533" i="2"/>
  <c r="AD533" i="2" s="1"/>
  <c r="AD457" i="2"/>
  <c r="AD514" i="2"/>
  <c r="AC479" i="2"/>
  <c r="AC196" i="2"/>
  <c r="AD491" i="2"/>
  <c r="AC575" i="2" l="1"/>
  <c r="AD575" i="2"/>
  <c r="F18" i="31" s="1"/>
  <c r="AC209" i="2"/>
  <c r="Y20" i="3"/>
  <c r="Y22" i="3" s="1"/>
  <c r="AD196" i="2"/>
  <c r="AD198" i="2"/>
  <c r="AD492" i="2"/>
  <c r="AD479" i="2"/>
  <c r="AD493" i="2"/>
  <c r="AD464" i="2"/>
  <c r="AD473" i="2" s="1"/>
  <c r="AC219" i="2" l="1"/>
  <c r="AC220" i="2" s="1"/>
  <c r="AD220" i="2" s="1"/>
  <c r="F14" i="31" s="1"/>
  <c r="AC212" i="2"/>
  <c r="F18" i="6"/>
  <c r="AD209" i="2"/>
  <c r="Z20" i="3"/>
  <c r="Z22" i="3" s="1"/>
  <c r="AD494" i="2"/>
  <c r="AD212" i="2" l="1"/>
  <c r="AC240" i="2"/>
  <c r="AD240" i="2" s="1"/>
  <c r="AC225" i="2"/>
  <c r="AD219" i="2"/>
  <c r="AD221" i="2" s="1"/>
  <c r="F14" i="6"/>
  <c r="F10" i="6"/>
  <c r="F11" i="6" s="1"/>
  <c r="AC234" i="2" l="1"/>
  <c r="AC501" i="2" s="1"/>
  <c r="AD225" i="2"/>
  <c r="AD227" i="2" s="1"/>
  <c r="AC227" i="2"/>
  <c r="AD234" i="2"/>
  <c r="AC248" i="2"/>
  <c r="AC251" i="2" s="1"/>
  <c r="F16" i="6"/>
  <c r="F21" i="6" s="1"/>
  <c r="F24" i="6" s="1"/>
  <c r="F16" i="28"/>
  <c r="F21" i="28" s="1"/>
  <c r="F24" i="28" s="1"/>
  <c r="F11" i="28"/>
  <c r="AC482" i="2" l="1"/>
  <c r="AC540" i="2"/>
  <c r="AC577" i="2" s="1"/>
  <c r="AD501" i="2"/>
  <c r="AD540" i="2" s="1"/>
  <c r="AD566" i="2" s="1"/>
  <c r="D20" i="8"/>
  <c r="Y24" i="3"/>
  <c r="Y26" i="3" s="1"/>
  <c r="AD248" i="2"/>
  <c r="Z24" i="3" s="1"/>
  <c r="Z26" i="3" s="1"/>
  <c r="AD482" i="2"/>
  <c r="AC483" i="2"/>
  <c r="AC486" i="2" s="1"/>
  <c r="AD577" i="2" l="1"/>
  <c r="AC566" i="2"/>
  <c r="AC570" i="2" s="1"/>
  <c r="AC439" i="2" s="1"/>
  <c r="AC444" i="2" s="1"/>
  <c r="AC452" i="2" s="1"/>
  <c r="AC488" i="2" s="1"/>
  <c r="E20" i="8"/>
  <c r="AD251" i="2"/>
  <c r="AD483" i="2"/>
  <c r="AD486" i="2" s="1"/>
  <c r="AD570" i="2" l="1"/>
  <c r="AI569" i="2"/>
  <c r="AD439" i="2"/>
  <c r="AE569" i="2"/>
  <c r="AE214" i="2" l="1"/>
  <c r="AE239" i="2" s="1"/>
  <c r="AD215" i="2"/>
  <c r="AD444" i="2"/>
  <c r="AD452" i="2" s="1"/>
  <c r="AD488" i="2" s="1"/>
  <c r="G11" i="28" l="1"/>
  <c r="G12" i="28"/>
  <c r="G16" i="28" l="1"/>
  <c r="G21" i="28" s="1"/>
  <c r="G24" i="28" s="1"/>
  <c r="H16" i="28" l="1"/>
  <c r="H21" i="28" s="1"/>
  <c r="H24" i="28" s="1"/>
  <c r="I12" i="28" l="1"/>
  <c r="J12" i="28"/>
  <c r="J21" i="28"/>
  <c r="J24" i="28" s="1"/>
  <c r="K24" i="28" l="1"/>
  <c r="G27" i="28"/>
  <c r="G40" i="28" s="1"/>
  <c r="K40" i="28" l="1"/>
  <c r="K28" i="28"/>
  <c r="G28" i="28"/>
  <c r="I16" i="28" l="1"/>
  <c r="I21" i="28" s="1"/>
  <c r="I24" i="28" s="1"/>
  <c r="K29" i="28" l="1"/>
  <c r="K30" i="28" s="1"/>
  <c r="K39" i="28" s="1"/>
  <c r="G29" i="28"/>
  <c r="G30" i="28" s="1"/>
  <c r="G34" i="28" l="1"/>
  <c r="G36" i="28" s="1"/>
  <c r="G37" i="28" s="1"/>
  <c r="G39" i="28"/>
  <c r="K34" i="28"/>
  <c r="K36" i="28" l="1"/>
  <c r="K37" i="28" s="1"/>
  <c r="P7" i="28"/>
  <c r="P16" i="28" l="1"/>
  <c r="AG61" i="2" l="1"/>
  <c r="H15" i="8"/>
  <c r="AC46" i="3"/>
  <c r="AC48" i="3" s="1"/>
  <c r="AG60" i="2"/>
  <c r="AE77" i="26"/>
  <c r="AE82" i="26" s="1"/>
  <c r="AE85" i="26" s="1"/>
  <c r="AG74" i="2"/>
  <c r="AL61" i="2"/>
  <c r="AG63" i="2"/>
  <c r="AH60" i="2"/>
  <c r="I15" i="8"/>
  <c r="AD46" i="3"/>
  <c r="AD48" i="3" s="1"/>
  <c r="AH61" i="2"/>
  <c r="AH74" i="2"/>
  <c r="AF77" i="26"/>
  <c r="AF82" i="26" s="1"/>
  <c r="AF85" i="26" s="1"/>
  <c r="AJ60" i="2"/>
  <c r="AM61" i="2"/>
  <c r="AH63" i="2"/>
  <c r="G15" i="8"/>
  <c r="AF60" i="2"/>
  <c r="AB46" i="3"/>
  <c r="AB48" i="3" s="1"/>
  <c r="AF61" i="2"/>
  <c r="AD77" i="26"/>
  <c r="AD82" i="26" s="1"/>
  <c r="AD85" i="26" s="1"/>
  <c r="AF74" i="2"/>
  <c r="AK61" i="2"/>
  <c r="AF63" i="2"/>
  <c r="AE61" i="2"/>
  <c r="AA46" i="3"/>
  <c r="AA48" i="3" s="1"/>
  <c r="AE60" i="2"/>
  <c r="F15" i="8"/>
  <c r="AE74" i="2"/>
  <c r="AC77" i="26"/>
  <c r="AC82" i="26" s="1"/>
  <c r="AC85" i="26" s="1"/>
  <c r="AJ61" i="2"/>
  <c r="AE63" i="2"/>
  <c r="AJ46" i="3" l="1"/>
  <c r="AQ77" i="26"/>
  <c r="AQ82" i="26" s="1"/>
  <c r="AQ85" i="26" s="1"/>
  <c r="AG77" i="26"/>
  <c r="AG82" i="26" s="1"/>
  <c r="AG85" i="26" s="1"/>
  <c r="AO46" i="3"/>
  <c r="AE46" i="3"/>
  <c r="AE48" i="3" s="1"/>
  <c r="AL77" i="26"/>
  <c r="AL82" i="26" s="1"/>
  <c r="AL85" i="26" s="1"/>
  <c r="AN74" i="2"/>
  <c r="AN61" i="2"/>
  <c r="O15" i="8"/>
  <c r="AN63" i="2"/>
  <c r="AS63" i="2"/>
  <c r="AS74" i="2"/>
  <c r="AS61" i="2"/>
  <c r="T15" i="8"/>
  <c r="AI74" i="2"/>
  <c r="AI61" i="2"/>
  <c r="J15" i="8"/>
  <c r="AI63" i="2"/>
  <c r="AJ48" i="3" l="1"/>
  <c r="AO48" i="3"/>
  <c r="AC113" i="2"/>
  <c r="AC107" i="2"/>
  <c r="AH106" i="2"/>
  <c r="AM106" i="2" l="1"/>
  <c r="AM108" i="2" s="1"/>
  <c r="AH108" i="2"/>
  <c r="AH103" i="2"/>
  <c r="AH113" i="2"/>
  <c r="AR106" i="2" l="1"/>
  <c r="AR108" i="2" s="1"/>
  <c r="AM113" i="2"/>
  <c r="AM103" i="2"/>
  <c r="AM158" i="2" s="1"/>
  <c r="AE12" i="23" s="1"/>
  <c r="AE13" i="23" s="1"/>
  <c r="AH105" i="2"/>
  <c r="I17" i="8"/>
  <c r="I18" i="8" s="1"/>
  <c r="AF22" i="26"/>
  <c r="AH111" i="2"/>
  <c r="AH177" i="2"/>
  <c r="AD54" i="3"/>
  <c r="AH158" i="2"/>
  <c r="Z12" i="23" s="1"/>
  <c r="Z13" i="23" s="1"/>
  <c r="AK22" i="26" l="1"/>
  <c r="AK63" i="26" s="1"/>
  <c r="AK69" i="26" s="1"/>
  <c r="AK72" i="26" s="1"/>
  <c r="AM177" i="2"/>
  <c r="AM189" i="2" s="1"/>
  <c r="AM105" i="2"/>
  <c r="AM111" i="2"/>
  <c r="N17" i="8"/>
  <c r="N18" i="8" s="1"/>
  <c r="AI54" i="3"/>
  <c r="AI56" i="3" s="1"/>
  <c r="AR113" i="2"/>
  <c r="AR103" i="2"/>
  <c r="S17" i="8" s="1"/>
  <c r="S18" i="8" s="1"/>
  <c r="AM237" i="2"/>
  <c r="AI8" i="3"/>
  <c r="AI10" i="3" s="1"/>
  <c r="AM204" i="2"/>
  <c r="AM216" i="2"/>
  <c r="AM207" i="2"/>
  <c r="AM159" i="2"/>
  <c r="AI12" i="3" s="1"/>
  <c r="AI14" i="3" s="1"/>
  <c r="AM173" i="2"/>
  <c r="AM440" i="2"/>
  <c r="AM199" i="2"/>
  <c r="AD50" i="3"/>
  <c r="AD52" i="3" s="1"/>
  <c r="AD56" i="3"/>
  <c r="AH189" i="2"/>
  <c r="AH179" i="2"/>
  <c r="AH191" i="2" s="1"/>
  <c r="AF27" i="26"/>
  <c r="AF63" i="26"/>
  <c r="AF69" i="26" s="1"/>
  <c r="AF72" i="26" s="1"/>
  <c r="AM179" i="2"/>
  <c r="AM191" i="2" s="1"/>
  <c r="AD8" i="3"/>
  <c r="AD10" i="3" s="1"/>
  <c r="AH440" i="2"/>
  <c r="AH207" i="2"/>
  <c r="AH199" i="2"/>
  <c r="AH173" i="2"/>
  <c r="AH204" i="2"/>
  <c r="AH159" i="2"/>
  <c r="AD12" i="3" s="1"/>
  <c r="AD14" i="3" s="1"/>
  <c r="AH237" i="2"/>
  <c r="AH216" i="2"/>
  <c r="AI50" i="3" l="1"/>
  <c r="AI52" i="3" s="1"/>
  <c r="AK27" i="26"/>
  <c r="AR111" i="2"/>
  <c r="AR105" i="2"/>
  <c r="AP22" i="26"/>
  <c r="AP63" i="26" s="1"/>
  <c r="AP69" i="26" s="1"/>
  <c r="AP72" i="26" s="1"/>
  <c r="AN54" i="3"/>
  <c r="AN56" i="3" s="1"/>
  <c r="AR158" i="2"/>
  <c r="AR177" i="2"/>
  <c r="AR179" i="2" s="1"/>
  <c r="AR191" i="2" s="1"/>
  <c r="AH514" i="2"/>
  <c r="AF30" i="26"/>
  <c r="AH197" i="2"/>
  <c r="AM514" i="2"/>
  <c r="AM164" i="2"/>
  <c r="AM190" i="2"/>
  <c r="AM197" i="2"/>
  <c r="AI440" i="2"/>
  <c r="AH164" i="2"/>
  <c r="AH190" i="2"/>
  <c r="AN440" i="2"/>
  <c r="AK30" i="26"/>
  <c r="AP27" i="26" l="1"/>
  <c r="AR204" i="2"/>
  <c r="AJ12" i="23"/>
  <c r="AJ13" i="23" s="1"/>
  <c r="AR189" i="2"/>
  <c r="AN8" i="3"/>
  <c r="AN10" i="3" s="1"/>
  <c r="AR237" i="2"/>
  <c r="AR514" i="2" s="1"/>
  <c r="AN50" i="3"/>
  <c r="AN52" i="3" s="1"/>
  <c r="AR159" i="2"/>
  <c r="AN12" i="3" s="1"/>
  <c r="AN14" i="3" s="1"/>
  <c r="AR173" i="2"/>
  <c r="AR207" i="2"/>
  <c r="AR440" i="2"/>
  <c r="AS440" i="2" s="1"/>
  <c r="AR199" i="2"/>
  <c r="AR197" i="2" s="1"/>
  <c r="AR216" i="2"/>
  <c r="AM198" i="2"/>
  <c r="AM196" i="2"/>
  <c r="AI20" i="3" s="1"/>
  <c r="AI22" i="3" s="1"/>
  <c r="AH196" i="2"/>
  <c r="AD20" i="3" s="1"/>
  <c r="AD22" i="3" s="1"/>
  <c r="AH198" i="2"/>
  <c r="AP30" i="26"/>
  <c r="AH174" i="2"/>
  <c r="AH165" i="2"/>
  <c r="AH161" i="2"/>
  <c r="AR164" i="2"/>
  <c r="AR190" i="2"/>
  <c r="AM174" i="2"/>
  <c r="AM165" i="2"/>
  <c r="AM161" i="2"/>
  <c r="AM209" i="2" l="1"/>
  <c r="AM212" i="2" s="1"/>
  <c r="AH209" i="2"/>
  <c r="AH212" i="2" s="1"/>
  <c r="AR174" i="2"/>
  <c r="AR165" i="2"/>
  <c r="AR161" i="2"/>
  <c r="AR196" i="2"/>
  <c r="AN20" i="3" s="1"/>
  <c r="AN22" i="3" s="1"/>
  <c r="AR198" i="2"/>
  <c r="AH457" i="2"/>
  <c r="AH443" i="2"/>
  <c r="AH162" i="2"/>
  <c r="AM443" i="2"/>
  <c r="AM457" i="2"/>
  <c r="AM162" i="2"/>
  <c r="N19" i="8"/>
  <c r="AM166" i="2"/>
  <c r="AI16" i="3"/>
  <c r="AI18" i="3" s="1"/>
  <c r="AD16" i="3"/>
  <c r="AD18" i="3" s="1"/>
  <c r="I19" i="8"/>
  <c r="AH166" i="2"/>
  <c r="AR209" i="2" l="1"/>
  <c r="AR212" i="2" s="1"/>
  <c r="AI457" i="2"/>
  <c r="AH464" i="2"/>
  <c r="AH473" i="2" s="1"/>
  <c r="AN443" i="2"/>
  <c r="AR457" i="2"/>
  <c r="AR443" i="2"/>
  <c r="AR162" i="2"/>
  <c r="S19" i="8"/>
  <c r="AN16" i="3"/>
  <c r="AN18" i="3" s="1"/>
  <c r="AR166" i="2"/>
  <c r="AM464" i="2"/>
  <c r="AM473" i="2" s="1"/>
  <c r="AN457" i="2"/>
  <c r="AI443" i="2"/>
  <c r="AN464" i="2" l="1"/>
  <c r="AN473" i="2" s="1"/>
  <c r="AS443" i="2"/>
  <c r="AR464" i="2"/>
  <c r="AR473" i="2" s="1"/>
  <c r="AS457" i="2"/>
  <c r="AI464" i="2"/>
  <c r="AI473" i="2" s="1"/>
  <c r="AS464" i="2" l="1"/>
  <c r="AS473" i="2" s="1"/>
  <c r="AC22" i="26"/>
  <c r="AC63" i="26" s="1"/>
  <c r="AC69" i="26" s="1"/>
  <c r="AC72" i="26" s="1"/>
  <c r="AA54" i="3"/>
  <c r="AA56" i="3" s="1"/>
  <c r="AE111" i="2"/>
  <c r="AE105" i="2"/>
  <c r="F17" i="8"/>
  <c r="F18" i="8" s="1"/>
  <c r="AE177" i="2"/>
  <c r="AE189" i="2" s="1"/>
  <c r="AF103" i="2"/>
  <c r="AE158" i="2"/>
  <c r="AE106" i="2"/>
  <c r="AE108" i="2" s="1"/>
  <c r="AE199" i="2" l="1"/>
  <c r="W12" i="23"/>
  <c r="W13" i="23" s="1"/>
  <c r="AC27" i="26"/>
  <c r="AC30" i="26" s="1"/>
  <c r="AF106" i="2"/>
  <c r="AF107" i="2" s="1"/>
  <c r="AE179" i="2"/>
  <c r="AE191" i="2" s="1"/>
  <c r="AE164" i="2" s="1"/>
  <c r="AE161" i="2" s="1"/>
  <c r="AE197" i="2"/>
  <c r="AE440" i="2"/>
  <c r="AE159" i="2"/>
  <c r="AA12" i="3" s="1"/>
  <c r="AA14" i="3" s="1"/>
  <c r="AA8" i="3"/>
  <c r="AA10" i="3" s="1"/>
  <c r="AE216" i="2"/>
  <c r="AE237" i="2"/>
  <c r="AE173" i="2"/>
  <c r="AE207" i="2"/>
  <c r="AF111" i="2"/>
  <c r="AD22" i="26"/>
  <c r="AF177" i="2"/>
  <c r="AF158" i="2"/>
  <c r="X12" i="23" s="1"/>
  <c r="X13" i="23" s="1"/>
  <c r="AF105" i="2"/>
  <c r="G17" i="8"/>
  <c r="G18" i="8" s="1"/>
  <c r="AB54" i="3"/>
  <c r="AE204" i="2"/>
  <c r="AE107" i="2"/>
  <c r="AE113" i="2"/>
  <c r="AJ106" i="2"/>
  <c r="AJ108" i="2" s="1"/>
  <c r="AA50" i="3"/>
  <c r="AA52" i="3" s="1"/>
  <c r="AF113" i="2" l="1"/>
  <c r="AE190" i="2"/>
  <c r="AE174" i="2"/>
  <c r="AE165" i="2"/>
  <c r="AE166" i="2" s="1"/>
  <c r="AK106" i="2"/>
  <c r="AK113" i="2" s="1"/>
  <c r="AF108" i="2"/>
  <c r="AE514" i="2"/>
  <c r="AB8" i="3"/>
  <c r="AB10" i="3" s="1"/>
  <c r="AF440" i="2"/>
  <c r="AF237" i="2"/>
  <c r="AF514" i="2" s="1"/>
  <c r="AF159" i="2"/>
  <c r="AB12" i="3" s="1"/>
  <c r="AB14" i="3" s="1"/>
  <c r="AF216" i="2"/>
  <c r="AF199" i="2"/>
  <c r="AF207" i="2"/>
  <c r="AF173" i="2"/>
  <c r="AF204" i="2"/>
  <c r="AF189" i="2"/>
  <c r="AF179" i="2"/>
  <c r="AF191" i="2" s="1"/>
  <c r="AD63" i="26"/>
  <c r="AD69" i="26" s="1"/>
  <c r="AD72" i="26" s="1"/>
  <c r="AD27" i="26"/>
  <c r="AJ113" i="2"/>
  <c r="AO106" i="2"/>
  <c r="AO108" i="2" s="1"/>
  <c r="AJ103" i="2"/>
  <c r="AE443" i="2"/>
  <c r="AE457" i="2"/>
  <c r="AE527" i="2"/>
  <c r="AB50" i="3"/>
  <c r="AB52" i="3" s="1"/>
  <c r="AB56" i="3"/>
  <c r="AE162" i="2"/>
  <c r="AE196" i="2"/>
  <c r="AE198" i="2"/>
  <c r="AA16" i="3" l="1"/>
  <c r="AA18" i="3" s="1"/>
  <c r="F19" i="8"/>
  <c r="AK103" i="2"/>
  <c r="AK104" i="2" s="1"/>
  <c r="AK108" i="2"/>
  <c r="AP106" i="2"/>
  <c r="AJ158" i="2"/>
  <c r="AB12" i="23" s="1"/>
  <c r="AB13" i="23" s="1"/>
  <c r="AF54" i="3"/>
  <c r="K17" i="8"/>
  <c r="K18" i="8" s="1"/>
  <c r="AJ104" i="2"/>
  <c r="AH22" i="26"/>
  <c r="AJ111" i="2"/>
  <c r="AJ105" i="2"/>
  <c r="AJ177" i="2"/>
  <c r="AO113" i="2"/>
  <c r="AO103" i="2"/>
  <c r="AE464" i="2"/>
  <c r="AE473" i="2" s="1"/>
  <c r="AE533" i="2"/>
  <c r="AD30" i="26"/>
  <c r="AF197" i="2"/>
  <c r="AF527" i="2"/>
  <c r="AE479" i="2"/>
  <c r="AA20" i="3"/>
  <c r="AA22" i="3" s="1"/>
  <c r="AE209" i="2"/>
  <c r="AE531" i="2"/>
  <c r="AF190" i="2"/>
  <c r="AF164" i="2"/>
  <c r="AP108" i="2" l="1"/>
  <c r="AP113" i="2"/>
  <c r="AP103" i="2"/>
  <c r="AK158" i="2"/>
  <c r="AC12" i="23" s="1"/>
  <c r="AC13" i="23" s="1"/>
  <c r="L17" i="8"/>
  <c r="L18" i="8" s="1"/>
  <c r="AK177" i="2"/>
  <c r="AK105" i="2"/>
  <c r="AG54" i="3"/>
  <c r="AI22" i="26"/>
  <c r="AK111" i="2"/>
  <c r="AH63" i="26"/>
  <c r="AH69" i="26" s="1"/>
  <c r="AH72" i="26" s="1"/>
  <c r="AH27" i="26"/>
  <c r="AF56" i="3"/>
  <c r="AF50" i="3"/>
  <c r="AF52" i="3" s="1"/>
  <c r="AE212" i="2"/>
  <c r="AE219" i="2"/>
  <c r="AJ189" i="2"/>
  <c r="AJ179" i="2"/>
  <c r="AJ191" i="2" s="1"/>
  <c r="AJ159" i="2"/>
  <c r="AF12" i="3" s="1"/>
  <c r="AF14" i="3" s="1"/>
  <c r="AJ207" i="2"/>
  <c r="AJ173" i="2"/>
  <c r="AJ199" i="2"/>
  <c r="AF8" i="3"/>
  <c r="AF10" i="3" s="1"/>
  <c r="AJ204" i="2"/>
  <c r="AJ216" i="2"/>
  <c r="AJ237" i="2"/>
  <c r="AJ440" i="2"/>
  <c r="AF479" i="2"/>
  <c r="AF196" i="2"/>
  <c r="AB20" i="3" s="1"/>
  <c r="AB22" i="3" s="1"/>
  <c r="AF198" i="2"/>
  <c r="AM22" i="26"/>
  <c r="AO111" i="2"/>
  <c r="AO104" i="2"/>
  <c r="AO158" i="2"/>
  <c r="AG12" i="23" s="1"/>
  <c r="AG13" i="23" s="1"/>
  <c r="P17" i="8"/>
  <c r="P18" i="8" s="1"/>
  <c r="AO177" i="2"/>
  <c r="AO105" i="2"/>
  <c r="AK54" i="3"/>
  <c r="AE575" i="2"/>
  <c r="AF165" i="2"/>
  <c r="AF174" i="2"/>
  <c r="AF161" i="2"/>
  <c r="AK179" i="2" l="1"/>
  <c r="AK191" i="2" s="1"/>
  <c r="AK189" i="2"/>
  <c r="AK173" i="2"/>
  <c r="AK237" i="2"/>
  <c r="AK514" i="2" s="1"/>
  <c r="AK207" i="2"/>
  <c r="AG8" i="3"/>
  <c r="AG10" i="3" s="1"/>
  <c r="AK216" i="2"/>
  <c r="AK440" i="2"/>
  <c r="AK527" i="2" s="1"/>
  <c r="AK159" i="2"/>
  <c r="AG12" i="3" s="1"/>
  <c r="AG14" i="3" s="1"/>
  <c r="AK204" i="2"/>
  <c r="AK199" i="2"/>
  <c r="AK197" i="2" s="1"/>
  <c r="AK198" i="2" s="1"/>
  <c r="AG50" i="3"/>
  <c r="AG52" i="3" s="1"/>
  <c r="AG56" i="3"/>
  <c r="AP105" i="2"/>
  <c r="AP111" i="2"/>
  <c r="AP104" i="2"/>
  <c r="AP158" i="2"/>
  <c r="AH12" i="23" s="1"/>
  <c r="AH13" i="23" s="1"/>
  <c r="AP177" i="2"/>
  <c r="Q17" i="8"/>
  <c r="Q18" i="8" s="1"/>
  <c r="AN22" i="26"/>
  <c r="AL54" i="3"/>
  <c r="AI63" i="26"/>
  <c r="AI69" i="26" s="1"/>
  <c r="AI72" i="26" s="1"/>
  <c r="AI27" i="26"/>
  <c r="AI30" i="26" s="1"/>
  <c r="AK50" i="3"/>
  <c r="AK52" i="3" s="1"/>
  <c r="AK56" i="3"/>
  <c r="AO189" i="2"/>
  <c r="AO179" i="2"/>
  <c r="AO191" i="2" s="1"/>
  <c r="AJ190" i="2"/>
  <c r="AJ164" i="2"/>
  <c r="AJ197" i="2"/>
  <c r="AF443" i="2"/>
  <c r="AF457" i="2"/>
  <c r="AF162" i="2"/>
  <c r="AF209" i="2"/>
  <c r="AK8" i="3"/>
  <c r="AK10" i="3" s="1"/>
  <c r="AO216" i="2"/>
  <c r="AO237" i="2"/>
  <c r="AO159" i="2"/>
  <c r="AK12" i="3" s="1"/>
  <c r="AK14" i="3" s="1"/>
  <c r="AO199" i="2"/>
  <c r="AO204" i="2"/>
  <c r="AO173" i="2"/>
  <c r="AO440" i="2"/>
  <c r="AO207" i="2"/>
  <c r="AM27" i="26"/>
  <c r="AM63" i="26"/>
  <c r="AM69" i="26" s="1"/>
  <c r="AM72" i="26" s="1"/>
  <c r="AJ527" i="2"/>
  <c r="AH30" i="26"/>
  <c r="AB16" i="3"/>
  <c r="AB18" i="3" s="1"/>
  <c r="G19" i="8"/>
  <c r="AF166" i="2"/>
  <c r="AJ514" i="2"/>
  <c r="AE220" i="2"/>
  <c r="AE225" i="2" s="1"/>
  <c r="AL56" i="3" l="1"/>
  <c r="AL50" i="3"/>
  <c r="AL52" i="3" s="1"/>
  <c r="AN63" i="26"/>
  <c r="AN69" i="26" s="1"/>
  <c r="AN72" i="26" s="1"/>
  <c r="AN27" i="26"/>
  <c r="AN30" i="26" s="1"/>
  <c r="AP189" i="2"/>
  <c r="AP179" i="2"/>
  <c r="AP191" i="2" s="1"/>
  <c r="AK196" i="2"/>
  <c r="AG20" i="3" s="1"/>
  <c r="AG22" i="3" s="1"/>
  <c r="AL8" i="3"/>
  <c r="AL10" i="3" s="1"/>
  <c r="AP159" i="2"/>
  <c r="AL12" i="3" s="1"/>
  <c r="AL14" i="3" s="1"/>
  <c r="AP199" i="2"/>
  <c r="AP197" i="2" s="1"/>
  <c r="AP204" i="2"/>
  <c r="AP237" i="2"/>
  <c r="AP514" i="2" s="1"/>
  <c r="AP173" i="2"/>
  <c r="AP440" i="2"/>
  <c r="AP527" i="2" s="1"/>
  <c r="AP216" i="2"/>
  <c r="AP207" i="2"/>
  <c r="AK164" i="2"/>
  <c r="AK190" i="2"/>
  <c r="AE227" i="2"/>
  <c r="AE234" i="2"/>
  <c r="AO197" i="2"/>
  <c r="AM30" i="26"/>
  <c r="AO514" i="2"/>
  <c r="AF464" i="2"/>
  <c r="AF473" i="2" s="1"/>
  <c r="AF533" i="2"/>
  <c r="AO190" i="2"/>
  <c r="AO164" i="2"/>
  <c r="AJ196" i="2"/>
  <c r="AF20" i="3" s="1"/>
  <c r="AF22" i="3" s="1"/>
  <c r="AJ198" i="2"/>
  <c r="AF531" i="2"/>
  <c r="AJ174" i="2"/>
  <c r="AJ165" i="2"/>
  <c r="AJ161" i="2"/>
  <c r="AE240" i="2"/>
  <c r="AO527" i="2"/>
  <c r="AF212" i="2"/>
  <c r="AJ209" i="2" l="1"/>
  <c r="AJ212" i="2" s="1"/>
  <c r="AP164" i="2"/>
  <c r="AP190" i="2"/>
  <c r="AP198" i="2"/>
  <c r="AP196" i="2"/>
  <c r="AL20" i="3" s="1"/>
  <c r="AL22" i="3" s="1"/>
  <c r="AK174" i="2"/>
  <c r="AK209" i="2"/>
  <c r="AK212" i="2" s="1"/>
  <c r="AK165" i="2"/>
  <c r="AK161" i="2"/>
  <c r="AO196" i="2"/>
  <c r="AK20" i="3" s="1"/>
  <c r="AK22" i="3" s="1"/>
  <c r="AO198" i="2"/>
  <c r="AO165" i="2"/>
  <c r="AO174" i="2"/>
  <c r="AO161" i="2"/>
  <c r="AF575" i="2"/>
  <c r="AJ443" i="2"/>
  <c r="AJ457" i="2"/>
  <c r="AJ162" i="2"/>
  <c r="AE501" i="2"/>
  <c r="AE248" i="2"/>
  <c r="AF16" i="3"/>
  <c r="AF18" i="3" s="1"/>
  <c r="K19" i="8"/>
  <c r="AJ166" i="2"/>
  <c r="AO209" i="2" l="1"/>
  <c r="AO212" i="2" s="1"/>
  <c r="L19" i="8"/>
  <c r="AK166" i="2"/>
  <c r="AG16" i="3"/>
  <c r="AG18" i="3" s="1"/>
  <c r="AK443" i="2"/>
  <c r="AK531" i="2" s="1"/>
  <c r="AK457" i="2"/>
  <c r="AK464" i="2" s="1"/>
  <c r="AK473" i="2" s="1"/>
  <c r="AK162" i="2"/>
  <c r="AP161" i="2"/>
  <c r="AP174" i="2"/>
  <c r="AP209" i="2"/>
  <c r="AP212" i="2" s="1"/>
  <c r="AP165" i="2"/>
  <c r="AA24" i="3"/>
  <c r="AA26" i="3" s="1"/>
  <c r="F20" i="8"/>
  <c r="AE251" i="2"/>
  <c r="AJ464" i="2"/>
  <c r="AJ473" i="2" s="1"/>
  <c r="AJ533" i="2"/>
  <c r="AO457" i="2"/>
  <c r="AO443" i="2"/>
  <c r="AO162" i="2"/>
  <c r="AE482" i="2"/>
  <c r="AE540" i="2"/>
  <c r="AJ531" i="2"/>
  <c r="AK16" i="3"/>
  <c r="AK18" i="3" s="1"/>
  <c r="P19" i="8"/>
  <c r="AO166" i="2"/>
  <c r="AP457" i="2" l="1"/>
  <c r="AP464" i="2" s="1"/>
  <c r="AP473" i="2" s="1"/>
  <c r="AP162" i="2"/>
  <c r="AP443" i="2"/>
  <c r="AP531" i="2" s="1"/>
  <c r="AL16" i="3"/>
  <c r="AL18" i="3" s="1"/>
  <c r="AP166" i="2"/>
  <c r="Q19" i="8"/>
  <c r="AK533" i="2"/>
  <c r="AK575" i="2" s="1"/>
  <c r="AE577" i="2"/>
  <c r="AE566" i="2"/>
  <c r="AE570" i="2" s="1"/>
  <c r="AE483" i="2"/>
  <c r="AE486" i="2" s="1"/>
  <c r="AO531" i="2"/>
  <c r="AO464" i="2"/>
  <c r="AO473" i="2" s="1"/>
  <c r="AO533" i="2"/>
  <c r="AJ575" i="2"/>
  <c r="AP533" i="2" l="1"/>
  <c r="AP575" i="2" s="1"/>
  <c r="AF569" i="2"/>
  <c r="AE439" i="2"/>
  <c r="AO575" i="2"/>
  <c r="AE444" i="2" l="1"/>
  <c r="AE452" i="2" s="1"/>
  <c r="AE488" i="2" s="1"/>
  <c r="AF214" i="2"/>
  <c r="AF239" i="2" l="1"/>
  <c r="AF219" i="2"/>
  <c r="AF220" i="2" l="1"/>
  <c r="AF225" i="2" s="1"/>
  <c r="AF227" i="2" l="1"/>
  <c r="AF234" i="2"/>
  <c r="AF240" i="2"/>
  <c r="AF248" i="2" l="1"/>
  <c r="AF501" i="2"/>
  <c r="AF540" i="2" l="1"/>
  <c r="AF482" i="2"/>
  <c r="AF251" i="2"/>
  <c r="G20" i="8"/>
  <c r="AB24" i="3"/>
  <c r="AB26" i="3" s="1"/>
  <c r="AF483" i="2" l="1"/>
  <c r="AF486" i="2" s="1"/>
  <c r="AF566" i="2"/>
  <c r="AF570" i="2" s="1"/>
  <c r="AF577" i="2"/>
  <c r="AF439" i="2" l="1"/>
  <c r="AG569" i="2"/>
  <c r="AF444" i="2" l="1"/>
  <c r="AF452" i="2" s="1"/>
  <c r="AF488" i="2" s="1"/>
  <c r="AG214" i="2"/>
  <c r="AG239" i="2" l="1"/>
  <c r="AG113" i="2"/>
  <c r="AG108" i="2"/>
  <c r="AG103" i="2"/>
  <c r="AG177" i="2" s="1"/>
  <c r="AL106" i="2"/>
  <c r="AL113" i="2" s="1"/>
  <c r="AC54" i="3" l="1"/>
  <c r="AC56" i="3" s="1"/>
  <c r="AI103" i="2"/>
  <c r="AI105" i="2" s="1"/>
  <c r="AI111" i="2"/>
  <c r="AG158" i="2"/>
  <c r="AG199" i="2" s="1"/>
  <c r="AL103" i="2"/>
  <c r="AL104" i="2" s="1"/>
  <c r="AQ106" i="2"/>
  <c r="AG189" i="2"/>
  <c r="AG179" i="2"/>
  <c r="AG191" i="2" s="1"/>
  <c r="AL108" i="2"/>
  <c r="J17" i="8"/>
  <c r="J18" i="8" s="1"/>
  <c r="AI158" i="2"/>
  <c r="AI106" i="2"/>
  <c r="AI177" i="2"/>
  <c r="AE54" i="3"/>
  <c r="AG22" i="26"/>
  <c r="AG63" i="26" s="1"/>
  <c r="AG69" i="26" s="1"/>
  <c r="AG72" i="26" s="1"/>
  <c r="AG111" i="2"/>
  <c r="AE22" i="26"/>
  <c r="AG104" i="2"/>
  <c r="AH104" i="2"/>
  <c r="H17" i="8"/>
  <c r="H18" i="8" s="1"/>
  <c r="AG105" i="2"/>
  <c r="AC50" i="3" l="1"/>
  <c r="AC52" i="3" s="1"/>
  <c r="AC8" i="3"/>
  <c r="AC10" i="3" s="1"/>
  <c r="AG159" i="2"/>
  <c r="AC12" i="3" s="1"/>
  <c r="AC14" i="3" s="1"/>
  <c r="AG216" i="2"/>
  <c r="AI216" i="2" s="1"/>
  <c r="AI217" i="2" s="1"/>
  <c r="AG207" i="2"/>
  <c r="AG173" i="2"/>
  <c r="AL158" i="2"/>
  <c r="AL199" i="2" s="1"/>
  <c r="AL111" i="2"/>
  <c r="AG237" i="2"/>
  <c r="AI237" i="2" s="1"/>
  <c r="AI238" i="2" s="1"/>
  <c r="AJ22" i="26"/>
  <c r="AJ27" i="26" s="1"/>
  <c r="AM104" i="2"/>
  <c r="AG204" i="2"/>
  <c r="AI204" i="2" s="1"/>
  <c r="AI205" i="2" s="1"/>
  <c r="M17" i="8"/>
  <c r="M18" i="8" s="1"/>
  <c r="AG440" i="2"/>
  <c r="AH54" i="3"/>
  <c r="AH56" i="3" s="1"/>
  <c r="Y12" i="23"/>
  <c r="Y13" i="23" s="1"/>
  <c r="AL105" i="2"/>
  <c r="AQ103" i="2"/>
  <c r="AQ108" i="2"/>
  <c r="AQ113" i="2"/>
  <c r="AL177" i="2"/>
  <c r="AN103" i="2"/>
  <c r="AE56" i="3"/>
  <c r="AE50" i="3"/>
  <c r="AE52" i="3" s="1"/>
  <c r="AG190" i="2"/>
  <c r="AG164" i="2"/>
  <c r="AI189" i="2"/>
  <c r="AI179" i="2"/>
  <c r="AI191" i="2" s="1"/>
  <c r="AI108" i="2"/>
  <c r="AI113" i="2"/>
  <c r="AI107" i="2"/>
  <c r="AA12" i="23"/>
  <c r="AA13" i="23" s="1"/>
  <c r="AI207" i="2"/>
  <c r="AI159" i="2"/>
  <c r="AE12" i="3" s="1"/>
  <c r="AE14" i="3" s="1"/>
  <c r="G7" i="6"/>
  <c r="G8" i="6" s="1"/>
  <c r="AI491" i="2"/>
  <c r="AI173" i="2"/>
  <c r="AE8" i="3"/>
  <c r="AE10" i="3" s="1"/>
  <c r="AH527" i="2"/>
  <c r="AG527" i="2"/>
  <c r="AI199" i="2"/>
  <c r="AG197" i="2"/>
  <c r="AE27" i="26"/>
  <c r="AE63" i="26"/>
  <c r="AE69" i="26" s="1"/>
  <c r="AE72" i="26" s="1"/>
  <c r="AG514" i="2" l="1"/>
  <c r="AL159" i="2"/>
  <c r="AH12" i="3" s="1"/>
  <c r="AH14" i="3" s="1"/>
  <c r="AD12" i="23"/>
  <c r="AD13" i="23" s="1"/>
  <c r="AL173" i="2"/>
  <c r="AL216" i="2"/>
  <c r="AN216" i="2" s="1"/>
  <c r="AL204" i="2"/>
  <c r="AN204" i="2" s="1"/>
  <c r="AL207" i="2"/>
  <c r="AL237" i="2"/>
  <c r="AN237" i="2" s="1"/>
  <c r="AL440" i="2"/>
  <c r="AH8" i="3"/>
  <c r="AH10" i="3" s="1"/>
  <c r="AH50" i="3"/>
  <c r="AH52" i="3" s="1"/>
  <c r="AJ63" i="26"/>
  <c r="AJ69" i="26" s="1"/>
  <c r="AJ72" i="26" s="1"/>
  <c r="AN111" i="2"/>
  <c r="AN177" i="2"/>
  <c r="AN158" i="2"/>
  <c r="AL22" i="26"/>
  <c r="AL63" i="26" s="1"/>
  <c r="AL69" i="26" s="1"/>
  <c r="AL72" i="26" s="1"/>
  <c r="AJ54" i="3"/>
  <c r="AN105" i="2"/>
  <c r="O17" i="8"/>
  <c r="O18" i="8" s="1"/>
  <c r="AN106" i="2"/>
  <c r="AL189" i="2"/>
  <c r="AL179" i="2"/>
  <c r="AL191" i="2" s="1"/>
  <c r="AO22" i="26"/>
  <c r="AR104" i="2"/>
  <c r="AQ158" i="2"/>
  <c r="AQ177" i="2"/>
  <c r="AQ104" i="2"/>
  <c r="AS103" i="2"/>
  <c r="AM54" i="3"/>
  <c r="AQ111" i="2"/>
  <c r="R17" i="8"/>
  <c r="R18" i="8" s="1"/>
  <c r="AQ105" i="2"/>
  <c r="AE30" i="26"/>
  <c r="AG27" i="26"/>
  <c r="AG30" i="26" s="1"/>
  <c r="AL27" i="26"/>
  <c r="AL30" i="26" s="1"/>
  <c r="AJ30" i="26"/>
  <c r="AG174" i="2"/>
  <c r="AG165" i="2"/>
  <c r="AG161" i="2"/>
  <c r="AN199" i="2"/>
  <c r="AL197" i="2"/>
  <c r="AL527" i="2"/>
  <c r="AM527" i="2"/>
  <c r="AG198" i="2"/>
  <c r="AG196" i="2"/>
  <c r="AC20" i="3" s="1"/>
  <c r="AC22" i="3" s="1"/>
  <c r="AI164" i="2"/>
  <c r="AI190" i="2"/>
  <c r="AI200" i="2"/>
  <c r="AI201" i="2" s="1"/>
  <c r="AI197" i="2"/>
  <c r="AI514" i="2"/>
  <c r="AG479" i="2"/>
  <c r="AI527" i="2"/>
  <c r="AN238" i="2" l="1"/>
  <c r="AN205" i="2"/>
  <c r="AL514" i="2"/>
  <c r="AN514" i="2" s="1"/>
  <c r="AN217" i="2"/>
  <c r="AQ440" i="2"/>
  <c r="AQ204" i="2"/>
  <c r="AS204" i="2" s="1"/>
  <c r="AQ207" i="2"/>
  <c r="AM8" i="3"/>
  <c r="AM10" i="3" s="1"/>
  <c r="AQ199" i="2"/>
  <c r="AI12" i="23"/>
  <c r="AI13" i="23" s="1"/>
  <c r="AQ237" i="2"/>
  <c r="AQ216" i="2"/>
  <c r="AS216" i="2" s="1"/>
  <c r="AQ173" i="2"/>
  <c r="AQ159" i="2"/>
  <c r="AM12" i="3" s="1"/>
  <c r="AM14" i="3" s="1"/>
  <c r="AO63" i="26"/>
  <c r="AO69" i="26" s="1"/>
  <c r="AO72" i="26" s="1"/>
  <c r="AO27" i="26"/>
  <c r="AJ56" i="3"/>
  <c r="AJ50" i="3"/>
  <c r="AJ52" i="3" s="1"/>
  <c r="AN108" i="2"/>
  <c r="AN113" i="2"/>
  <c r="AN107" i="2"/>
  <c r="AM50" i="3"/>
  <c r="AM52" i="3" s="1"/>
  <c r="AM56" i="3"/>
  <c r="AN491" i="2"/>
  <c r="AJ8" i="3"/>
  <c r="AN173" i="2"/>
  <c r="AN207" i="2"/>
  <c r="H7" i="6"/>
  <c r="H8" i="6" s="1"/>
  <c r="AN159" i="2"/>
  <c r="AJ12" i="3" s="1"/>
  <c r="AJ14" i="3" s="1"/>
  <c r="AF12" i="23"/>
  <c r="AF13" i="23" s="1"/>
  <c r="AS105" i="2"/>
  <c r="AS106" i="2"/>
  <c r="AQ22" i="26"/>
  <c r="AQ63" i="26" s="1"/>
  <c r="AQ69" i="26" s="1"/>
  <c r="AQ72" i="26" s="1"/>
  <c r="AO54" i="3"/>
  <c r="AS158" i="2"/>
  <c r="AS177" i="2"/>
  <c r="T17" i="8"/>
  <c r="T18" i="8" s="1"/>
  <c r="AS111" i="2"/>
  <c r="AL164" i="2"/>
  <c r="AL190" i="2"/>
  <c r="AN179" i="2"/>
  <c r="AN191" i="2" s="1"/>
  <c r="AN189" i="2"/>
  <c r="AQ179" i="2"/>
  <c r="AQ191" i="2" s="1"/>
  <c r="AQ189" i="2"/>
  <c r="AI198" i="2"/>
  <c r="AI196" i="2"/>
  <c r="AE20" i="3" s="1"/>
  <c r="AE22" i="3" s="1"/>
  <c r="AG209" i="2"/>
  <c r="AI174" i="2"/>
  <c r="AI165" i="2"/>
  <c r="AN200" i="2"/>
  <c r="AN201" i="2" s="1"/>
  <c r="AN197" i="2"/>
  <c r="AL196" i="2"/>
  <c r="AL198" i="2"/>
  <c r="AC16" i="3"/>
  <c r="AC18" i="3" s="1"/>
  <c r="AG166" i="2"/>
  <c r="H19" i="8"/>
  <c r="AN527" i="2"/>
  <c r="AG457" i="2"/>
  <c r="AG443" i="2"/>
  <c r="AI161" i="2"/>
  <c r="AG162" i="2"/>
  <c r="AH479" i="2"/>
  <c r="AI209" i="2" l="1"/>
  <c r="AS237" i="2"/>
  <c r="AS238" i="2" s="1"/>
  <c r="AQ514" i="2"/>
  <c r="AS514" i="2" s="1"/>
  <c r="AO56" i="3"/>
  <c r="AO50" i="3"/>
  <c r="AO52" i="3" s="1"/>
  <c r="AS108" i="2"/>
  <c r="AS107" i="2"/>
  <c r="AS113" i="2"/>
  <c r="J5" i="3"/>
  <c r="AJ10" i="3"/>
  <c r="AL174" i="2"/>
  <c r="AL161" i="2"/>
  <c r="AL165" i="2"/>
  <c r="AQ27" i="26"/>
  <c r="AQ30" i="26" s="1"/>
  <c r="AO30" i="26"/>
  <c r="AS199" i="2"/>
  <c r="AQ197" i="2"/>
  <c r="AS189" i="2"/>
  <c r="AS179" i="2"/>
  <c r="AS191" i="2" s="1"/>
  <c r="AS205" i="2"/>
  <c r="AN190" i="2"/>
  <c r="AN164" i="2"/>
  <c r="AQ190" i="2"/>
  <c r="AQ164" i="2"/>
  <c r="AS217" i="2"/>
  <c r="AS159" i="2"/>
  <c r="AO12" i="3" s="1"/>
  <c r="AO14" i="3" s="1"/>
  <c r="AS491" i="2"/>
  <c r="AO8" i="3"/>
  <c r="AO10" i="3" s="1"/>
  <c r="I7" i="6"/>
  <c r="J7" i="6" s="1"/>
  <c r="AK12" i="23"/>
  <c r="AK13" i="23" s="1"/>
  <c r="AS207" i="2"/>
  <c r="AS173" i="2"/>
  <c r="AR527" i="2"/>
  <c r="AQ527" i="2"/>
  <c r="AI166" i="2"/>
  <c r="AE16" i="3"/>
  <c r="AE18" i="3" s="1"/>
  <c r="J19" i="8"/>
  <c r="AI212" i="2"/>
  <c r="G10" i="6"/>
  <c r="AI492" i="2"/>
  <c r="AI493" i="2"/>
  <c r="AI162" i="2"/>
  <c r="AN196" i="2"/>
  <c r="AN198" i="2"/>
  <c r="AG212" i="2"/>
  <c r="AG219" i="2"/>
  <c r="AH20" i="3"/>
  <c r="AH22" i="3" s="1"/>
  <c r="AL209" i="2"/>
  <c r="AG533" i="2"/>
  <c r="AH533" i="2"/>
  <c r="AG464" i="2"/>
  <c r="AG473" i="2" s="1"/>
  <c r="AH531" i="2"/>
  <c r="AG531" i="2"/>
  <c r="AI479" i="2"/>
  <c r="J10" i="31" l="1"/>
  <c r="K10" i="31"/>
  <c r="AQ174" i="2"/>
  <c r="AQ165" i="2"/>
  <c r="AQ161" i="2"/>
  <c r="AS197" i="2"/>
  <c r="AS200" i="2"/>
  <c r="AS201" i="2" s="1"/>
  <c r="AQ196" i="2"/>
  <c r="AM20" i="3" s="1"/>
  <c r="AM22" i="3" s="1"/>
  <c r="AQ198" i="2"/>
  <c r="AN174" i="2"/>
  <c r="AN165" i="2"/>
  <c r="K7" i="6"/>
  <c r="K10" i="6" s="1"/>
  <c r="J10" i="6"/>
  <c r="J14" i="6" s="1"/>
  <c r="J16" i="6" s="1"/>
  <c r="M19" i="8"/>
  <c r="AH16" i="3"/>
  <c r="AH18" i="3" s="1"/>
  <c r="AL166" i="2"/>
  <c r="AL162" i="2"/>
  <c r="AL443" i="2"/>
  <c r="AN161" i="2"/>
  <c r="AL457" i="2"/>
  <c r="AS190" i="2"/>
  <c r="AS164" i="2"/>
  <c r="J4" i="3"/>
  <c r="K5" i="3"/>
  <c r="J6" i="3"/>
  <c r="Q5" i="3"/>
  <c r="S5" i="3" s="1"/>
  <c r="M5" i="3" s="1"/>
  <c r="AS527" i="2"/>
  <c r="AI531" i="2"/>
  <c r="AG575" i="2"/>
  <c r="AG220" i="2"/>
  <c r="AG225" i="2" s="1"/>
  <c r="G11" i="6"/>
  <c r="G12" i="6"/>
  <c r="AI533" i="2"/>
  <c r="AL212" i="2"/>
  <c r="AI494" i="2"/>
  <c r="AH575" i="2"/>
  <c r="AJ20" i="3"/>
  <c r="AJ22" i="3" s="1"/>
  <c r="AN209" i="2"/>
  <c r="AJ479" i="2"/>
  <c r="H12" i="31" l="1"/>
  <c r="K12" i="31"/>
  <c r="K14" i="31"/>
  <c r="K16" i="31" s="1"/>
  <c r="J14" i="31"/>
  <c r="J16" i="31" s="1"/>
  <c r="AS198" i="2"/>
  <c r="AS196" i="2"/>
  <c r="AO20" i="3" s="1"/>
  <c r="AO22" i="3" s="1"/>
  <c r="AQ209" i="2"/>
  <c r="AQ212" i="2" s="1"/>
  <c r="Q4" i="3"/>
  <c r="S4" i="3" s="1"/>
  <c r="M4" i="3" s="1"/>
  <c r="K4" i="3"/>
  <c r="AM533" i="2"/>
  <c r="AL533" i="2"/>
  <c r="AN533" i="2" s="1"/>
  <c r="AL464" i="2"/>
  <c r="AL473" i="2" s="1"/>
  <c r="K12" i="6"/>
  <c r="K14" i="6"/>
  <c r="K16" i="6" s="1"/>
  <c r="AQ457" i="2"/>
  <c r="AS161" i="2"/>
  <c r="AQ443" i="2"/>
  <c r="AQ162" i="2"/>
  <c r="AN162" i="2"/>
  <c r="AN493" i="2"/>
  <c r="AN492" i="2"/>
  <c r="AN166" i="2"/>
  <c r="AJ16" i="3"/>
  <c r="AJ18" i="3" s="1"/>
  <c r="O19" i="8"/>
  <c r="R19" i="8"/>
  <c r="AQ166" i="2"/>
  <c r="AM16" i="3"/>
  <c r="AM18" i="3" s="1"/>
  <c r="D11" i="9"/>
  <c r="N5" i="3"/>
  <c r="AM531" i="2"/>
  <c r="AL531" i="2"/>
  <c r="AS174" i="2"/>
  <c r="AS165" i="2"/>
  <c r="K6" i="3"/>
  <c r="Q6" i="3"/>
  <c r="S6" i="3" s="1"/>
  <c r="M6" i="3" s="1"/>
  <c r="AG227" i="2"/>
  <c r="AG234" i="2"/>
  <c r="AG240" i="2"/>
  <c r="AK479" i="2"/>
  <c r="H10" i="6"/>
  <c r="AN212" i="2"/>
  <c r="AI575" i="2"/>
  <c r="AS209" i="2" l="1"/>
  <c r="G18" i="6"/>
  <c r="G18" i="31"/>
  <c r="N6" i="3"/>
  <c r="D12" i="9"/>
  <c r="AO16" i="3"/>
  <c r="AO18" i="3" s="1"/>
  <c r="AS166" i="2"/>
  <c r="T19" i="8"/>
  <c r="AR531" i="2"/>
  <c r="AQ531" i="2"/>
  <c r="AS493" i="2"/>
  <c r="AS162" i="2"/>
  <c r="AS492" i="2"/>
  <c r="N4" i="3"/>
  <c r="K8" i="3"/>
  <c r="L8" i="3" s="1"/>
  <c r="M8" i="3"/>
  <c r="D10" i="9"/>
  <c r="AQ533" i="2"/>
  <c r="AQ464" i="2"/>
  <c r="AQ473" i="2" s="1"/>
  <c r="AR533" i="2"/>
  <c r="AM575" i="2"/>
  <c r="AS212" i="2"/>
  <c r="I10" i="6"/>
  <c r="I12" i="6" s="1"/>
  <c r="AN531" i="2"/>
  <c r="AN575" i="2" s="1"/>
  <c r="AL575" i="2"/>
  <c r="AN494" i="2"/>
  <c r="H12" i="6"/>
  <c r="H11" i="6"/>
  <c r="AL479" i="2"/>
  <c r="AG248" i="2"/>
  <c r="AG501" i="2"/>
  <c r="AS533" i="2" l="1"/>
  <c r="AR575" i="2"/>
  <c r="J12" i="31"/>
  <c r="H18" i="6"/>
  <c r="H18" i="31"/>
  <c r="AS531" i="2"/>
  <c r="AQ575" i="2"/>
  <c r="AS494" i="2"/>
  <c r="J12" i="6"/>
  <c r="I11" i="6"/>
  <c r="AM479" i="2"/>
  <c r="AG482" i="2"/>
  <c r="AG540" i="2"/>
  <c r="H20" i="8"/>
  <c r="AC24" i="3"/>
  <c r="AC26" i="3" s="1"/>
  <c r="AG251" i="2"/>
  <c r="AS575" i="2" l="1"/>
  <c r="I18" i="6" s="1"/>
  <c r="K21" i="6" s="1"/>
  <c r="J21" i="6"/>
  <c r="J24" i="6" s="1"/>
  <c r="AG483" i="2"/>
  <c r="AG486" i="2" s="1"/>
  <c r="AN479" i="2"/>
  <c r="AG577" i="2"/>
  <c r="AG566" i="2"/>
  <c r="AG570" i="2" s="1"/>
  <c r="I18" i="31" l="1"/>
  <c r="K21" i="31" s="1"/>
  <c r="K24" i="6"/>
  <c r="G27" i="6"/>
  <c r="K27" i="6"/>
  <c r="AH569" i="2"/>
  <c r="AG439" i="2"/>
  <c r="AO479" i="2"/>
  <c r="J21" i="31" l="1"/>
  <c r="J24" i="31" s="1"/>
  <c r="G27" i="31"/>
  <c r="K27" i="31"/>
  <c r="K28" i="31" s="1"/>
  <c r="K24" i="31"/>
  <c r="G28" i="6"/>
  <c r="G40" i="6"/>
  <c r="K40" i="6"/>
  <c r="K28" i="6"/>
  <c r="AH214" i="2"/>
  <c r="AG444" i="2"/>
  <c r="AG452" i="2" s="1"/>
  <c r="AG488" i="2" s="1"/>
  <c r="AP479" i="2"/>
  <c r="K40" i="31" l="1"/>
  <c r="G28" i="31"/>
  <c r="G40" i="31"/>
  <c r="AQ479" i="2"/>
  <c r="AH239" i="2"/>
  <c r="AI239" i="2" s="1"/>
  <c r="AH219" i="2"/>
  <c r="AH220" i="2" l="1"/>
  <c r="AH225" i="2" s="1"/>
  <c r="AI219" i="2"/>
  <c r="AR479" i="2"/>
  <c r="AH240" i="2" l="1"/>
  <c r="AI240" i="2" s="1"/>
  <c r="AI220" i="2"/>
  <c r="AS479" i="2"/>
  <c r="AH234" i="2"/>
  <c r="AH227" i="2"/>
  <c r="AI225" i="2" l="1"/>
  <c r="AI227" i="2" s="1"/>
  <c r="G14" i="31"/>
  <c r="G16" i="31" s="1"/>
  <c r="G21" i="31" s="1"/>
  <c r="G24" i="31" s="1"/>
  <c r="AH501" i="2"/>
  <c r="AH248" i="2"/>
  <c r="AI234" i="2"/>
  <c r="AI221" i="2"/>
  <c r="G14" i="6"/>
  <c r="G16" i="6" s="1"/>
  <c r="G21" i="6" s="1"/>
  <c r="G24" i="6" s="1"/>
  <c r="I20" i="8" l="1"/>
  <c r="AD24" i="3"/>
  <c r="AD26" i="3" s="1"/>
  <c r="AH251" i="2"/>
  <c r="AI248" i="2"/>
  <c r="AH540" i="2"/>
  <c r="AI501" i="2"/>
  <c r="AI540" i="2" s="1"/>
  <c r="AH482" i="2"/>
  <c r="AH566" i="2" l="1"/>
  <c r="AH570" i="2" s="1"/>
  <c r="AH577" i="2"/>
  <c r="AE24" i="3"/>
  <c r="AE26" i="3" s="1"/>
  <c r="J20" i="8"/>
  <c r="AI251" i="2"/>
  <c r="AI566" i="2"/>
  <c r="AI577" i="2"/>
  <c r="AI482" i="2"/>
  <c r="AH483" i="2"/>
  <c r="AH486" i="2" s="1"/>
  <c r="AI483" i="2" l="1"/>
  <c r="AI486" i="2" s="1"/>
  <c r="AH439" i="2"/>
  <c r="AH444" i="2" s="1"/>
  <c r="AH452" i="2" s="1"/>
  <c r="AH488" i="2" s="1"/>
  <c r="AI570" i="2"/>
  <c r="AN569" i="2" l="1"/>
  <c r="AJ569" i="2"/>
  <c r="AI439" i="2"/>
  <c r="AI215" i="2" l="1"/>
  <c r="AI444" i="2"/>
  <c r="AI452" i="2" s="1"/>
  <c r="AI488" i="2" s="1"/>
  <c r="AJ214" i="2"/>
  <c r="AJ239" i="2" l="1"/>
  <c r="AJ219" i="2"/>
  <c r="AJ220" i="2" l="1"/>
  <c r="AJ225" i="2" s="1"/>
  <c r="AJ227" i="2" l="1"/>
  <c r="AJ234" i="2"/>
  <c r="AJ240" i="2"/>
  <c r="AJ501" i="2" l="1"/>
  <c r="AJ248" i="2"/>
  <c r="K20" i="8" l="1"/>
  <c r="AJ251" i="2"/>
  <c r="AF24" i="3"/>
  <c r="AF26" i="3" s="1"/>
  <c r="AJ540" i="2"/>
  <c r="AJ482" i="2"/>
  <c r="AJ577" i="2" l="1"/>
  <c r="AJ566" i="2"/>
  <c r="AJ570" i="2" s="1"/>
  <c r="AJ483" i="2"/>
  <c r="AJ486" i="2" s="1"/>
  <c r="AK569" i="2" l="1"/>
  <c r="AJ439" i="2"/>
  <c r="AJ444" i="2" l="1"/>
  <c r="AJ452" i="2" s="1"/>
  <c r="AJ488" i="2" s="1"/>
  <c r="AK214" i="2"/>
  <c r="AK239" i="2" l="1"/>
  <c r="AK219" i="2"/>
  <c r="AK220" i="2" l="1"/>
  <c r="AK240" i="2" l="1"/>
  <c r="AK225" i="2"/>
  <c r="AK227" i="2" l="1"/>
  <c r="AK234" i="2"/>
  <c r="AK501" i="2" l="1"/>
  <c r="AK248" i="2"/>
  <c r="AG24" i="3" l="1"/>
  <c r="AG26" i="3" s="1"/>
  <c r="L20" i="8"/>
  <c r="AK251" i="2"/>
  <c r="AK540" i="2"/>
  <c r="AK482" i="2"/>
  <c r="AK483" i="2" l="1"/>
  <c r="AK486" i="2" s="1"/>
  <c r="AK577" i="2"/>
  <c r="AK566" i="2"/>
  <c r="AK570" i="2" s="1"/>
  <c r="AK439" i="2" l="1"/>
  <c r="AL569" i="2"/>
  <c r="AK444" i="2" l="1"/>
  <c r="AK452" i="2" s="1"/>
  <c r="AK488" i="2" s="1"/>
  <c r="AL214" i="2"/>
  <c r="AL239" i="2" l="1"/>
  <c r="AL219" i="2"/>
  <c r="AL220" i="2" l="1"/>
  <c r="AL225" i="2" s="1"/>
  <c r="AL234" i="2" l="1"/>
  <c r="AL227" i="2"/>
  <c r="AL240" i="2"/>
  <c r="AL501" i="2" l="1"/>
  <c r="AL248" i="2"/>
  <c r="AH24" i="3" l="1"/>
  <c r="AH26" i="3" s="1"/>
  <c r="M20" i="8"/>
  <c r="AL251" i="2"/>
  <c r="AL540" i="2"/>
  <c r="AL482" i="2"/>
  <c r="AL483" i="2" l="1"/>
  <c r="AL486" i="2" s="1"/>
  <c r="AL566" i="2"/>
  <c r="AL570" i="2" s="1"/>
  <c r="AL577" i="2"/>
  <c r="AM569" i="2" l="1"/>
  <c r="AL439" i="2"/>
  <c r="AL444" i="2" l="1"/>
  <c r="AL452" i="2" s="1"/>
  <c r="AL488" i="2" s="1"/>
  <c r="AM214" i="2"/>
  <c r="AM239" i="2" l="1"/>
  <c r="AN239" i="2" s="1"/>
  <c r="AM219" i="2"/>
  <c r="AM220" i="2" l="1"/>
  <c r="AM225" i="2" s="1"/>
  <c r="AN219" i="2"/>
  <c r="AM227" i="2" l="1"/>
  <c r="AM234" i="2"/>
  <c r="AM240" i="2"/>
  <c r="AN240" i="2" s="1"/>
  <c r="AN220" i="2"/>
  <c r="H14" i="31" s="1"/>
  <c r="H16" i="31" s="1"/>
  <c r="H21" i="31" s="1"/>
  <c r="H24" i="31" s="1"/>
  <c r="H14" i="6" l="1"/>
  <c r="H16" i="6" s="1"/>
  <c r="H21" i="6" s="1"/>
  <c r="H24" i="6" s="1"/>
  <c r="AN221" i="2"/>
  <c r="AM248" i="2"/>
  <c r="AM501" i="2"/>
  <c r="AN234" i="2"/>
  <c r="AN225" i="2"/>
  <c r="AN227" i="2" s="1"/>
  <c r="AM540" i="2" l="1"/>
  <c r="AN501" i="2"/>
  <c r="AN540" i="2" s="1"/>
  <c r="AM482" i="2"/>
  <c r="N20" i="8"/>
  <c r="AI24" i="3"/>
  <c r="AI26" i="3" s="1"/>
  <c r="AM251" i="2"/>
  <c r="AN248" i="2"/>
  <c r="AJ24" i="3" l="1"/>
  <c r="AN251" i="2"/>
  <c r="O20" i="8"/>
  <c r="AN482" i="2"/>
  <c r="AM483" i="2"/>
  <c r="AM486" i="2" s="1"/>
  <c r="AN577" i="2"/>
  <c r="AN566" i="2"/>
  <c r="AM566" i="2"/>
  <c r="AM570" i="2" s="1"/>
  <c r="AM577" i="2"/>
  <c r="AM439" i="2" l="1"/>
  <c r="AM444" i="2" s="1"/>
  <c r="AM452" i="2" s="1"/>
  <c r="AM488" i="2" s="1"/>
  <c r="AN570" i="2"/>
  <c r="AN483" i="2"/>
  <c r="AN486" i="2" s="1"/>
  <c r="AJ26" i="3"/>
  <c r="J14" i="3"/>
  <c r="Q14" i="3" l="1"/>
  <c r="S14" i="3" s="1"/>
  <c r="M14" i="3" s="1"/>
  <c r="K14" i="3"/>
  <c r="J15" i="3"/>
  <c r="J13" i="3"/>
  <c r="AS569" i="2"/>
  <c r="AN439" i="2"/>
  <c r="AO569" i="2"/>
  <c r="K13" i="3" l="1"/>
  <c r="Q13" i="3"/>
  <c r="S13" i="3" s="1"/>
  <c r="M13" i="3" s="1"/>
  <c r="AN215" i="2"/>
  <c r="AN444" i="2"/>
  <c r="AN452" i="2" s="1"/>
  <c r="AN488" i="2" s="1"/>
  <c r="AO214" i="2"/>
  <c r="Q15" i="3"/>
  <c r="S15" i="3" s="1"/>
  <c r="M15" i="3" s="1"/>
  <c r="N15" i="3" s="1"/>
  <c r="K15" i="3"/>
  <c r="N14" i="3"/>
  <c r="M17" i="3" l="1"/>
  <c r="AO239" i="2"/>
  <c r="AO219" i="2"/>
  <c r="N13" i="3"/>
  <c r="K17" i="3"/>
  <c r="L17" i="3" s="1"/>
  <c r="AO220" i="2" l="1"/>
  <c r="AO225" i="2" s="1"/>
  <c r="AO227" i="2" l="1"/>
  <c r="AO234" i="2"/>
  <c r="AO240" i="2"/>
  <c r="AO501" i="2" l="1"/>
  <c r="AO248" i="2"/>
  <c r="AK24" i="3" l="1"/>
  <c r="AK26" i="3" s="1"/>
  <c r="P20" i="8"/>
  <c r="AO251" i="2"/>
  <c r="AO540" i="2"/>
  <c r="AO482" i="2"/>
  <c r="AO483" i="2" l="1"/>
  <c r="AO486" i="2" s="1"/>
  <c r="AO577" i="2"/>
  <c r="AO566" i="2"/>
  <c r="AO570" i="2" s="1"/>
  <c r="AP569" i="2" l="1"/>
  <c r="AO439" i="2"/>
  <c r="AP214" i="2" l="1"/>
  <c r="AO444" i="2"/>
  <c r="AO452" i="2" s="1"/>
  <c r="AO488" i="2" s="1"/>
  <c r="AP239" i="2" l="1"/>
  <c r="AP219" i="2"/>
  <c r="AP220" i="2" l="1"/>
  <c r="AP225" i="2" s="1"/>
  <c r="AP234" i="2" l="1"/>
  <c r="AP227" i="2"/>
  <c r="AP240" i="2"/>
  <c r="AP248" i="2" l="1"/>
  <c r="AP501" i="2"/>
  <c r="AL24" i="3" l="1"/>
  <c r="AL26" i="3" s="1"/>
  <c r="AP251" i="2"/>
  <c r="Q20" i="8"/>
  <c r="AP540" i="2"/>
  <c r="AP482" i="2"/>
  <c r="AP483" i="2" l="1"/>
  <c r="AP486" i="2" s="1"/>
  <c r="AP577" i="2"/>
  <c r="AP566" i="2"/>
  <c r="AP570" i="2" s="1"/>
  <c r="AP439" i="2" l="1"/>
  <c r="AQ569" i="2"/>
  <c r="AP444" i="2" l="1"/>
  <c r="AP452" i="2" s="1"/>
  <c r="AP488" i="2" s="1"/>
  <c r="AQ214" i="2"/>
  <c r="AQ239" i="2" l="1"/>
  <c r="AQ219" i="2"/>
  <c r="AQ220" i="2" l="1"/>
  <c r="AQ240" i="2" l="1"/>
  <c r="AQ225" i="2"/>
  <c r="AQ227" i="2" l="1"/>
  <c r="AQ234" i="2"/>
  <c r="AQ501" i="2" l="1"/>
  <c r="AQ248" i="2"/>
  <c r="R20" i="8" l="1"/>
  <c r="AQ251" i="2"/>
  <c r="AM24" i="3"/>
  <c r="AM26" i="3" s="1"/>
  <c r="AQ540" i="2"/>
  <c r="AQ482" i="2"/>
  <c r="AQ483" i="2" l="1"/>
  <c r="AQ486" i="2" s="1"/>
  <c r="AQ566" i="2"/>
  <c r="AQ570" i="2" s="1"/>
  <c r="AQ577" i="2"/>
  <c r="AR569" i="2" l="1"/>
  <c r="AQ439" i="2"/>
  <c r="AQ444" i="2" l="1"/>
  <c r="AQ452" i="2" s="1"/>
  <c r="AQ488" i="2" s="1"/>
  <c r="AR214" i="2"/>
  <c r="AR239" i="2" l="1"/>
  <c r="AS239" i="2" s="1"/>
  <c r="AR219" i="2"/>
  <c r="AR220" i="2" l="1"/>
  <c r="AR225" i="2" s="1"/>
  <c r="AS219" i="2"/>
  <c r="AR227" i="2" l="1"/>
  <c r="AR234" i="2"/>
  <c r="AR240" i="2"/>
  <c r="AS240" i="2" s="1"/>
  <c r="AS220" i="2"/>
  <c r="I14" i="31" s="1"/>
  <c r="I16" i="31" s="1"/>
  <c r="I21" i="31" s="1"/>
  <c r="I24" i="31" s="1"/>
  <c r="I14" i="6" l="1"/>
  <c r="I16" i="6" s="1"/>
  <c r="I21" i="6" s="1"/>
  <c r="I24" i="6" s="1"/>
  <c r="AS221" i="2"/>
  <c r="AR501" i="2"/>
  <c r="AR248" i="2"/>
  <c r="AS234" i="2"/>
  <c r="AS225" i="2"/>
  <c r="AS227" i="2" s="1"/>
  <c r="S20" i="8" l="1"/>
  <c r="AR251" i="2"/>
  <c r="AN24" i="3"/>
  <c r="AN26" i="3" s="1"/>
  <c r="AS248" i="2"/>
  <c r="AR540" i="2"/>
  <c r="AS501" i="2"/>
  <c r="AS540" i="2" s="1"/>
  <c r="AR482" i="2"/>
  <c r="G29" i="6"/>
  <c r="G30" i="6" s="1"/>
  <c r="K29" i="6"/>
  <c r="K30" i="6" s="1"/>
  <c r="G34" i="6" l="1"/>
  <c r="G36" i="6" s="1"/>
  <c r="G39" i="6"/>
  <c r="AS482" i="2"/>
  <c r="AS483" i="2" s="1"/>
  <c r="AS486" i="2" s="1"/>
  <c r="AR483" i="2"/>
  <c r="AR486" i="2" s="1"/>
  <c r="T20" i="8"/>
  <c r="AS251" i="2"/>
  <c r="AO24" i="3"/>
  <c r="AO26" i="3" s="1"/>
  <c r="AS577" i="2"/>
  <c r="AS566" i="2"/>
  <c r="AR566" i="2"/>
  <c r="AR570" i="2" s="1"/>
  <c r="AR577" i="2"/>
  <c r="K34" i="6"/>
  <c r="K36" i="6" s="1"/>
  <c r="K39" i="6"/>
  <c r="N16" i="6" l="1"/>
  <c r="K37" i="6"/>
  <c r="AR439" i="2"/>
  <c r="AR444" i="2" s="1"/>
  <c r="AR452" i="2" s="1"/>
  <c r="AR488" i="2" s="1"/>
  <c r="AS570" i="2"/>
  <c r="AS439" i="2" s="1"/>
  <c r="G37" i="6"/>
  <c r="N7" i="6"/>
  <c r="AS444" i="2" l="1"/>
  <c r="AS452" i="2" s="1"/>
  <c r="AS488" i="2" s="1"/>
  <c r="AS215" i="2"/>
  <c r="G12" i="31"/>
  <c r="F11" i="31"/>
  <c r="F16" i="31"/>
  <c r="F21" i="31"/>
  <c r="F24" i="31" s="1"/>
  <c r="G29" i="31" l="1"/>
  <c r="G30" i="31" s="1"/>
  <c r="K29" i="31"/>
  <c r="K30" i="31" s="1"/>
  <c r="K39" i="31" l="1"/>
  <c r="K34" i="31"/>
  <c r="K36" i="31" s="1"/>
  <c r="G34" i="31"/>
  <c r="G36" i="31" s="1"/>
  <c r="G39" i="31"/>
  <c r="G37" i="31" l="1"/>
  <c r="N7" i="31"/>
  <c r="K37" i="31"/>
  <c r="N16" i="3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Mariani, Zach</author>
  </authors>
  <commentList>
    <comment ref="G2" authorId="0" shapeId="0" xr:uid="{037F332E-6E97-42E5-934C-EE9758E07D4C}">
      <text>
        <r>
          <rPr>
            <b/>
            <sz val="9"/>
            <color indexed="81"/>
            <rFont val="Tahoma"/>
            <family val="2"/>
          </rPr>
          <t>Mariani, Zach:</t>
        </r>
        <r>
          <rPr>
            <sz val="9"/>
            <color indexed="81"/>
            <rFont val="Tahoma"/>
            <family val="2"/>
          </rPr>
          <t xml:space="preserve">
this should be in BBG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Mariani, Zach</author>
  </authors>
  <commentList>
    <comment ref="R3" authorId="0" shapeId="0" xr:uid="{AB336E6F-B249-4634-BE9D-BFF7ACF43321}">
      <text>
        <r>
          <rPr>
            <b/>
            <sz val="9"/>
            <color indexed="81"/>
            <rFont val="Tahoma"/>
            <family val="2"/>
          </rPr>
          <t>Mariani, Zach:</t>
        </r>
        <r>
          <rPr>
            <sz val="9"/>
            <color indexed="81"/>
            <rFont val="Tahoma"/>
            <family val="2"/>
          </rPr>
          <t xml:space="preserve">
this was the quarter when they had a lot of supply chain issues and gave up a ton of margin (see VA GM surprise)</t>
        </r>
      </text>
    </comment>
    <comment ref="V5" authorId="0" shapeId="0" xr:uid="{17ACFFFE-A582-4C3D-BDD2-C04B6AE0F444}">
      <text>
        <r>
          <rPr>
            <b/>
            <sz val="9"/>
            <color indexed="81"/>
            <rFont val="Tahoma"/>
            <family val="2"/>
          </rPr>
          <t>Mariani, Zach:</t>
        </r>
        <r>
          <rPr>
            <sz val="9"/>
            <color indexed="81"/>
            <rFont val="Tahoma"/>
            <family val="2"/>
          </rPr>
          <t xml:space="preserve">
this is the quarter when the NCAA makes an announcement banning the drink</t>
        </r>
      </text>
    </comment>
    <comment ref="X6" authorId="0" shapeId="0" xr:uid="{DFE72FAF-51DD-4D3F-B8A9-26DF484D3E17}">
      <text>
        <r>
          <rPr>
            <b/>
            <sz val="9"/>
            <color indexed="81"/>
            <rFont val="Tahoma"/>
            <family val="2"/>
          </rPr>
          <t>Mariani, Zach:</t>
        </r>
        <r>
          <rPr>
            <sz val="9"/>
            <color indexed="81"/>
            <rFont val="Tahoma"/>
            <family val="2"/>
          </rPr>
          <t xml:space="preserve">
on this call they push back the int'l roll out of Syndeo they first said it would be 1h of '23 and then they say it will be 2nd half of 23</t>
        </r>
      </text>
    </comment>
    <comment ref="A55" authorId="0" shapeId="0" xr:uid="{99D4A050-9AC0-4EBC-8E66-BE5F4785BFBF}">
      <text>
        <r>
          <rPr>
            <b/>
            <sz val="9"/>
            <color indexed="81"/>
            <rFont val="Tahoma"/>
            <family val="2"/>
          </rPr>
          <t>Mariani, Zach:</t>
        </r>
        <r>
          <rPr>
            <sz val="9"/>
            <color indexed="81"/>
            <rFont val="Tahoma"/>
            <family val="2"/>
          </rPr>
          <t xml:space="preserve">
ppl permantely leaving the system</t>
        </r>
      </text>
    </comment>
    <comment ref="AC78" authorId="0" shapeId="0" xr:uid="{5A819CF6-B3F2-4FB4-B995-B196DDFA2EB8}">
      <text>
        <r>
          <rPr>
            <b/>
            <sz val="9"/>
            <color indexed="81"/>
            <rFont val="Tahoma"/>
            <family val="2"/>
          </rPr>
          <t>Mariani, Zach:</t>
        </r>
        <r>
          <rPr>
            <sz val="9"/>
            <color indexed="81"/>
            <rFont val="Tahoma"/>
            <family val="2"/>
          </rPr>
          <t xml:space="preserve">
this is how many machines are still in the field that need to be replaced / repaired</t>
        </r>
      </text>
    </comment>
    <comment ref="AD79" authorId="0" shapeId="0" xr:uid="{BBD5E6D8-0602-4ED6-9729-64E41950C5E3}">
      <text>
        <r>
          <rPr>
            <b/>
            <sz val="9"/>
            <color indexed="81"/>
            <rFont val="Tahoma"/>
            <family val="2"/>
          </rPr>
          <t>Mariani, Zach:</t>
        </r>
        <r>
          <rPr>
            <sz val="9"/>
            <color indexed="81"/>
            <rFont val="Tahoma"/>
            <family val="2"/>
          </rPr>
          <t xml:space="preserve">
had to back out b/c doesn't 100% tie historically</t>
        </r>
      </text>
    </comment>
    <comment ref="AC80" authorId="0" shapeId="0" xr:uid="{03965A6A-E07F-432A-AC69-61D618EB62AD}">
      <text>
        <r>
          <rPr>
            <b/>
            <sz val="9"/>
            <color indexed="81"/>
            <rFont val="Tahoma"/>
            <family val="2"/>
          </rPr>
          <t>Mariani, Zach:</t>
        </r>
        <r>
          <rPr>
            <sz val="9"/>
            <color indexed="81"/>
            <rFont val="Tahoma"/>
            <family val="2"/>
          </rPr>
          <t xml:space="preserve">
they completely stopped selling all of them and said that they weren't going to try to repair any of them left in their inventory, so going forward we let everything go to 0</t>
        </r>
      </text>
    </comment>
    <comment ref="Y83" authorId="0" shapeId="0" xr:uid="{53CA85C3-F41A-4DEF-B1AD-2B57C9820395}">
      <text>
        <r>
          <rPr>
            <b/>
            <sz val="9"/>
            <color indexed="81"/>
            <rFont val="Tahoma"/>
            <family val="2"/>
          </rPr>
          <t>Mariani, Zach:</t>
        </r>
        <r>
          <rPr>
            <sz val="9"/>
            <color indexed="81"/>
            <rFont val="Tahoma"/>
            <family val="2"/>
          </rPr>
          <t xml:space="preserve">
in '22 we delivered a record 8,492 HydraFacial systems globally, which included 1,793 trade up units to Syndeo</t>
        </r>
      </text>
    </comment>
    <comment ref="V85" authorId="0" shapeId="0" xr:uid="{A1BED8AF-18C9-45C7-89C3-C28A3CF92C1F}">
      <text>
        <r>
          <rPr>
            <b/>
            <sz val="9"/>
            <color indexed="81"/>
            <rFont val="Tahoma"/>
            <family val="2"/>
          </rPr>
          <t>Mariani, Zach:</t>
        </r>
        <r>
          <rPr>
            <sz val="9"/>
            <color indexed="81"/>
            <rFont val="Tahoma"/>
            <family val="2"/>
          </rPr>
          <t xml:space="preserve">
The Syndeo rollout in the US has been a tremendous success with 2,265 placed since launch in March</t>
        </r>
      </text>
    </comment>
    <comment ref="Z85" authorId="0" shapeId="0" xr:uid="{2C0CE680-BC88-40B8-A279-56B6C1C5FD6B}">
      <text>
        <r>
          <rPr>
            <b/>
            <sz val="9"/>
            <color indexed="81"/>
            <rFont val="Tahoma"/>
            <family val="2"/>
          </rPr>
          <t>Mariani, Zach:</t>
        </r>
        <r>
          <rPr>
            <sz val="9"/>
            <color indexed="81"/>
            <rFont val="Tahoma"/>
            <family val="2"/>
          </rPr>
          <t xml:space="preserve">
we have placed nearly 5,000 Syndeo systems</t>
        </r>
      </text>
    </comment>
    <comment ref="AB85" authorId="0" shapeId="0" xr:uid="{C3D6D84C-1F53-4E93-97AF-DAF148108EA5}">
      <text>
        <r>
          <rPr>
            <b/>
            <sz val="9"/>
            <color indexed="81"/>
            <rFont val="Tahoma"/>
            <family val="2"/>
          </rPr>
          <t>Mariani, Zach:</t>
        </r>
        <r>
          <rPr>
            <sz val="9"/>
            <color indexed="81"/>
            <rFont val="Tahoma"/>
            <family val="2"/>
          </rPr>
          <t xml:space="preserve">
the timing of all of this is unclear, at the height before replacement began, there were 7,350 Syndeo 1.0 and 2.0s in the field, they have so far as of the 11/13/23 call replaced 2,850 of them with 3.0 and they have 4,500 left in the field to replace</t>
        </r>
      </text>
    </comment>
    <comment ref="A87" authorId="0" shapeId="0" xr:uid="{87D550C8-C691-43A2-8CD4-51F350B38626}">
      <text>
        <r>
          <rPr>
            <b/>
            <sz val="9"/>
            <color indexed="81"/>
            <rFont val="Tahoma"/>
            <family val="2"/>
          </rPr>
          <t>Mariani, Zach:</t>
        </r>
        <r>
          <rPr>
            <sz val="9"/>
            <color indexed="81"/>
            <rFont val="Tahoma"/>
            <family val="2"/>
          </rPr>
          <t xml:space="preserve">
on 11/13/23 "we are very pleased with the real-world performance over the 4 months of Syndeo 3.0 has been in the field."</t>
        </r>
      </text>
    </comment>
    <comment ref="AC104" authorId="0" shapeId="0" xr:uid="{05F49EF4-574B-4FF7-8905-BA888CB38192}">
      <text>
        <r>
          <rPr>
            <b/>
            <sz val="9"/>
            <color indexed="81"/>
            <rFont val="Tahoma"/>
            <family val="2"/>
          </rPr>
          <t>Mariani, Zach:</t>
        </r>
        <r>
          <rPr>
            <sz val="9"/>
            <color indexed="81"/>
            <rFont val="Tahoma"/>
            <family val="2"/>
          </rPr>
          <t xml:space="preserve">
see tab "syndeoDamage"</t>
        </r>
      </text>
    </comment>
    <comment ref="A234" authorId="0" shapeId="0" xr:uid="{13AC8786-9CD9-422A-89F4-D6BCF13F6F40}">
      <text>
        <r>
          <rPr>
            <b/>
            <sz val="9"/>
            <color indexed="81"/>
            <rFont val="Tahoma"/>
            <family val="2"/>
          </rPr>
          <t>Mariani, Zach:</t>
        </r>
        <r>
          <rPr>
            <sz val="9"/>
            <color indexed="81"/>
            <rFont val="Tahoma"/>
            <family val="2"/>
          </rPr>
          <t xml:space="preserve">
Historicals are GAAP, future is non-GAAP projections… kind of messy</t>
        </r>
      </text>
    </comment>
    <comment ref="R262" authorId="0" shapeId="0" xr:uid="{ECC969C9-FE0D-4E32-8EEC-5C3E0E686249}">
      <text>
        <r>
          <rPr>
            <b/>
            <sz val="9"/>
            <color indexed="81"/>
            <rFont val="Tahoma"/>
            <family val="2"/>
          </rPr>
          <t>Mariani, Zach:</t>
        </r>
        <r>
          <rPr>
            <sz val="9"/>
            <color indexed="81"/>
            <rFont val="Tahoma"/>
            <family val="2"/>
          </rPr>
          <t xml:space="preserve">
raised intra-Q
</t>
        </r>
      </text>
    </comment>
    <comment ref="C275" authorId="0" shapeId="0" xr:uid="{A72EA4C2-D073-4ACE-8B32-CBDE0A77F00E}">
      <text>
        <r>
          <rPr>
            <b/>
            <sz val="9"/>
            <color indexed="81"/>
            <rFont val="Tahoma"/>
            <family val="2"/>
          </rPr>
          <t>Mariani, Zach:</t>
        </r>
        <r>
          <rPr>
            <sz val="9"/>
            <color indexed="81"/>
            <rFont val="Tahoma"/>
            <family val="2"/>
          </rPr>
          <t xml:space="preserve">
CEO since Dec '16</t>
        </r>
      </text>
    </comment>
    <comment ref="S275" authorId="0" shapeId="0" xr:uid="{CB6B4232-80C6-4864-B282-00532105EA88}">
      <text>
        <r>
          <rPr>
            <b/>
            <sz val="9"/>
            <color indexed="81"/>
            <rFont val="Tahoma"/>
            <family val="2"/>
          </rPr>
          <t>Mariani, Zach:</t>
        </r>
        <r>
          <rPr>
            <sz val="9"/>
            <color indexed="81"/>
            <rFont val="Tahoma"/>
            <family val="2"/>
          </rPr>
          <t xml:space="preserve">
Joined in Feb '22</t>
        </r>
      </text>
    </comment>
    <comment ref="AB275" authorId="0" shapeId="0" xr:uid="{375A1080-DABB-480C-8EA2-92214F347E58}">
      <text>
        <r>
          <rPr>
            <b/>
            <sz val="9"/>
            <color indexed="81"/>
            <rFont val="Tahoma"/>
            <family val="2"/>
          </rPr>
          <t>Mariani, Zach:</t>
        </r>
        <r>
          <rPr>
            <sz val="9"/>
            <color indexed="81"/>
            <rFont val="Tahoma"/>
            <family val="2"/>
          </rPr>
          <t xml:space="preserve">
joined the board in Jun '22, became CEO in Nov '23</t>
        </r>
      </text>
    </comment>
    <comment ref="G276" authorId="0" shapeId="0" xr:uid="{49B6A0E9-B838-4326-808E-244BE6BC64DE}">
      <text>
        <r>
          <rPr>
            <b/>
            <sz val="9"/>
            <color indexed="81"/>
            <rFont val="Tahoma"/>
            <family val="2"/>
          </rPr>
          <t>Mariani, Zach:</t>
        </r>
        <r>
          <rPr>
            <sz val="9"/>
            <color indexed="81"/>
            <rFont val="Tahoma"/>
            <family val="2"/>
          </rPr>
          <t xml:space="preserve">
Joined in Sept '20</t>
        </r>
      </text>
    </comment>
    <comment ref="L276" authorId="0" shapeId="0" xr:uid="{FA6AE4C2-66CD-452E-87C9-24183719D41C}">
      <text>
        <r>
          <rPr>
            <b/>
            <sz val="9"/>
            <color indexed="81"/>
            <rFont val="Tahoma"/>
            <family val="2"/>
          </rPr>
          <t>Mariani, Zach:</t>
        </r>
        <r>
          <rPr>
            <sz val="9"/>
            <color indexed="81"/>
            <rFont val="Tahoma"/>
            <family val="2"/>
          </rPr>
          <t xml:space="preserve">
Joined in Sept '20</t>
        </r>
      </text>
    </comment>
    <comment ref="AA276" authorId="0" shapeId="0" xr:uid="{0B90F35E-82E7-4452-AD21-B52EA6745301}">
      <text>
        <r>
          <rPr>
            <b/>
            <sz val="9"/>
            <color indexed="81"/>
            <rFont val="Tahoma"/>
            <family val="2"/>
          </rPr>
          <t>Mariani, Zach:</t>
        </r>
        <r>
          <rPr>
            <sz val="9"/>
            <color indexed="81"/>
            <rFont val="Tahoma"/>
            <family val="2"/>
          </rPr>
          <t xml:space="preserve">
put in in Aug '23</t>
        </r>
      </text>
    </comment>
    <comment ref="I564" authorId="0" shapeId="0" xr:uid="{2140F92D-40E3-4669-8A93-DB51338756DB}">
      <text>
        <r>
          <rPr>
            <b/>
            <sz val="9"/>
            <color indexed="81"/>
            <rFont val="Tahoma"/>
            <family val="2"/>
          </rPr>
          <t>Mariani, Zach:</t>
        </r>
        <r>
          <rPr>
            <sz val="9"/>
            <color indexed="81"/>
            <rFont val="Tahoma"/>
            <family val="2"/>
          </rPr>
          <t xml:space="preserve">
may not be 100% accurate...</t>
        </r>
      </text>
    </comment>
    <comment ref="N564" authorId="0" shapeId="0" xr:uid="{E9625D79-23BB-499F-9503-3C35D10BB1D5}">
      <text>
        <r>
          <rPr>
            <b/>
            <sz val="9"/>
            <color indexed="81"/>
            <rFont val="Tahoma"/>
            <family val="2"/>
          </rPr>
          <t>Mariani, Zach:</t>
        </r>
        <r>
          <rPr>
            <sz val="9"/>
            <color indexed="81"/>
            <rFont val="Tahoma"/>
            <family val="2"/>
          </rPr>
          <t xml:space="preserve">
may not be 100% accurate...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Mariani, Zach</author>
  </authors>
  <commentList>
    <comment ref="B100" authorId="0" shapeId="0" xr:uid="{A22238B0-B71F-467F-BEBB-E9E46EEDE6D5}">
      <text>
        <r>
          <rPr>
            <b/>
            <sz val="9"/>
            <color indexed="81"/>
            <rFont val="Tahoma"/>
            <family val="2"/>
          </rPr>
          <t>Mariani, Zach:</t>
        </r>
        <r>
          <rPr>
            <sz val="9"/>
            <color indexed="81"/>
            <rFont val="Tahoma"/>
            <family val="2"/>
          </rPr>
          <t xml:space="preserve">
Defined as: "AbbVie’s Aesthetics portfolio consists of facial injectables, plastics and regenerative medicine, body contouring and skincare products, which hold market-leading positions in the U.S. and in key markets around the world." Product portfolio includes, Botox, Juvederm, and other products like CoolSculpting and Brest implants, and Diamond Glow dermabrasion</t>
        </r>
      </text>
    </comment>
    <comment ref="W106" authorId="0" shapeId="0" xr:uid="{C30A3E64-83BE-4300-AA4E-E507C6DBEECC}">
      <text>
        <r>
          <rPr>
            <b/>
            <sz val="9"/>
            <color indexed="81"/>
            <rFont val="Tahoma"/>
            <family val="2"/>
          </rPr>
          <t>Mariani, Zach:</t>
        </r>
        <r>
          <rPr>
            <sz val="9"/>
            <color indexed="81"/>
            <rFont val="Tahoma"/>
            <family val="2"/>
          </rPr>
          <t xml:space="preserve">
Medica Depot estimates that 3.6M people get Botox every year, some of which is for medical reasons not cosmetic reasons, so it looks like we're in the right ballpark </t>
        </r>
      </text>
    </comment>
    <comment ref="W123" authorId="0" shapeId="0" xr:uid="{30B1EE25-D5ED-4DBF-BF90-EB69303D7340}">
      <text>
        <r>
          <rPr>
            <b/>
            <sz val="9"/>
            <color indexed="81"/>
            <rFont val="Tahoma"/>
            <family val="2"/>
          </rPr>
          <t>Mariani, Zach:</t>
        </r>
        <r>
          <rPr>
            <sz val="9"/>
            <color indexed="81"/>
            <rFont val="Tahoma"/>
            <family val="2"/>
          </rPr>
          <t xml:space="preserve">
Medica Depot estimates that 3.6M people get Botox every year, some of which is for medical reasons not cosmetic reasons, so it looks like we're in the right ballpark </t>
        </r>
      </text>
    </comment>
    <comment ref="B140" authorId="0" shapeId="0" xr:uid="{C6C756DA-41E3-4E67-8062-9BE321F837A5}">
      <text>
        <r>
          <rPr>
            <b/>
            <sz val="9"/>
            <color indexed="81"/>
            <rFont val="Tahoma"/>
            <family val="2"/>
          </rPr>
          <t>Mariani, Zach:</t>
        </r>
        <r>
          <rPr>
            <sz val="9"/>
            <color indexed="81"/>
            <rFont val="Tahoma"/>
            <family val="2"/>
          </rPr>
          <t xml:space="preserve">
from Stifel model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Mariani, Zach</author>
  </authors>
  <commentList>
    <comment ref="AJ3" authorId="0" shapeId="0" xr:uid="{50C83DAF-17F2-494D-AFED-5A50BB9A74EF}">
      <text>
        <r>
          <rPr>
            <b/>
            <sz val="9"/>
            <color indexed="81"/>
            <rFont val="Tahoma"/>
            <family val="2"/>
          </rPr>
          <t>Mariani, Zach:</t>
        </r>
        <r>
          <rPr>
            <sz val="9"/>
            <color indexed="81"/>
            <rFont val="Tahoma"/>
            <family val="2"/>
          </rPr>
          <t xml:space="preserve">
I'm not 100% sure what's going on here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Bhalodkar, Neil</author>
    <author>Mariani, Zach</author>
    <author>John Esposito</author>
  </authors>
  <commentList>
    <comment ref="E7" authorId="0" shapeId="0" xr:uid="{2030F897-3C1D-4C1D-BDC8-B703C821AB2D}">
      <text>
        <r>
          <rPr>
            <b/>
            <sz val="8"/>
            <color indexed="81"/>
            <rFont val="Tahoma"/>
            <family val="2"/>
          </rPr>
          <t>Bhalodkar, Neil:</t>
        </r>
        <r>
          <rPr>
            <sz val="8"/>
            <color indexed="81"/>
            <rFont val="Tahoma"/>
            <family val="2"/>
          </rPr>
          <t xml:space="preserve">
should be linked to model</t>
        </r>
      </text>
    </comment>
    <comment ref="B8" authorId="0" shapeId="0" xr:uid="{B17059E6-5541-4131-9915-7CFAA3BC91B7}">
      <text>
        <r>
          <rPr>
            <b/>
            <sz val="8"/>
            <color indexed="81"/>
            <rFont val="Tahoma"/>
            <family val="2"/>
          </rPr>
          <t>Bhalodkar, Neil:</t>
        </r>
        <r>
          <rPr>
            <sz val="8"/>
            <color indexed="81"/>
            <rFont val="Tahoma"/>
            <family val="2"/>
          </rPr>
          <t xml:space="preserve">
be sure to specify if you are using LTM or NTM multiples for your terminal value; it will impact which year you use and how many periods you need to discount the terminal value</t>
        </r>
      </text>
    </comment>
    <comment ref="E10" authorId="0" shapeId="0" xr:uid="{E15B63C0-9CDC-4387-8392-3BD130989AAD}">
      <text>
        <r>
          <rPr>
            <b/>
            <sz val="8"/>
            <color indexed="81"/>
            <rFont val="Tahoma"/>
            <family val="2"/>
          </rPr>
          <t>Bhalodkar, Neil:</t>
        </r>
        <r>
          <rPr>
            <sz val="8"/>
            <color indexed="81"/>
            <rFont val="Tahoma"/>
            <family val="2"/>
          </rPr>
          <t xml:space="preserve">
should be linked to model</t>
        </r>
      </text>
    </comment>
    <comment ref="C11" authorId="0" shapeId="0" xr:uid="{7FD88445-FB3F-4942-8B56-01AB40FA13C2}">
      <text>
        <r>
          <rPr>
            <b/>
            <sz val="8"/>
            <color indexed="81"/>
            <rFont val="Tahoma"/>
            <family val="2"/>
          </rPr>
          <t>Bhalodkar, Neil:</t>
        </r>
        <r>
          <rPr>
            <sz val="8"/>
            <color indexed="81"/>
            <rFont val="Tahoma"/>
            <family val="2"/>
          </rPr>
          <t xml:space="preserve">
7/31/17 taken from most recent earnings release.
Best practice is to take current shares outstanding from front cover of most recent 10Q and then add dilution using TSM from options.
You can build options table on this worksheet and link to that</t>
        </r>
      </text>
    </comment>
    <comment ref="C16" authorId="0" shapeId="0" xr:uid="{43AD88AD-33BF-4942-AD4D-F73DF735124C}">
      <text>
        <r>
          <rPr>
            <b/>
            <sz val="8"/>
            <color indexed="81"/>
            <rFont val="Tahoma"/>
            <family val="2"/>
          </rPr>
          <t>Bhalodkar, Neil:</t>
        </r>
        <r>
          <rPr>
            <sz val="8"/>
            <color indexed="81"/>
            <rFont val="Tahoma"/>
            <family val="2"/>
          </rPr>
          <t xml:space="preserve">
should use most recent balance sheet available; always annotate as of which qtr this is updated
ie. 7/31/17 balance sheet</t>
        </r>
      </text>
    </comment>
    <comment ref="E18" authorId="0" shapeId="0" xr:uid="{4F92BBD9-7A50-4155-BA30-C8058B83833B}">
      <text>
        <r>
          <rPr>
            <b/>
            <sz val="8"/>
            <color indexed="81"/>
            <rFont val="Tahoma"/>
            <family val="2"/>
          </rPr>
          <t>Bhalodkar, Neil:</t>
        </r>
        <r>
          <rPr>
            <sz val="8"/>
            <color indexed="81"/>
            <rFont val="Tahoma"/>
            <family val="2"/>
          </rPr>
          <t xml:space="preserve">
should be linked to model</t>
        </r>
      </text>
    </comment>
    <comment ref="E19" authorId="0" shapeId="0" xr:uid="{BF53AEF4-F433-48BE-BC5F-7CCBB6FA23E1}">
      <text>
        <r>
          <rPr>
            <b/>
            <sz val="8"/>
            <color indexed="81"/>
            <rFont val="Tahoma"/>
            <family val="2"/>
          </rPr>
          <t>Bhalodkar, Neil:</t>
        </r>
        <r>
          <rPr>
            <sz val="8"/>
            <color indexed="81"/>
            <rFont val="Tahoma"/>
            <family val="2"/>
          </rPr>
          <t xml:space="preserve">
should be linked to model</t>
        </r>
      </text>
    </comment>
    <comment ref="C20" authorId="1" shapeId="0" xr:uid="{8B856978-135C-4330-9211-255098669698}">
      <text>
        <r>
          <rPr>
            <b/>
            <sz val="9"/>
            <color indexed="81"/>
            <rFont val="Tahoma"/>
            <family val="2"/>
          </rPr>
          <t>Mariani, Zach:</t>
        </r>
        <r>
          <rPr>
            <sz val="9"/>
            <color indexed="81"/>
            <rFont val="Tahoma"/>
            <family val="2"/>
          </rPr>
          <t xml:space="preserve">
</t>
        </r>
      </text>
    </comment>
    <comment ref="E20" authorId="0" shapeId="0" xr:uid="{9E9C942B-FD52-4575-9DA0-97F83259DE1F}">
      <text>
        <r>
          <rPr>
            <b/>
            <sz val="8"/>
            <color indexed="81"/>
            <rFont val="Tahoma"/>
            <family val="2"/>
          </rPr>
          <t>Bhalodkar, Neil:</t>
        </r>
        <r>
          <rPr>
            <sz val="8"/>
            <color indexed="81"/>
            <rFont val="Tahoma"/>
            <family val="2"/>
          </rPr>
          <t xml:space="preserve">
should be linked to model</t>
        </r>
      </text>
    </comment>
    <comment ref="C24" authorId="1" shapeId="0" xr:uid="{89E042E4-970B-46BB-8AF3-FBC6CE6F2312}">
      <text>
        <r>
          <rPr>
            <b/>
            <sz val="9"/>
            <color indexed="81"/>
            <rFont val="Tahoma"/>
            <family val="2"/>
          </rPr>
          <t>Mariani, Zach:</t>
        </r>
        <r>
          <rPr>
            <sz val="9"/>
            <color indexed="81"/>
            <rFont val="Tahoma"/>
            <family val="2"/>
          </rPr>
          <t xml:space="preserve">
using India risk free rate!!!</t>
        </r>
      </text>
    </comment>
    <comment ref="C25" authorId="2" shapeId="0" xr:uid="{BD7E7DBD-3489-4489-B12A-D0FFD0199931}">
      <text>
        <r>
          <rPr>
            <sz val="8"/>
            <color indexed="81"/>
            <rFont val="Tahoma"/>
            <family val="2"/>
          </rPr>
          <t xml:space="preserve">
http://pages.stern.nyu.edu/~adamodar/</t>
        </r>
      </text>
    </comment>
    <comment ref="C26" authorId="0" shapeId="0" xr:uid="{84193344-4F6A-4060-931A-C120C055C612}">
      <text>
        <r>
          <rPr>
            <b/>
            <sz val="8"/>
            <color indexed="81"/>
            <rFont val="Tahoma"/>
            <family val="2"/>
          </rPr>
          <t>Bhalodkar, Neil:</t>
        </r>
        <r>
          <rPr>
            <sz val="8"/>
            <color indexed="81"/>
            <rFont val="Tahoma"/>
            <family val="2"/>
          </rPr>
          <t xml:space="preserve">
=BDP("CPB US EQUITY", "BETA_RAW_OVERRIDABLE")</t>
        </r>
      </text>
    </comment>
    <comment ref="C30" authorId="0" shapeId="0" xr:uid="{5158B9F9-9F4E-48E0-B263-2C95F4DC6A24}">
      <text>
        <r>
          <rPr>
            <b/>
            <sz val="8"/>
            <color indexed="81"/>
            <rFont val="Tahoma"/>
            <family val="2"/>
          </rPr>
          <t>Bhalodkar, Neil:</t>
        </r>
        <r>
          <rPr>
            <sz val="8"/>
            <color indexed="81"/>
            <rFont val="Tahoma"/>
            <family val="2"/>
          </rPr>
          <t xml:space="preserve">
from Bloomberg CAST function; can also do once you build out debt schedule with disclosures from Notes of 10K or 10Q</t>
        </r>
      </text>
    </comment>
    <comment ref="G33" authorId="0" shapeId="0" xr:uid="{4CF18A39-B7C2-43B9-A73B-BF2B7A7EA1D2}">
      <text>
        <r>
          <rPr>
            <b/>
            <sz val="8"/>
            <color indexed="81"/>
            <rFont val="Tahoma"/>
            <family val="2"/>
          </rPr>
          <t>Bhalodkar, Neil:</t>
        </r>
        <r>
          <rPr>
            <sz val="8"/>
            <color indexed="81"/>
            <rFont val="Tahoma"/>
            <family val="2"/>
          </rPr>
          <t xml:space="preserve">
should use most recent balance sheet available; always annotate as of which qtr this is updated
ie. 7/31/17 balance sheet</t>
        </r>
      </text>
    </comment>
    <comment ref="K33" authorId="0" shapeId="0" xr:uid="{52CEE0AA-05E4-49CA-AF22-F5794A4BAC89}">
      <text>
        <r>
          <rPr>
            <b/>
            <sz val="8"/>
            <color indexed="81"/>
            <rFont val="Tahoma"/>
            <family val="2"/>
          </rPr>
          <t>Bhalodkar, Neil:</t>
        </r>
        <r>
          <rPr>
            <sz val="8"/>
            <color indexed="81"/>
            <rFont val="Tahoma"/>
            <family val="2"/>
          </rPr>
          <t xml:space="preserve">
should use most recent balance sheet available; always annotate as of which qtr this is updated
ie. 7/31/17 balance sheet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Bhalodkar, Neil</author>
    <author>Mariani, Zach</author>
    <author>John Esposito</author>
  </authors>
  <commentList>
    <comment ref="E7" authorId="0" shapeId="0" xr:uid="{A723D504-B5EA-4548-B348-8B2A37937D41}">
      <text>
        <r>
          <rPr>
            <b/>
            <sz val="8"/>
            <color indexed="81"/>
            <rFont val="Tahoma"/>
            <family val="2"/>
          </rPr>
          <t>Bhalodkar, Neil:</t>
        </r>
        <r>
          <rPr>
            <sz val="8"/>
            <color indexed="81"/>
            <rFont val="Tahoma"/>
            <family val="2"/>
          </rPr>
          <t xml:space="preserve">
should be linked to model</t>
        </r>
      </text>
    </comment>
    <comment ref="B8" authorId="0" shapeId="0" xr:uid="{AFF075A6-C62B-4BFB-A9A4-D9487367C34A}">
      <text>
        <r>
          <rPr>
            <b/>
            <sz val="8"/>
            <color indexed="81"/>
            <rFont val="Tahoma"/>
            <family val="2"/>
          </rPr>
          <t>Bhalodkar, Neil:</t>
        </r>
        <r>
          <rPr>
            <sz val="8"/>
            <color indexed="81"/>
            <rFont val="Tahoma"/>
            <family val="2"/>
          </rPr>
          <t xml:space="preserve">
be sure to specify if you are using LTM or NTM multiples for your terminal value; it will impact which year you use and how many periods you need to discount the terminal value</t>
        </r>
      </text>
    </comment>
    <comment ref="E10" authorId="0" shapeId="0" xr:uid="{5593CB8A-2CAB-4868-81EF-2A46FE9F05D6}">
      <text>
        <r>
          <rPr>
            <b/>
            <sz val="8"/>
            <color indexed="81"/>
            <rFont val="Tahoma"/>
            <family val="2"/>
          </rPr>
          <t>Bhalodkar, Neil:</t>
        </r>
        <r>
          <rPr>
            <sz val="8"/>
            <color indexed="81"/>
            <rFont val="Tahoma"/>
            <family val="2"/>
          </rPr>
          <t xml:space="preserve">
should be linked to model</t>
        </r>
      </text>
    </comment>
    <comment ref="C11" authorId="0" shapeId="0" xr:uid="{EA182D58-4909-44DD-9CB1-345762389A28}">
      <text>
        <r>
          <rPr>
            <b/>
            <sz val="8"/>
            <color indexed="81"/>
            <rFont val="Tahoma"/>
            <family val="2"/>
          </rPr>
          <t>Bhalodkar, Neil:</t>
        </r>
        <r>
          <rPr>
            <sz val="8"/>
            <color indexed="81"/>
            <rFont val="Tahoma"/>
            <family val="2"/>
          </rPr>
          <t xml:space="preserve">
7/31/17 taken from most recent earnings release.
Best practice is to take current shares outstanding from front cover of most recent 10Q and then add dilution using TSM from options.
You can build options table on this worksheet and link to that</t>
        </r>
      </text>
    </comment>
    <comment ref="C16" authorId="0" shapeId="0" xr:uid="{63FCD211-4732-40E9-8243-AFDA3993AC71}">
      <text>
        <r>
          <rPr>
            <b/>
            <sz val="8"/>
            <color indexed="81"/>
            <rFont val="Tahoma"/>
            <family val="2"/>
          </rPr>
          <t>Bhalodkar, Neil:</t>
        </r>
        <r>
          <rPr>
            <sz val="8"/>
            <color indexed="81"/>
            <rFont val="Tahoma"/>
            <family val="2"/>
          </rPr>
          <t xml:space="preserve">
should use most recent balance sheet available; always annotate as of which qtr this is updated
ie. 7/31/17 balance sheet</t>
        </r>
      </text>
    </comment>
    <comment ref="E18" authorId="0" shapeId="0" xr:uid="{575FF0F6-6818-4521-AEB4-99DA8E4D6E6D}">
      <text>
        <r>
          <rPr>
            <b/>
            <sz val="8"/>
            <color indexed="81"/>
            <rFont val="Tahoma"/>
            <family val="2"/>
          </rPr>
          <t>Bhalodkar, Neil:</t>
        </r>
        <r>
          <rPr>
            <sz val="8"/>
            <color indexed="81"/>
            <rFont val="Tahoma"/>
            <family val="2"/>
          </rPr>
          <t xml:space="preserve">
should be linked to model</t>
        </r>
      </text>
    </comment>
    <comment ref="E19" authorId="0" shapeId="0" xr:uid="{50972B21-8B8A-4273-A1C9-37FDAC5F65D8}">
      <text>
        <r>
          <rPr>
            <b/>
            <sz val="8"/>
            <color indexed="81"/>
            <rFont val="Tahoma"/>
            <family val="2"/>
          </rPr>
          <t>Bhalodkar, Neil:</t>
        </r>
        <r>
          <rPr>
            <sz val="8"/>
            <color indexed="81"/>
            <rFont val="Tahoma"/>
            <family val="2"/>
          </rPr>
          <t xml:space="preserve">
should be linked to model</t>
        </r>
      </text>
    </comment>
    <comment ref="C20" authorId="1" shapeId="0" xr:uid="{9F0AA2CC-C457-4B46-8498-E4A6885B3166}">
      <text>
        <r>
          <rPr>
            <b/>
            <sz val="9"/>
            <color indexed="81"/>
            <rFont val="Tahoma"/>
            <family val="2"/>
          </rPr>
          <t>Mariani, Zach:</t>
        </r>
        <r>
          <rPr>
            <sz val="9"/>
            <color indexed="81"/>
            <rFont val="Tahoma"/>
            <family val="2"/>
          </rPr>
          <t xml:space="preserve">
</t>
        </r>
      </text>
    </comment>
    <comment ref="E20" authorId="0" shapeId="0" xr:uid="{41F5452A-2B54-4AA5-8B71-107F2A07B504}">
      <text>
        <r>
          <rPr>
            <b/>
            <sz val="8"/>
            <color indexed="81"/>
            <rFont val="Tahoma"/>
            <family val="2"/>
          </rPr>
          <t>Bhalodkar, Neil:</t>
        </r>
        <r>
          <rPr>
            <sz val="8"/>
            <color indexed="81"/>
            <rFont val="Tahoma"/>
            <family val="2"/>
          </rPr>
          <t xml:space="preserve">
should be linked to model</t>
        </r>
      </text>
    </comment>
    <comment ref="C24" authorId="1" shapeId="0" xr:uid="{D01110A8-6D30-46ED-BA23-C764A523E6E5}">
      <text>
        <r>
          <rPr>
            <b/>
            <sz val="9"/>
            <color indexed="81"/>
            <rFont val="Tahoma"/>
            <family val="2"/>
          </rPr>
          <t>Mariani, Zach:</t>
        </r>
        <r>
          <rPr>
            <sz val="9"/>
            <color indexed="81"/>
            <rFont val="Tahoma"/>
            <family val="2"/>
          </rPr>
          <t xml:space="preserve">
using India risk free rate!!!</t>
        </r>
      </text>
    </comment>
    <comment ref="C25" authorId="2" shapeId="0" xr:uid="{D516CF5B-A1A6-4EAA-8B8E-05F026371738}">
      <text>
        <r>
          <rPr>
            <sz val="8"/>
            <color indexed="81"/>
            <rFont val="Tahoma"/>
            <family val="2"/>
          </rPr>
          <t xml:space="preserve">
http://pages.stern.nyu.edu/~adamodar/</t>
        </r>
      </text>
    </comment>
    <comment ref="C26" authorId="0" shapeId="0" xr:uid="{20497468-0F97-4F7B-9F29-56941521ADB9}">
      <text>
        <r>
          <rPr>
            <b/>
            <sz val="8"/>
            <color indexed="81"/>
            <rFont val="Tahoma"/>
            <family val="2"/>
          </rPr>
          <t>Bhalodkar, Neil:</t>
        </r>
        <r>
          <rPr>
            <sz val="8"/>
            <color indexed="81"/>
            <rFont val="Tahoma"/>
            <family val="2"/>
          </rPr>
          <t xml:space="preserve">
=BDP("CPB US EQUITY", "BETA_RAW_OVERRIDABLE")</t>
        </r>
      </text>
    </comment>
    <comment ref="C30" authorId="0" shapeId="0" xr:uid="{7CF21991-B9D5-4204-BD6E-C2B5862F4412}">
      <text>
        <r>
          <rPr>
            <b/>
            <sz val="8"/>
            <color indexed="81"/>
            <rFont val="Tahoma"/>
            <family val="2"/>
          </rPr>
          <t>Bhalodkar, Neil:</t>
        </r>
        <r>
          <rPr>
            <sz val="8"/>
            <color indexed="81"/>
            <rFont val="Tahoma"/>
            <family val="2"/>
          </rPr>
          <t xml:space="preserve">
from Bloomberg CAST function; can also do once you build out debt schedule with disclosures from Notes of 10K or 10Q</t>
        </r>
      </text>
    </comment>
    <comment ref="G33" authorId="0" shapeId="0" xr:uid="{3D2C4E29-C493-4201-96A9-ED6B5EA62EC6}">
      <text>
        <r>
          <rPr>
            <b/>
            <sz val="8"/>
            <color indexed="81"/>
            <rFont val="Tahoma"/>
            <family val="2"/>
          </rPr>
          <t>Bhalodkar, Neil:</t>
        </r>
        <r>
          <rPr>
            <sz val="8"/>
            <color indexed="81"/>
            <rFont val="Tahoma"/>
            <family val="2"/>
          </rPr>
          <t xml:space="preserve">
should use most recent balance sheet available; always annotate as of which qtr this is updated
ie. 7/31/17 balance sheet</t>
        </r>
      </text>
    </comment>
    <comment ref="K33" authorId="0" shapeId="0" xr:uid="{01892273-5A27-49F0-B9D8-D2D2D2FFED48}">
      <text>
        <r>
          <rPr>
            <b/>
            <sz val="8"/>
            <color indexed="81"/>
            <rFont val="Tahoma"/>
            <family val="2"/>
          </rPr>
          <t>Bhalodkar, Neil:</t>
        </r>
        <r>
          <rPr>
            <sz val="8"/>
            <color indexed="81"/>
            <rFont val="Tahoma"/>
            <family val="2"/>
          </rPr>
          <t xml:space="preserve">
should use most recent balance sheet available; always annotate as of which qtr this is updated
ie. 7/31/17 balance sheet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Bhalodkar, Neil</author>
    <author>Mariani, Zach</author>
    <author>John Esposito</author>
  </authors>
  <commentList>
    <comment ref="E7" authorId="0" shapeId="0" xr:uid="{7E32EE9C-D90F-4A26-A2E4-7F5161D9A9FE}">
      <text>
        <r>
          <rPr>
            <b/>
            <sz val="8"/>
            <color indexed="81"/>
            <rFont val="Tahoma"/>
            <family val="2"/>
          </rPr>
          <t>Bhalodkar, Neil:</t>
        </r>
        <r>
          <rPr>
            <sz val="8"/>
            <color indexed="81"/>
            <rFont val="Tahoma"/>
            <family val="2"/>
          </rPr>
          <t xml:space="preserve">
should be linked to model</t>
        </r>
      </text>
    </comment>
    <comment ref="B8" authorId="0" shapeId="0" xr:uid="{A33EA1AD-8329-45A0-B39D-335CB64AF4F6}">
      <text>
        <r>
          <rPr>
            <b/>
            <sz val="8"/>
            <color indexed="81"/>
            <rFont val="Tahoma"/>
            <family val="2"/>
          </rPr>
          <t>Bhalodkar, Neil:</t>
        </r>
        <r>
          <rPr>
            <sz val="8"/>
            <color indexed="81"/>
            <rFont val="Tahoma"/>
            <family val="2"/>
          </rPr>
          <t xml:space="preserve">
be sure to specify if you are using LTM or NTM multiples for your terminal value; it will impact which year you use and how many periods you need to discount the terminal value</t>
        </r>
      </text>
    </comment>
    <comment ref="E10" authorId="0" shapeId="0" xr:uid="{F3D6C386-4A89-4B72-9449-9B5CB2CB958B}">
      <text>
        <r>
          <rPr>
            <b/>
            <sz val="8"/>
            <color indexed="81"/>
            <rFont val="Tahoma"/>
            <family val="2"/>
          </rPr>
          <t>Bhalodkar, Neil:</t>
        </r>
        <r>
          <rPr>
            <sz val="8"/>
            <color indexed="81"/>
            <rFont val="Tahoma"/>
            <family val="2"/>
          </rPr>
          <t xml:space="preserve">
should be linked to model</t>
        </r>
      </text>
    </comment>
    <comment ref="C11" authorId="0" shapeId="0" xr:uid="{C192824D-BA20-4065-9308-23CE37C0A551}">
      <text>
        <r>
          <rPr>
            <b/>
            <sz val="8"/>
            <color indexed="81"/>
            <rFont val="Tahoma"/>
            <family val="2"/>
          </rPr>
          <t xml:space="preserve">Zach MARIANI: 
</t>
        </r>
        <r>
          <rPr>
            <sz val="8"/>
            <color indexed="81"/>
            <rFont val="Tahoma"/>
            <family val="2"/>
          </rPr>
          <t>from BBG</t>
        </r>
      </text>
    </comment>
    <comment ref="C16" authorId="0" shapeId="0" xr:uid="{B216C9DD-1698-4C1F-8978-E908AC15C700}">
      <text>
        <r>
          <rPr>
            <b/>
            <sz val="8"/>
            <color indexed="81"/>
            <rFont val="Tahoma"/>
            <family val="2"/>
          </rPr>
          <t xml:space="preserve">Zach MARIANI: 
</t>
        </r>
        <r>
          <rPr>
            <sz val="8"/>
            <color indexed="81"/>
            <rFont val="Tahoma"/>
            <family val="2"/>
          </rPr>
          <t>From Model</t>
        </r>
      </text>
    </comment>
    <comment ref="E18" authorId="0" shapeId="0" xr:uid="{F6CFBD70-E9A4-428A-B442-F28FDA525C53}">
      <text>
        <r>
          <rPr>
            <b/>
            <sz val="8"/>
            <color indexed="81"/>
            <rFont val="Tahoma"/>
            <family val="2"/>
          </rPr>
          <t>Bhalodkar, Neil:</t>
        </r>
        <r>
          <rPr>
            <sz val="8"/>
            <color indexed="81"/>
            <rFont val="Tahoma"/>
            <family val="2"/>
          </rPr>
          <t xml:space="preserve">
should be linked to model</t>
        </r>
      </text>
    </comment>
    <comment ref="E19" authorId="0" shapeId="0" xr:uid="{DDBDCAD3-5F60-4082-B3BA-4E30DEB54652}">
      <text>
        <r>
          <rPr>
            <b/>
            <sz val="8"/>
            <color indexed="81"/>
            <rFont val="Tahoma"/>
            <family val="2"/>
          </rPr>
          <t>Bhalodkar, Neil:</t>
        </r>
        <r>
          <rPr>
            <sz val="8"/>
            <color indexed="81"/>
            <rFont val="Tahoma"/>
            <family val="2"/>
          </rPr>
          <t xml:space="preserve">
should be linked to model</t>
        </r>
      </text>
    </comment>
    <comment ref="C20" authorId="1" shapeId="0" xr:uid="{62E4B39D-7A0E-4DE1-8C72-91785A40985B}">
      <text/>
    </comment>
    <comment ref="E20" authorId="0" shapeId="0" xr:uid="{E1603EEA-14B5-4886-AF93-010897AF9533}">
      <text>
        <r>
          <rPr>
            <b/>
            <sz val="8"/>
            <color indexed="81"/>
            <rFont val="Tahoma"/>
            <family val="2"/>
          </rPr>
          <t>Bhalodkar, Neil:</t>
        </r>
        <r>
          <rPr>
            <sz val="8"/>
            <color indexed="81"/>
            <rFont val="Tahoma"/>
            <family val="2"/>
          </rPr>
          <t xml:space="preserve">
should be linked to model</t>
        </r>
      </text>
    </comment>
    <comment ref="C24" authorId="1" shapeId="0" xr:uid="{E8B34AD8-0854-4E1A-B1B0-8BD2D4A7647D}">
      <text>
        <r>
          <rPr>
            <b/>
            <sz val="9"/>
            <color indexed="81"/>
            <rFont val="Tahoma"/>
            <family val="2"/>
          </rPr>
          <t>Mariani, Zach:</t>
        </r>
        <r>
          <rPr>
            <sz val="9"/>
            <color indexed="81"/>
            <rFont val="Tahoma"/>
            <family val="2"/>
          </rPr>
          <t xml:space="preserve">
using India risk free rate!!!</t>
        </r>
      </text>
    </comment>
    <comment ref="C25" authorId="2" shapeId="0" xr:uid="{3A774D7D-0F3A-4C7B-ABDB-E8E7E67B1884}">
      <text>
        <r>
          <rPr>
            <sz val="8"/>
            <color indexed="81"/>
            <rFont val="Tahoma"/>
            <family val="2"/>
          </rPr>
          <t xml:space="preserve">
http://pages.stern.nyu.edu/~adamodar/</t>
        </r>
      </text>
    </comment>
    <comment ref="C26" authorId="0" shapeId="0" xr:uid="{28B0B1B8-9B02-4A0B-9676-BA40C0D1712D}">
      <text>
        <r>
          <rPr>
            <b/>
            <sz val="8"/>
            <color indexed="81"/>
            <rFont val="Tahoma"/>
            <family val="2"/>
          </rPr>
          <t>Bhalodkar, Neil:</t>
        </r>
        <r>
          <rPr>
            <sz val="8"/>
            <color indexed="81"/>
            <rFont val="Tahoma"/>
            <family val="2"/>
          </rPr>
          <t xml:space="preserve">
=BDP("CPB US EQUITY", "BETA_RAW_OVERRIDABLE")</t>
        </r>
      </text>
    </comment>
    <comment ref="C30" authorId="0" shapeId="0" xr:uid="{BD98DA2C-AA6E-415F-8B76-D19020ED5541}">
      <text>
        <r>
          <rPr>
            <b/>
            <sz val="8"/>
            <color indexed="81"/>
            <rFont val="Tahoma"/>
            <family val="2"/>
          </rPr>
          <t>Bhalodkar, Neil:</t>
        </r>
        <r>
          <rPr>
            <sz val="8"/>
            <color indexed="81"/>
            <rFont val="Tahoma"/>
            <family val="2"/>
          </rPr>
          <t xml:space="preserve">
from Bloomberg CAST function; can also do once you build out debt schedule with disclosures from Notes of 10K or 10Q</t>
        </r>
      </text>
    </comment>
    <comment ref="G33" authorId="0" shapeId="0" xr:uid="{A3C73F60-FDF8-426B-AE08-BC0646F6112A}">
      <text>
        <r>
          <rPr>
            <b/>
            <sz val="8"/>
            <color indexed="81"/>
            <rFont val="Tahoma"/>
            <family val="2"/>
          </rPr>
          <t>Bhalodkar, Neil:</t>
        </r>
        <r>
          <rPr>
            <sz val="8"/>
            <color indexed="81"/>
            <rFont val="Tahoma"/>
            <family val="2"/>
          </rPr>
          <t xml:space="preserve">
should use most recent balance sheet available; always annotate as of which qtr this is updated
ie. 7/31/17 balance sheet</t>
        </r>
      </text>
    </comment>
    <comment ref="K33" authorId="0" shapeId="0" xr:uid="{62D3CC52-0B79-42C1-82A0-6A8EBBA46103}">
      <text>
        <r>
          <rPr>
            <b/>
            <sz val="8"/>
            <color indexed="81"/>
            <rFont val="Tahoma"/>
            <family val="2"/>
          </rPr>
          <t>Bhalodkar, Neil:</t>
        </r>
        <r>
          <rPr>
            <sz val="8"/>
            <color indexed="81"/>
            <rFont val="Tahoma"/>
            <family val="2"/>
          </rPr>
          <t xml:space="preserve">
should use most recent balance sheet available; always annotate as of which qtr this is updated
ie. 7/31/17 balance sheet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Bhalodkar, Neil</author>
    <author>Mariani, Zach</author>
    <author>John Esposito</author>
  </authors>
  <commentList>
    <comment ref="E7" authorId="0" shapeId="0" xr:uid="{1E896106-002D-482B-8C08-4598DD08481E}">
      <text>
        <r>
          <rPr>
            <b/>
            <sz val="8"/>
            <color indexed="81"/>
            <rFont val="Tahoma"/>
            <family val="2"/>
          </rPr>
          <t>Bhalodkar, Neil:</t>
        </r>
        <r>
          <rPr>
            <sz val="8"/>
            <color indexed="81"/>
            <rFont val="Tahoma"/>
            <family val="2"/>
          </rPr>
          <t xml:space="preserve">
should be linked to model</t>
        </r>
      </text>
    </comment>
    <comment ref="B8" authorId="0" shapeId="0" xr:uid="{9E9170EB-AC9E-409E-A51A-25D0727E79C2}">
      <text>
        <r>
          <rPr>
            <b/>
            <sz val="8"/>
            <color indexed="81"/>
            <rFont val="Tahoma"/>
            <family val="2"/>
          </rPr>
          <t>Bhalodkar, Neil:</t>
        </r>
        <r>
          <rPr>
            <sz val="8"/>
            <color indexed="81"/>
            <rFont val="Tahoma"/>
            <family val="2"/>
          </rPr>
          <t xml:space="preserve">
be sure to specify if you are using LTM or NTM multiples for your terminal value; it will impact which year you use and how many periods you need to discount the terminal value</t>
        </r>
      </text>
    </comment>
    <comment ref="E10" authorId="0" shapeId="0" xr:uid="{E8BF82F5-5EFB-4501-BB9F-CEFAF060A856}">
      <text>
        <r>
          <rPr>
            <b/>
            <sz val="8"/>
            <color indexed="81"/>
            <rFont val="Tahoma"/>
            <family val="2"/>
          </rPr>
          <t>Bhalodkar, Neil:</t>
        </r>
        <r>
          <rPr>
            <sz val="8"/>
            <color indexed="81"/>
            <rFont val="Tahoma"/>
            <family val="2"/>
          </rPr>
          <t xml:space="preserve">
should be linked to model</t>
        </r>
      </text>
    </comment>
    <comment ref="C11" authorId="0" shapeId="0" xr:uid="{D5225CEC-548E-4217-9A1A-A175D64CFF5F}">
      <text>
        <r>
          <rPr>
            <b/>
            <sz val="8"/>
            <color indexed="81"/>
            <rFont val="Tahoma"/>
            <family val="2"/>
          </rPr>
          <t xml:space="preserve">Zach MARIANI: 
</t>
        </r>
        <r>
          <rPr>
            <sz val="8"/>
            <color indexed="81"/>
            <rFont val="Tahoma"/>
            <family val="2"/>
          </rPr>
          <t>from BBG</t>
        </r>
      </text>
    </comment>
    <comment ref="C16" authorId="0" shapeId="0" xr:uid="{8B6C90A2-A7A5-4A84-8C7C-A2D064C11AAD}">
      <text>
        <r>
          <rPr>
            <b/>
            <sz val="8"/>
            <color indexed="81"/>
            <rFont val="Tahoma"/>
            <family val="2"/>
          </rPr>
          <t xml:space="preserve">Zach MARIANI: 
</t>
        </r>
        <r>
          <rPr>
            <sz val="8"/>
            <color indexed="81"/>
            <rFont val="Tahoma"/>
            <family val="2"/>
          </rPr>
          <t>From Model</t>
        </r>
      </text>
    </comment>
    <comment ref="E18" authorId="0" shapeId="0" xr:uid="{30CE270B-7A14-417C-A4A4-6B98CE12FC1A}">
      <text>
        <r>
          <rPr>
            <b/>
            <sz val="8"/>
            <color indexed="81"/>
            <rFont val="Tahoma"/>
            <family val="2"/>
          </rPr>
          <t>Bhalodkar, Neil:</t>
        </r>
        <r>
          <rPr>
            <sz val="8"/>
            <color indexed="81"/>
            <rFont val="Tahoma"/>
            <family val="2"/>
          </rPr>
          <t xml:space="preserve">
should be linked to model</t>
        </r>
      </text>
    </comment>
    <comment ref="E19" authorId="0" shapeId="0" xr:uid="{82BB7C34-7959-45A4-8F81-3F116AA58531}">
      <text>
        <r>
          <rPr>
            <b/>
            <sz val="8"/>
            <color indexed="81"/>
            <rFont val="Tahoma"/>
            <family val="2"/>
          </rPr>
          <t>Bhalodkar, Neil:</t>
        </r>
        <r>
          <rPr>
            <sz val="8"/>
            <color indexed="81"/>
            <rFont val="Tahoma"/>
            <family val="2"/>
          </rPr>
          <t xml:space="preserve">
should be linked to model</t>
        </r>
      </text>
    </comment>
    <comment ref="C20" authorId="1" shapeId="0" xr:uid="{F1E3E98D-E24E-4061-95B6-66C9EB3CE05A}">
      <text/>
    </comment>
    <comment ref="E20" authorId="0" shapeId="0" xr:uid="{C3B825EB-423E-4063-A979-22E50DC37A7F}">
      <text>
        <r>
          <rPr>
            <b/>
            <sz val="8"/>
            <color indexed="81"/>
            <rFont val="Tahoma"/>
            <family val="2"/>
          </rPr>
          <t>Bhalodkar, Neil:</t>
        </r>
        <r>
          <rPr>
            <sz val="8"/>
            <color indexed="81"/>
            <rFont val="Tahoma"/>
            <family val="2"/>
          </rPr>
          <t xml:space="preserve">
should be linked to model</t>
        </r>
      </text>
    </comment>
    <comment ref="C24" authorId="1" shapeId="0" xr:uid="{9F39A49D-72B8-4F54-B58A-F57B51EDC2B6}">
      <text>
        <r>
          <rPr>
            <b/>
            <sz val="9"/>
            <color indexed="81"/>
            <rFont val="Tahoma"/>
            <family val="2"/>
          </rPr>
          <t>Mariani, Zach:</t>
        </r>
        <r>
          <rPr>
            <sz val="9"/>
            <color indexed="81"/>
            <rFont val="Tahoma"/>
            <family val="2"/>
          </rPr>
          <t xml:space="preserve">
using India risk free rate!!!</t>
        </r>
      </text>
    </comment>
    <comment ref="C25" authorId="2" shapeId="0" xr:uid="{CD72D761-0327-41E6-A93F-76470641ED59}">
      <text>
        <r>
          <rPr>
            <sz val="8"/>
            <color indexed="81"/>
            <rFont val="Tahoma"/>
            <family val="2"/>
          </rPr>
          <t xml:space="preserve">
http://pages.stern.nyu.edu/~adamodar/</t>
        </r>
      </text>
    </comment>
    <comment ref="C26" authorId="0" shapeId="0" xr:uid="{4E159FB4-90F3-4058-8A16-72544561E19C}">
      <text>
        <r>
          <rPr>
            <b/>
            <sz val="8"/>
            <color indexed="81"/>
            <rFont val="Tahoma"/>
            <family val="2"/>
          </rPr>
          <t>Bhalodkar, Neil:</t>
        </r>
        <r>
          <rPr>
            <sz val="8"/>
            <color indexed="81"/>
            <rFont val="Tahoma"/>
            <family val="2"/>
          </rPr>
          <t xml:space="preserve">
=BDP("CPB US EQUITY", "BETA_RAW_OVERRIDABLE")</t>
        </r>
      </text>
    </comment>
    <comment ref="C30" authorId="0" shapeId="0" xr:uid="{4E972FC7-17CA-4477-8766-BF721DF6B563}">
      <text>
        <r>
          <rPr>
            <b/>
            <sz val="8"/>
            <color indexed="81"/>
            <rFont val="Tahoma"/>
            <family val="2"/>
          </rPr>
          <t>Bhalodkar, Neil:</t>
        </r>
        <r>
          <rPr>
            <sz val="8"/>
            <color indexed="81"/>
            <rFont val="Tahoma"/>
            <family val="2"/>
          </rPr>
          <t xml:space="preserve">
from Bloomberg CAST function; can also do once you build out debt schedule with disclosures from Notes of 10K or 10Q</t>
        </r>
      </text>
    </comment>
    <comment ref="G33" authorId="0" shapeId="0" xr:uid="{D26F722A-A15C-4F8E-94FE-BC6E72F42CCF}">
      <text>
        <r>
          <rPr>
            <b/>
            <sz val="8"/>
            <color indexed="81"/>
            <rFont val="Tahoma"/>
            <family val="2"/>
          </rPr>
          <t>Bhalodkar, Neil:</t>
        </r>
        <r>
          <rPr>
            <sz val="8"/>
            <color indexed="81"/>
            <rFont val="Tahoma"/>
            <family val="2"/>
          </rPr>
          <t xml:space="preserve">
should use most recent balance sheet available; always annotate as of which qtr this is updated
ie. 7/31/17 balance sheet</t>
        </r>
      </text>
    </comment>
    <comment ref="K33" authorId="0" shapeId="0" xr:uid="{BCF89D7B-9D16-4F52-BA14-9C30440AABB1}">
      <text>
        <r>
          <rPr>
            <b/>
            <sz val="8"/>
            <color indexed="81"/>
            <rFont val="Tahoma"/>
            <family val="2"/>
          </rPr>
          <t>Bhalodkar, Neil:</t>
        </r>
        <r>
          <rPr>
            <sz val="8"/>
            <color indexed="81"/>
            <rFont val="Tahoma"/>
            <family val="2"/>
          </rPr>
          <t xml:space="preserve">
should use most recent balance sheet available; always annotate as of which qtr this is updated
ie. 7/31/17 balance sheet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Suh, James</author>
  </authors>
  <commentList>
    <comment ref="D6" authorId="0" shapeId="0" xr:uid="{C3BAAD16-BE52-4C89-B138-8DCE3BD3F446}">
      <text>
        <r>
          <rPr>
            <sz val="8"/>
            <color indexed="81"/>
            <rFont val="Tahoma"/>
            <family val="2"/>
          </rPr>
          <t xml:space="preserve">Contact us if you'd like to see your team's custom scale as dropdown options.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<sst xmlns="http://schemas.openxmlformats.org/spreadsheetml/2006/main" count="1518" uniqueCount="844">
  <si>
    <t>Period Type</t>
  </si>
  <si>
    <t xml:space="preserve">Year </t>
  </si>
  <si>
    <t>VA Label</t>
  </si>
  <si>
    <t>Period Ending</t>
  </si>
  <si>
    <t xml:space="preserve">Report Date </t>
  </si>
  <si>
    <t xml:space="preserve">Company: </t>
  </si>
  <si>
    <t>Stock price (USD)</t>
  </si>
  <si>
    <t xml:space="preserve">Text Ticker: </t>
  </si>
  <si>
    <t xml:space="preserve">Target </t>
  </si>
  <si>
    <t xml:space="preserve">% Up/Down </t>
  </si>
  <si>
    <t>Probability</t>
  </si>
  <si>
    <t xml:space="preserve">US Ticker: </t>
  </si>
  <si>
    <t>Shares outstanding</t>
  </si>
  <si>
    <t xml:space="preserve">Base: </t>
  </si>
  <si>
    <t xml:space="preserve">BBG Ticker: </t>
  </si>
  <si>
    <t xml:space="preserve">Bull: </t>
  </si>
  <si>
    <t>Analyst Name:</t>
  </si>
  <si>
    <t>Zach Mariani</t>
  </si>
  <si>
    <t>Bear:</t>
  </si>
  <si>
    <t xml:space="preserve">Current Price </t>
  </si>
  <si>
    <t xml:space="preserve">Prob-Weighted Target </t>
  </si>
  <si>
    <t>% Up/Down</t>
  </si>
  <si>
    <t>R/R</t>
  </si>
  <si>
    <t xml:space="preserve">Print Date: </t>
  </si>
  <si>
    <t>Days Until Next Print</t>
  </si>
  <si>
    <t xml:space="preserve">Fiscal Year End: </t>
  </si>
  <si>
    <t xml:space="preserve">Last Quarter Reported: </t>
  </si>
  <si>
    <t xml:space="preserve">Date of quarter reported: </t>
  </si>
  <si>
    <t>Variance Table</t>
  </si>
  <si>
    <t>Color Key</t>
  </si>
  <si>
    <t>Inputs</t>
  </si>
  <si>
    <t>###</t>
  </si>
  <si>
    <t>References from other tabs</t>
  </si>
  <si>
    <t>P72</t>
  </si>
  <si>
    <t>Assumptions</t>
  </si>
  <si>
    <t>Street</t>
  </si>
  <si>
    <t>Bloomberg pulls</t>
  </si>
  <si>
    <t>∆ Consensus (%)</t>
  </si>
  <si>
    <t>Formula</t>
  </si>
  <si>
    <t>Mgmt. Guide</t>
  </si>
  <si>
    <t xml:space="preserve">Check </t>
  </si>
  <si>
    <r>
      <t>in italics (</t>
    </r>
    <r>
      <rPr>
        <i/>
        <sz val="11"/>
        <color theme="1"/>
        <rFont val="Calibri"/>
        <family val="2"/>
        <scheme val="minor"/>
      </rPr>
      <t>x</t>
    </r>
    <r>
      <rPr>
        <sz val="11"/>
        <color theme="1"/>
        <rFont val="Calibri"/>
        <family val="2"/>
        <scheme val="minor"/>
      </rPr>
      <t>)</t>
    </r>
  </si>
  <si>
    <t>Future projections</t>
  </si>
  <si>
    <t>∆ Consensus (bps)</t>
  </si>
  <si>
    <t xml:space="preserve">Short Interest </t>
  </si>
  <si>
    <t>SI Percent Equity Float</t>
  </si>
  <si>
    <t>Short Int Ratio</t>
  </si>
  <si>
    <t>Equity Research Stats</t>
  </si>
  <si>
    <t xml:space="preserve"># of Analysts Who Cover </t>
  </si>
  <si>
    <t>Average Score</t>
  </si>
  <si>
    <t>4 week change</t>
  </si>
  <si>
    <t>6 month change</t>
  </si>
  <si>
    <t>Cash</t>
  </si>
  <si>
    <t>Taxes</t>
  </si>
  <si>
    <t>Cash Flow Statement</t>
  </si>
  <si>
    <t>Diluted</t>
  </si>
  <si>
    <t>Revenue</t>
  </si>
  <si>
    <t>D&amp;A</t>
  </si>
  <si>
    <t>EBIT</t>
  </si>
  <si>
    <t>Price</t>
  </si>
  <si>
    <t>BBG Label</t>
  </si>
  <si>
    <t>Balance Sheet Ratios</t>
  </si>
  <si>
    <t>CCC</t>
  </si>
  <si>
    <t>Check</t>
  </si>
  <si>
    <t>EBITDA</t>
  </si>
  <si>
    <t>% of</t>
  </si>
  <si>
    <t>Mkt</t>
  </si>
  <si>
    <t>Enterprise</t>
  </si>
  <si>
    <t>EV / NTM</t>
  </si>
  <si>
    <t>Delta vs Avg</t>
  </si>
  <si>
    <t>P / NTM</t>
  </si>
  <si>
    <t xml:space="preserve">EV/ NTM </t>
  </si>
  <si>
    <t>2021 - 2023 CAGR</t>
  </si>
  <si>
    <t>Margin</t>
  </si>
  <si>
    <t>52-week</t>
  </si>
  <si>
    <t>Common</t>
  </si>
  <si>
    <t>Preferred</t>
  </si>
  <si>
    <t>NTM</t>
  </si>
  <si>
    <t>Enterprise Value / NTM EBITDA</t>
  </si>
  <si>
    <t>Price / NTM EPS</t>
  </si>
  <si>
    <t>EPS</t>
  </si>
  <si>
    <t>Organic Net Sales</t>
  </si>
  <si>
    <t>Adj EBIT</t>
  </si>
  <si>
    <t>Adj EPS</t>
  </si>
  <si>
    <t>Company</t>
  </si>
  <si>
    <t>Ticker</t>
  </si>
  <si>
    <t>52wk Hi</t>
  </si>
  <si>
    <t>Cap</t>
  </si>
  <si>
    <t>Value</t>
  </si>
  <si>
    <t>1-yr</t>
  </si>
  <si>
    <t>2-yr</t>
  </si>
  <si>
    <t>Sales</t>
  </si>
  <si>
    <t>High</t>
  </si>
  <si>
    <t>Shares</t>
  </si>
  <si>
    <t>Debt</t>
  </si>
  <si>
    <t>&amp; Other</t>
  </si>
  <si>
    <t>1-yr Avg</t>
  </si>
  <si>
    <t>2-yr Avg</t>
  </si>
  <si>
    <t>5-yr Avg</t>
  </si>
  <si>
    <t>Close-Comps, Median</t>
  </si>
  <si>
    <t xml:space="preserve">Close-Comps, Mean </t>
  </si>
  <si>
    <t>Revenue ($)</t>
  </si>
  <si>
    <t>Revenue (YoY)</t>
  </si>
  <si>
    <t>Stub FCF Credit?</t>
  </si>
  <si>
    <t>FY ending</t>
  </si>
  <si>
    <t>Discounted Cash Flows</t>
  </si>
  <si>
    <t>Implied Share Price</t>
  </si>
  <si>
    <t>WACC</t>
  </si>
  <si>
    <t>Perpetuity Growth Rate</t>
  </si>
  <si>
    <t>Terminal Multiple (LTM)</t>
  </si>
  <si>
    <t>% yoy growth</t>
  </si>
  <si>
    <t>Terminal
Multiple</t>
  </si>
  <si>
    <t>Date</t>
  </si>
  <si>
    <t>Days in Fiscal Year</t>
  </si>
  <si>
    <t>Diluted Shares Outstanding</t>
  </si>
  <si>
    <t>% margin</t>
  </si>
  <si>
    <t>Today's Price</t>
  </si>
  <si>
    <t>% growth</t>
  </si>
  <si>
    <t>Market Value of Equity</t>
  </si>
  <si>
    <t>Market Value of Debt</t>
  </si>
  <si>
    <t>NOPAT</t>
  </si>
  <si>
    <t>Total Capitalization</t>
  </si>
  <si>
    <t>Perpetuity
Growth</t>
  </si>
  <si>
    <t>Cost of Equity</t>
  </si>
  <si>
    <t>Change in NWC</t>
  </si>
  <si>
    <t>Cost of Debt</t>
  </si>
  <si>
    <t>Tax Rate</t>
  </si>
  <si>
    <t>Capex</t>
  </si>
  <si>
    <t>FCF</t>
  </si>
  <si>
    <t>Period</t>
  </si>
  <si>
    <t>Discount Factor</t>
  </si>
  <si>
    <t>Risk-Free Rate</t>
  </si>
  <si>
    <t>PV of FCF</t>
  </si>
  <si>
    <t>Equity Risk Premium</t>
  </si>
  <si>
    <t>NB: rows are WACC use C21</t>
  </si>
  <si>
    <t>Beta</t>
  </si>
  <si>
    <t>Terminal Multiple</t>
  </si>
  <si>
    <t>Perpetuity Growth</t>
  </si>
  <si>
    <t>Terminal Value</t>
  </si>
  <si>
    <t>PV of Terminal Value</t>
  </si>
  <si>
    <t>PV of Free Cash Flow</t>
  </si>
  <si>
    <t>Pre-tax Cost of Debt</t>
  </si>
  <si>
    <t>Enterprise Value</t>
  </si>
  <si>
    <t>Less: Debt</t>
  </si>
  <si>
    <t>Less: Preferred / Other</t>
  </si>
  <si>
    <t>Plus: Cash</t>
  </si>
  <si>
    <t>Implied Equity Value</t>
  </si>
  <si>
    <t>FDSO</t>
  </si>
  <si>
    <t>Upside / (Downside)</t>
  </si>
  <si>
    <t>TV as % of Enterprise Value</t>
  </si>
  <si>
    <t>Implied Perpetuity Growth Rate</t>
  </si>
  <si>
    <t>Implied Terminal Multiple</t>
  </si>
  <si>
    <t>How to use this Template</t>
  </si>
  <si>
    <t>CORE Estimates Upload</t>
  </si>
  <si>
    <t xml:space="preserve">1. Link or Type the ticker in D6. </t>
  </si>
  <si>
    <t>2. Link to the Period End Dates in Row 9.</t>
  </si>
  <si>
    <t>3. Specify the Period Type in Row 10.</t>
  </si>
  <si>
    <t xml:space="preserve">4. Starting in C13, link to estimates from your model for the periods listed. </t>
  </si>
  <si>
    <t>Reporting Period</t>
  </si>
  <si>
    <t>5. Once all desired fields are linked, publish the template data from the CORE Add-In ribbon.</t>
  </si>
  <si>
    <t xml:space="preserve">*This template must always be inserted via the add-in ribbon. </t>
  </si>
  <si>
    <t>Model Data</t>
  </si>
  <si>
    <t>*Sections in this template cannot be renamed or removed.</t>
  </si>
  <si>
    <t>CORE Reference Data Upload</t>
  </si>
  <si>
    <t xml:space="preserve">1. Link or Type the ticker in D4. </t>
  </si>
  <si>
    <t>2. Enter your Rating in D6 (Optional).</t>
  </si>
  <si>
    <t>3. Enter your Price Targets in D10-D13 (Optional).</t>
  </si>
  <si>
    <t>Rating</t>
  </si>
  <si>
    <t>Commentary</t>
  </si>
  <si>
    <t>4. Enter your scenario Probabilities in E10-E13 (Optional).</t>
  </si>
  <si>
    <t>5. Starting from C15, enter your Reference Datapoint (ie: Mgmt Quality, Growth Trajectory, etc.) down the column.</t>
  </si>
  <si>
    <t>Price Scenarios</t>
  </si>
  <si>
    <t>6. Starting from D15, enter the corresponding value (ie: High, Stable, etc.) down the column.</t>
  </si>
  <si>
    <t>7. Once all reference data is filled out, publish the template data from the CORE Add-In ribbon.</t>
  </si>
  <si>
    <t>Reference Datapoint</t>
  </si>
  <si>
    <t>Thesis</t>
  </si>
  <si>
    <t>Variant View</t>
  </si>
  <si>
    <t>Risk / Reward</t>
  </si>
  <si>
    <t>Management Quality</t>
  </si>
  <si>
    <t>Bull</t>
  </si>
  <si>
    <t>Base</t>
  </si>
  <si>
    <t>Bear</t>
  </si>
  <si>
    <t>Quarterly</t>
  </si>
  <si>
    <t>Annual</t>
  </si>
  <si>
    <t>3QFY24</t>
  </si>
  <si>
    <t>4QFY24</t>
  </si>
  <si>
    <t>FY24</t>
  </si>
  <si>
    <t>1QFY25</t>
  </si>
  <si>
    <t>2QFY25</t>
  </si>
  <si>
    <t>3QFY25</t>
  </si>
  <si>
    <t>4QFY25</t>
  </si>
  <si>
    <t>FY25</t>
  </si>
  <si>
    <t xml:space="preserve">VA Ticker: </t>
  </si>
  <si>
    <t xml:space="preserve">Stock Close 1 Day Pre-Q </t>
  </si>
  <si>
    <t>Stock Close 1 Day Post-Q</t>
  </si>
  <si>
    <t>Estimate for Stock Performance on the Print</t>
  </si>
  <si>
    <t>DSO (AR/Rev)</t>
  </si>
  <si>
    <t>DIO (I/COGS)</t>
  </si>
  <si>
    <t>DPO (AP/COGS)</t>
  </si>
  <si>
    <t>Performance PoP</t>
  </si>
  <si>
    <t>Buy</t>
  </si>
  <si>
    <t>Other</t>
  </si>
  <si>
    <t>Other long-term liabilities</t>
  </si>
  <si>
    <t>Income Statement</t>
  </si>
  <si>
    <t>% Var from St</t>
  </si>
  <si>
    <t>y/y</t>
  </si>
  <si>
    <t>Driving Builds</t>
  </si>
  <si>
    <t>vs. '19</t>
  </si>
  <si>
    <t xml:space="preserve">y/y </t>
  </si>
  <si>
    <t>Other Expenses</t>
  </si>
  <si>
    <t>Total Operating Expenses</t>
  </si>
  <si>
    <t>Inventory</t>
  </si>
  <si>
    <t>Gross bookings</t>
  </si>
  <si>
    <t>Balance Sheet</t>
  </si>
  <si>
    <t>VA Pre-Q</t>
  </si>
  <si>
    <t>VA Cons/Actuals</t>
  </si>
  <si>
    <t>SURP</t>
  </si>
  <si>
    <t>Peer KPIs</t>
  </si>
  <si>
    <t>Booking</t>
  </si>
  <si>
    <t>Airline tickets sold</t>
  </si>
  <si>
    <t>Airline Gross Bookings</t>
  </si>
  <si>
    <t>Average daily room rate - Domestic - ADR</t>
  </si>
  <si>
    <t>Average daily room rate - International - ADR</t>
  </si>
  <si>
    <t>Hotel room nights sold</t>
  </si>
  <si>
    <t>Average daily room rate - ADR</t>
  </si>
  <si>
    <t>Avg ticket price</t>
  </si>
  <si>
    <t>BKNG_US</t>
  </si>
  <si>
    <t>India CPI</t>
  </si>
  <si>
    <t>INFUTOT Index</t>
  </si>
  <si>
    <t>India CPI Railway Fare</t>
  </si>
  <si>
    <t>India CPI Bus/Tram Fare</t>
  </si>
  <si>
    <t>India CPI Air Fare</t>
  </si>
  <si>
    <t>INCNAIR Index</t>
  </si>
  <si>
    <t>INCNRAIL Index</t>
  </si>
  <si>
    <t>INCNBUSF Index</t>
  </si>
  <si>
    <t>India CPI Hotel Lodging Charges</t>
  </si>
  <si>
    <t>INCNHOTE Index</t>
  </si>
  <si>
    <t>CNCPTOY Index</t>
  </si>
  <si>
    <t>AUCPHTAA Index</t>
  </si>
  <si>
    <t>Australia Holiday Travel and Accommodation</t>
  </si>
  <si>
    <t>India Foreign Tourist Arrivals</t>
  </si>
  <si>
    <t>INTATOT Index</t>
  </si>
  <si>
    <t>BBG Data</t>
  </si>
  <si>
    <t>CHTUTL Index</t>
  </si>
  <si>
    <t>China Tourist Departures</t>
  </si>
  <si>
    <t>Pakistan International Airlines, ASK</t>
  </si>
  <si>
    <t>Pakistan International Airlines, Passengers Carried</t>
  </si>
  <si>
    <t>PIALPAC Index</t>
  </si>
  <si>
    <t>PIALASK INDEX</t>
  </si>
  <si>
    <t>China Tourism CPI</t>
  </si>
  <si>
    <t>Chained '19 prices</t>
  </si>
  <si>
    <t xml:space="preserve">China Full Economy CPI </t>
  </si>
  <si>
    <t>INDIA</t>
  </si>
  <si>
    <t>CHINA</t>
  </si>
  <si>
    <t xml:space="preserve">PAKISTAN  </t>
  </si>
  <si>
    <t>CNCPIYOY Index</t>
  </si>
  <si>
    <t xml:space="preserve">Australia Full Economy CPI </t>
  </si>
  <si>
    <t>AUCPI Index</t>
  </si>
  <si>
    <t>Australia Tourist Arrivals</t>
  </si>
  <si>
    <t>AUTRNMTA Index</t>
  </si>
  <si>
    <t xml:space="preserve">THE WEST </t>
  </si>
  <si>
    <t>Total Tourist Arrivals at Hotels in France</t>
  </si>
  <si>
    <t>FRAHTAOM Index</t>
  </si>
  <si>
    <t>France Total Flight CPI (Domestic + Int'l)</t>
  </si>
  <si>
    <t>FCPIPSAT Index</t>
  </si>
  <si>
    <t>France Hotels, Motels, and Inns</t>
  </si>
  <si>
    <t>FRCP11J Index</t>
  </si>
  <si>
    <t>Spain, Number of Tourists Nights Stayed</t>
  </si>
  <si>
    <t>SPAPNT Index</t>
  </si>
  <si>
    <t>Spain Hotels and Restaurants</t>
  </si>
  <si>
    <t>SPIPC11 Index</t>
  </si>
  <si>
    <t>Total Tourist Arrivals in the US</t>
  </si>
  <si>
    <t>VISTTRUS Index</t>
  </si>
  <si>
    <t>CPSHLODG Index</t>
  </si>
  <si>
    <t>CPSTAIRF Index</t>
  </si>
  <si>
    <t>US Airfare CPI</t>
  </si>
  <si>
    <t>US Lodging Away from Home CPI</t>
  </si>
  <si>
    <t xml:space="preserve">AUSTRALIA  </t>
  </si>
  <si>
    <t>INFUFUL Index</t>
  </si>
  <si>
    <t xml:space="preserve">India CPI Fuels </t>
  </si>
  <si>
    <t>Balance Sheet &amp; Cash Flow Statement</t>
  </si>
  <si>
    <t>Accounts payable</t>
  </si>
  <si>
    <t>Expedia</t>
  </si>
  <si>
    <t>EXPE</t>
  </si>
  <si>
    <t>1QFY26</t>
  </si>
  <si>
    <t>2QFY26</t>
  </si>
  <si>
    <t>3QFY26</t>
  </si>
  <si>
    <t>4QFY26</t>
  </si>
  <si>
    <t>FY26</t>
  </si>
  <si>
    <t>Take Rate - Airlines</t>
  </si>
  <si>
    <t>Air revenue</t>
  </si>
  <si>
    <t>EV/EBITDA Multiple</t>
  </si>
  <si>
    <t>Net Debt</t>
  </si>
  <si>
    <t>Beauty Health Co</t>
  </si>
  <si>
    <t>SKIN</t>
  </si>
  <si>
    <t>SKIN US</t>
  </si>
  <si>
    <t>ASSETS</t>
  </si>
  <si>
    <t>Current assets:</t>
  </si>
  <si>
    <t>Cash and cash equivalents</t>
  </si>
  <si>
    <t>Accounts receivable, net of allowances for doubtful accounts of $2,482 and $2,681 at June 30, 2022 and December 31, 2021, respectively</t>
  </si>
  <si>
    <t>Prepaid expenses and other current assets</t>
  </si>
  <si>
    <t>Income tax receivable</t>
  </si>
  <si>
    <t>Inventories</t>
  </si>
  <si>
    <t>Total current assets</t>
  </si>
  <si>
    <t>Property and equipment, net</t>
  </si>
  <si>
    <t>Right-of-use assets, net</t>
  </si>
  <si>
    <t>Intangible assets, net</t>
  </si>
  <si>
    <t>Goodwill</t>
  </si>
  <si>
    <t>Deferred income tax assets, net</t>
  </si>
  <si>
    <t>Other assets</t>
  </si>
  <si>
    <t>Total assets</t>
  </si>
  <si>
    <t>LIABILITIES AND STOCKHOLDERS' EQUITY</t>
  </si>
  <si>
    <t>Current liabilities:</t>
  </si>
  <si>
    <t>Accrued payroll related expenses</t>
  </si>
  <si>
    <t>Syndeo Program reserves</t>
  </si>
  <si>
    <t>Other accrued expenses</t>
  </si>
  <si>
    <t>Lease liabilities, current</t>
  </si>
  <si>
    <t>Income tax payable</t>
  </si>
  <si>
    <t>Current portion of long-term debt due to related parties</t>
  </si>
  <si>
    <t>Total current liabilities</t>
  </si>
  <si>
    <t>Earn-out shares liability</t>
  </si>
  <si>
    <t>Lease liabilities, non-current</t>
  </si>
  <si>
    <t>Long-term debt due to related parties, net of current portion</t>
  </si>
  <si>
    <t>Deferred income tax liabilities, net</t>
  </si>
  <si>
    <t>Warrant liabilities</t>
  </si>
  <si>
    <t>Convertible senior notes, net</t>
  </si>
  <si>
    <t>Total liabilities</t>
  </si>
  <si>
    <t>Stockholders' equity:</t>
  </si>
  <si>
    <t>Class A Common Stock, $0.0001 par value; 320,000,000 shares authorized; 125,439,779 and 35,501,743 shares issued and outstanding at June 30, 2021 and December 31, 2020, respectively</t>
  </si>
  <si>
    <t>Preferred Stock, $0.0001 par value; 1,000,000 shares authorized; no shares issued and outstanding at June 30, 2021 and December 31, 2020</t>
  </si>
  <si>
    <t>Additional paid-in capital</t>
  </si>
  <si>
    <t>Note receivable from stockholder</t>
  </si>
  <si>
    <t>Accumulated other comprehensive loss</t>
  </si>
  <si>
    <t>Accumulated deficit</t>
  </si>
  <si>
    <t>Total stockholders' equity</t>
  </si>
  <si>
    <t>Cash flows from operating activities:</t>
  </si>
  <si>
    <t>Net income (loss)</t>
  </si>
  <si>
    <t>Adjustments to reconcile net loss to net cash from operating</t>
  </si>
  <si>
    <t>Depreciation of property and equipment</t>
  </si>
  <si>
    <t>Amortization of capitalized software</t>
  </si>
  <si>
    <t>Provision for doubtful accounts</t>
  </si>
  <si>
    <t>Non-cash lease expense</t>
  </si>
  <si>
    <t>Amortization of right-of-use assets</t>
  </si>
  <si>
    <t>Amortization of intangible assets</t>
  </si>
  <si>
    <t>Amortization of other assets</t>
  </si>
  <si>
    <t>Amortization of deferred financing costs</t>
  </si>
  <si>
    <t>Stock-based compensation</t>
  </si>
  <si>
    <t>Amortization of unfavorable lease terms</t>
  </si>
  <si>
    <t>Write-off of unfavorable lease</t>
  </si>
  <si>
    <t>Gain/Loss on sale and disposal of assets</t>
  </si>
  <si>
    <t>In-kind interest</t>
  </si>
  <si>
    <t>Deferred income tax benefit</t>
  </si>
  <si>
    <t>Change in fair value of earn-out shares liability</t>
  </si>
  <si>
    <t>Change in fair value adjustment of warrant liabilities</t>
  </si>
  <si>
    <t>Amortization of debt issuance costs</t>
  </si>
  <si>
    <t>Debt prepayment expense</t>
  </si>
  <si>
    <t>Foreign currency transactions</t>
  </si>
  <si>
    <t>Changes in operating assets and liabilities:</t>
  </si>
  <si>
    <t>Accounts receivables</t>
  </si>
  <si>
    <t>Prepaid expense and other current assets</t>
  </si>
  <si>
    <t>Income taxes receivable</t>
  </si>
  <si>
    <t>Accrued payroll and other expenses</t>
  </si>
  <si>
    <t>Lease liabilities</t>
  </si>
  <si>
    <t>Income taxes payable</t>
  </si>
  <si>
    <t>Net cash used in operating activities</t>
  </si>
  <si>
    <t>Cash flows used in investing activities:</t>
  </si>
  <si>
    <t>Cash paid for business acquisition, net of cash acquired</t>
  </si>
  <si>
    <t>Cash paid for asset acquisition</t>
  </si>
  <si>
    <t>Repayment of notes receivables from shareholders</t>
  </si>
  <si>
    <t>Capital expenditures for intangible assets</t>
  </si>
  <si>
    <t>Capital expenditures for property and equipment</t>
  </si>
  <si>
    <t>Net cash used in investing activities</t>
  </si>
  <si>
    <t>Cash flows from financing activities:</t>
  </si>
  <si>
    <t>Proceeds from issuance of convertible senior notes</t>
  </si>
  <si>
    <t>Purchase of capped calls related to convertible senior notes</t>
  </si>
  <si>
    <t>Payment of contingent consideration from acquisition of business</t>
  </si>
  <si>
    <t>Payment of contingent consideration related to acquisitions</t>
  </si>
  <si>
    <t>Proceeds from revolving facility</t>
  </si>
  <si>
    <t>Repayment of revolving facility</t>
  </si>
  <si>
    <t>Proceeds from term loan</t>
  </si>
  <si>
    <t>Payment of debt issuance costs</t>
  </si>
  <si>
    <t>Repayment of term loan</t>
  </si>
  <si>
    <t>Payments for transaction costs</t>
  </si>
  <si>
    <t>Net cash from financing activities</t>
  </si>
  <si>
    <t>Proceeds from Business Combination, net of transaction costs (See Note 3)</t>
  </si>
  <si>
    <t>Deferred payment for acquisition</t>
  </si>
  <si>
    <t>Net increase in cash and cash equivalents</t>
  </si>
  <si>
    <t>Effect of foreign currency translation on cash</t>
  </si>
  <si>
    <t>Cash and cash equivalents, beginning of period</t>
  </si>
  <si>
    <t>Cash and cash equivalents, end of period</t>
  </si>
  <si>
    <t>Supplemental disclosures of cash flow information and non-cash investing and financing activities:</t>
  </si>
  <si>
    <t>Cash paid for interest</t>
  </si>
  <si>
    <t>Cash paid for income taxes</t>
  </si>
  <si>
    <t>Capital expenditures included in accounts payable</t>
  </si>
  <si>
    <t>Change in deferred tax liability due to reverse recapitalization</t>
  </si>
  <si>
    <t>Cum. Cash Flow Statement</t>
  </si>
  <si>
    <t>Total Amortization</t>
  </si>
  <si>
    <t>Syndeo inventory write-down</t>
  </si>
  <si>
    <t xml:space="preserve">Other, Net </t>
  </si>
  <si>
    <t>Other, Net</t>
  </si>
  <si>
    <t>Tax on SBC</t>
  </si>
  <si>
    <t>Net Sales</t>
  </si>
  <si>
    <t>COGS</t>
  </si>
  <si>
    <t>Total Adjustments</t>
  </si>
  <si>
    <t>Adjusted Gross Profit</t>
  </si>
  <si>
    <t>S, G &amp; A</t>
  </si>
  <si>
    <t>Selling, Training &amp; Marketing</t>
  </si>
  <si>
    <t>Research &amp; Development</t>
  </si>
  <si>
    <t>G&amp;A</t>
  </si>
  <si>
    <t>Operating Income</t>
  </si>
  <si>
    <t>Adjustments to Operating Income</t>
  </si>
  <si>
    <t xml:space="preserve">Adjusted Operating Income </t>
  </si>
  <si>
    <t>Interest Expense (Income)</t>
  </si>
  <si>
    <t xml:space="preserve">Other Expenses (Income) </t>
  </si>
  <si>
    <t>Provision for Income Taxes</t>
  </si>
  <si>
    <t>Net Income</t>
  </si>
  <si>
    <t>Adjusted Net Income</t>
  </si>
  <si>
    <t>Basic Shares</t>
  </si>
  <si>
    <t>Diluted Shares</t>
  </si>
  <si>
    <t>Pre Tax Income</t>
  </si>
  <si>
    <t xml:space="preserve">Adj Diluted EPS </t>
  </si>
  <si>
    <t>Net Income (Loss)</t>
  </si>
  <si>
    <t>Stock Based Comp</t>
  </si>
  <si>
    <t>Interest Expense</t>
  </si>
  <si>
    <t>Income Tax Benefit</t>
  </si>
  <si>
    <t>Foreign currency loss, net</t>
  </si>
  <si>
    <t>Management Fees</t>
  </si>
  <si>
    <t>COVID-19 Related Costs</t>
  </si>
  <si>
    <t>Transaction Related Costs</t>
  </si>
  <si>
    <t>Other Non Recurring &amp; One-Time Fees</t>
  </si>
  <si>
    <t>Adjusted EBITDA</t>
  </si>
  <si>
    <t>Preferred Dividends</t>
  </si>
  <si>
    <t>GAAP NI to Adj EBITDA</t>
  </si>
  <si>
    <t>Installed base - Ending - Delivery system</t>
  </si>
  <si>
    <t>Installed Base - Average - Delivery system</t>
  </si>
  <si>
    <t>Total revenue</t>
  </si>
  <si>
    <t>Consumables</t>
  </si>
  <si>
    <t>EBITDA - Operating</t>
  </si>
  <si>
    <t>SKIN_US</t>
  </si>
  <si>
    <t>CEO</t>
  </si>
  <si>
    <t>CFO</t>
  </si>
  <si>
    <t>Clint Carnell</t>
  </si>
  <si>
    <t>Liyuan Woo</t>
  </si>
  <si>
    <t>Adjusted EBITDA, Margin</t>
  </si>
  <si>
    <t>Mgmt. Tracking</t>
  </si>
  <si>
    <t>Andrew Stanleick</t>
  </si>
  <si>
    <t>GUID, VA, &amp; BBG</t>
  </si>
  <si>
    <t>GUID</t>
  </si>
  <si>
    <t>Guidance for:</t>
  </si>
  <si>
    <t xml:space="preserve">Estimate </t>
  </si>
  <si>
    <t>Actual</t>
  </si>
  <si>
    <t>Revenue:</t>
  </si>
  <si>
    <t>Lower</t>
  </si>
  <si>
    <t xml:space="preserve">Upper </t>
  </si>
  <si>
    <t>Adjusted EBITDA:</t>
  </si>
  <si>
    <t>FY'22</t>
  </si>
  <si>
    <t>FY'23</t>
  </si>
  <si>
    <t>FY'21</t>
  </si>
  <si>
    <t>maintain</t>
  </si>
  <si>
    <t>raise</t>
  </si>
  <si>
    <t>cut</t>
  </si>
  <si>
    <t>Q2</t>
  </si>
  <si>
    <t>Q3</t>
  </si>
  <si>
    <t>Q4</t>
  </si>
  <si>
    <t>Q1</t>
  </si>
  <si>
    <t>Botox - Cosmetic Revenue</t>
  </si>
  <si>
    <t>Juvederm</t>
  </si>
  <si>
    <t>Botox y/y</t>
  </si>
  <si>
    <t>Juvederm y/y</t>
  </si>
  <si>
    <t>Total Delivery System Sales</t>
  </si>
  <si>
    <t>Consumables Net Sales</t>
  </si>
  <si>
    <t>Per Installed Device</t>
  </si>
  <si>
    <t>Cost of a Machine</t>
  </si>
  <si>
    <t>most recently disclosed ASP</t>
  </si>
  <si>
    <t>(/) Average Payback Period (months)</t>
  </si>
  <si>
    <t>(=)  Minimum Revenue Monthly</t>
  </si>
  <si>
    <t>(/) Cost / Customer Treatment</t>
  </si>
  <si>
    <t>(=) Number of Customers Monthly</t>
  </si>
  <si>
    <t>Active Installed Base</t>
  </si>
  <si>
    <t>(x) Number of Customers Monthly</t>
  </si>
  <si>
    <t>(x) Months in a Quarter</t>
  </si>
  <si>
    <t>(=) Sessions / Quarter</t>
  </si>
  <si>
    <t xml:space="preserve">Consumables Net Sales </t>
  </si>
  <si>
    <t>(/) Sessions / Quarter</t>
  </si>
  <si>
    <t>(=) Revenue to SKIN per session on consumables</t>
  </si>
  <si>
    <t xml:space="preserve">Tips </t>
  </si>
  <si>
    <t>Boosters + Products</t>
  </si>
  <si>
    <t>(/) Salon Margins</t>
  </si>
  <si>
    <t>(=) Cost Billed to End User</t>
  </si>
  <si>
    <t>Price of Treatment</t>
  </si>
  <si>
    <t>Time (in hours)</t>
  </si>
  <si>
    <t>indeed.com</t>
  </si>
  <si>
    <t>(x) Cost of Aesthician / Hr</t>
  </si>
  <si>
    <t>(=) Labor Cost</t>
  </si>
  <si>
    <t>Cost of Machine</t>
  </si>
  <si>
    <t>mgmt. discloses that it typically between 3-7 years</t>
  </si>
  <si>
    <t>from above</t>
  </si>
  <si>
    <t>(/) Useful Life of Machine (years)</t>
  </si>
  <si>
    <t>(/) Months in a Year</t>
  </si>
  <si>
    <t>(/) Customers Per Month</t>
  </si>
  <si>
    <t>(=) Machine Variable Cost</t>
  </si>
  <si>
    <t>(+) Consumables Cost</t>
  </si>
  <si>
    <t>(=) Total Costs of Session</t>
  </si>
  <si>
    <t>Profit From Session</t>
  </si>
  <si>
    <t>NB: botox clinic owners typically see margins between 40-60%, NadaPayments, gives us confidence that we're in the right ballpark</t>
  </si>
  <si>
    <t xml:space="preserve">Marla Beck </t>
  </si>
  <si>
    <t xml:space="preserve">Michael Monahan </t>
  </si>
  <si>
    <t>Adjusted Gross Margin</t>
  </si>
  <si>
    <t xml:space="preserve">y/y bps </t>
  </si>
  <si>
    <t xml:space="preserve">% of Net Sales </t>
  </si>
  <si>
    <t xml:space="preserve">6/10/21 call: "we get about $25-$30 per treatment as part of the consumable" </t>
  </si>
  <si>
    <t xml:space="preserve">6/10/21 call: "margins are in excess of 80% for the customer" </t>
  </si>
  <si>
    <t>(x) Months</t>
  </si>
  <si>
    <t>(=) Treatments / System</t>
  </si>
  <si>
    <t>"each of our systems is doing 250+ treatments a year" (6/10/21)</t>
  </si>
  <si>
    <t xml:space="preserve"> </t>
  </si>
  <si>
    <t>Effective Tax Rate</t>
  </si>
  <si>
    <t>Gross Profit Build</t>
  </si>
  <si>
    <t>GAAP Gross Profit</t>
  </si>
  <si>
    <t xml:space="preserve">% of net sales </t>
  </si>
  <si>
    <t>y/y bps</t>
  </si>
  <si>
    <t>% of net debt</t>
  </si>
  <si>
    <t xml:space="preserve">% of revenue </t>
  </si>
  <si>
    <t>% of last period's PP&amp;E &amp; A</t>
  </si>
  <si>
    <t>PP&amp;E &amp; A</t>
  </si>
  <si>
    <t>VA</t>
  </si>
  <si>
    <t>Gross profit/(loss) - Operating</t>
  </si>
  <si>
    <t>mgmt. to wind down programs like the traveling busses and paying high fees to market to new sales ppl, instead going to rely on cost cutting to regain investor trust</t>
  </si>
  <si>
    <t>EPS - Diluted - Operating</t>
  </si>
  <si>
    <t>Delivery system</t>
  </si>
  <si>
    <t>Variance</t>
  </si>
  <si>
    <t>Cash Flow Statement Metrics</t>
  </si>
  <si>
    <t>CapEx as a % of Last Period's PP&amp;E</t>
  </si>
  <si>
    <t>Free Cash Flow</t>
  </si>
  <si>
    <t>New System Sales</t>
  </si>
  <si>
    <t>Delivery Sales</t>
  </si>
  <si>
    <t>Consumable Sales</t>
  </si>
  <si>
    <t>Total Sales</t>
  </si>
  <si>
    <t>GM%</t>
  </si>
  <si>
    <t>ASP - Delivery system</t>
  </si>
  <si>
    <t>Beginning Installed Base</t>
  </si>
  <si>
    <t>(=) Ending Installed Base</t>
  </si>
  <si>
    <t>Avg Installed Base</t>
  </si>
  <si>
    <t>Total Delivery Systems Sold</t>
  </si>
  <si>
    <t>% of Total Delivery Systems Sold Which Were Trade-Ups</t>
  </si>
  <si>
    <t>Trade Up ASP</t>
  </si>
  <si>
    <t>Total Delivery System ASP</t>
  </si>
  <si>
    <t>% of Total Delivery Systems Sold Which Were New</t>
  </si>
  <si>
    <t>(+) Net New Delivery Systems Sold (New Sales less Trade Ups)</t>
  </si>
  <si>
    <t>Hardware (Razors)</t>
  </si>
  <si>
    <t>Number of Trade Ups</t>
  </si>
  <si>
    <t>Install Base Build</t>
  </si>
  <si>
    <t>Total Systems Sales</t>
  </si>
  <si>
    <t>Street Average Install Base</t>
  </si>
  <si>
    <t>Street Consumables Net Sales</t>
  </si>
  <si>
    <t>Street Per Installed Device</t>
  </si>
  <si>
    <t>New System Sales (in Ms)</t>
  </si>
  <si>
    <t>Trade Up  Sales (in Ms)</t>
  </si>
  <si>
    <t>Total Delivery System Sales (in Ms)</t>
  </si>
  <si>
    <t>Churn as a % of beginning</t>
  </si>
  <si>
    <t>New ASP (in $)</t>
  </si>
  <si>
    <t>New Systems Sold (#)</t>
  </si>
  <si>
    <t>Total Delivery Systems Sold (#)</t>
  </si>
  <si>
    <t>Total Delivery System ASP (in $)</t>
  </si>
  <si>
    <t>% of Beginning Install Base</t>
  </si>
  <si>
    <t>q/q change</t>
  </si>
  <si>
    <t>y/y change</t>
  </si>
  <si>
    <t>Consumables (Razor Blades)</t>
  </si>
  <si>
    <t>Gross Margin</t>
  </si>
  <si>
    <t>Consumables Sales</t>
  </si>
  <si>
    <t>Assumed Gross Margin</t>
  </si>
  <si>
    <t>Consumables Gross Profit</t>
  </si>
  <si>
    <t>New Machines Sales</t>
  </si>
  <si>
    <t>New Machines Profit</t>
  </si>
  <si>
    <t>Trade-Up Machines Sales</t>
  </si>
  <si>
    <t>Blended Sales</t>
  </si>
  <si>
    <t>Blended Gross Margin</t>
  </si>
  <si>
    <t>Blended Profit</t>
  </si>
  <si>
    <t>Trade-Up Machines Profit</t>
  </si>
  <si>
    <t>Reported Adj Gross Profit</t>
  </si>
  <si>
    <t>Error</t>
  </si>
  <si>
    <t>Consumables Margin</t>
  </si>
  <si>
    <t>Machine Margin</t>
  </si>
  <si>
    <t>Historical Margin Research</t>
  </si>
  <si>
    <t>3QFY23</t>
  </si>
  <si>
    <t>4QFY23</t>
  </si>
  <si>
    <t>FY23</t>
  </si>
  <si>
    <t>1QFY24</t>
  </si>
  <si>
    <t>2QFY24</t>
  </si>
  <si>
    <t>Install Base (Avg)</t>
  </si>
  <si>
    <t>ASP (New Systems)</t>
  </si>
  <si>
    <t xml:space="preserve">y/y  </t>
  </si>
  <si>
    <t>Sales from Machines</t>
  </si>
  <si>
    <t>Avg Install Base</t>
  </si>
  <si>
    <t>Total OPEX</t>
  </si>
  <si>
    <t xml:space="preserve">EBITDA </t>
  </si>
  <si>
    <t>st OPEX</t>
  </si>
  <si>
    <t>Total operating expenses - Operating</t>
  </si>
  <si>
    <t>∆ Consensus (#)</t>
  </si>
  <si>
    <t>Consumable Sales / Installed Machine</t>
  </si>
  <si>
    <t>Machine ASP</t>
  </si>
  <si>
    <t>Total Machines Sold</t>
  </si>
  <si>
    <t>Full Business</t>
  </si>
  <si>
    <t>Delivery Systems (Razor Blades)</t>
  </si>
  <si>
    <t xml:space="preserve">Consumables (Razors) </t>
  </si>
  <si>
    <t>Table Values Represent Historical Error Terms (closer to 0 is better)</t>
  </si>
  <si>
    <t>Change in Net Working Capital</t>
  </si>
  <si>
    <t>rate on their convert</t>
  </si>
  <si>
    <t>Nu Skin</t>
  </si>
  <si>
    <t>NUS</t>
  </si>
  <si>
    <t>ABBV</t>
  </si>
  <si>
    <t>Ulta Beauty</t>
  </si>
  <si>
    <t>ULTA</t>
  </si>
  <si>
    <t>Staar Surgical Co</t>
  </si>
  <si>
    <t>STAA</t>
  </si>
  <si>
    <t>Elf Beauty</t>
  </si>
  <si>
    <t>ELF</t>
  </si>
  <si>
    <t>Inter Parfums, inc</t>
  </si>
  <si>
    <t>IPAR</t>
  </si>
  <si>
    <t>(=) Implied Sessions Monthly</t>
  </si>
  <si>
    <t>(/) # of Months</t>
  </si>
  <si>
    <t>(/) Revenue Generated / Session</t>
  </si>
  <si>
    <t>Triangulation via Consumables</t>
  </si>
  <si>
    <t>Triangulation via Machines</t>
  </si>
  <si>
    <t xml:space="preserve">(x) % of women willing to go </t>
  </si>
  <si>
    <t xml:space="preserve">(x) % of men willing to go </t>
  </si>
  <si>
    <t>(x) avg frequency, monthly</t>
  </si>
  <si>
    <t>(/) Total Sessions TAM Monthly</t>
  </si>
  <si>
    <t>(=) Percent of TAM</t>
  </si>
  <si>
    <t>from unit economics work</t>
  </si>
  <si>
    <t>from tower</t>
  </si>
  <si>
    <t>we assume men frequent at roughly half the rate that women frequent</t>
  </si>
  <si>
    <t>(x) Treatments / System Annually</t>
  </si>
  <si>
    <t>(=) Total Sessions TAM Monthly</t>
  </si>
  <si>
    <t>Estimate of Total Women in the US Aged 15-39 (Census)</t>
  </si>
  <si>
    <t>(/) Adj for Quarters</t>
  </si>
  <si>
    <t>(x) % of Consumables Sales generated in US</t>
  </si>
  <si>
    <t>uses 22 census estimates and assumes 0.5% growth rate of pop (as per census)</t>
  </si>
  <si>
    <t>Americas Net Sales</t>
  </si>
  <si>
    <t>EMEA Net Sales</t>
  </si>
  <si>
    <t>APAC Net Sales</t>
  </si>
  <si>
    <t>Sales by Region</t>
  </si>
  <si>
    <t>All Geographies</t>
  </si>
  <si>
    <t>Machine Sales (in Ms, Globally)</t>
  </si>
  <si>
    <t>US TAM Build</t>
  </si>
  <si>
    <t>Consumables Sales (in Ms, Globally)</t>
  </si>
  <si>
    <t>disclosed in blue, calced in black</t>
  </si>
  <si>
    <t>(+) Estimate of Total Men in the US Aged 15-39 (Census)</t>
  </si>
  <si>
    <t>By Geography</t>
  </si>
  <si>
    <t>Nominal</t>
  </si>
  <si>
    <t>%</t>
  </si>
  <si>
    <t>% of Beginning Install Base in the US</t>
  </si>
  <si>
    <t>Beginning Install Base</t>
  </si>
  <si>
    <t>Total Change</t>
  </si>
  <si>
    <t>(%) Attributable to the US</t>
  </si>
  <si>
    <t>Ending Install Base</t>
  </si>
  <si>
    <t>Change in US Install Base</t>
  </si>
  <si>
    <t>Avg US Install Base</t>
  </si>
  <si>
    <t>US Install Base as a % of Total Install Base (Avg)</t>
  </si>
  <si>
    <t>Average US Install Base</t>
  </si>
  <si>
    <t>Ex-US TAM</t>
  </si>
  <si>
    <t>(x) Int'l Multiplier</t>
  </si>
  <si>
    <t>HYDRAFACIAL TAM</t>
  </si>
  <si>
    <t>BOTOX + JUVEDERM TAM</t>
  </si>
  <si>
    <t>(x) % of Consumables Sales generated in ex-US</t>
  </si>
  <si>
    <t>implied from above</t>
  </si>
  <si>
    <t>Average ex-US Install Base</t>
  </si>
  <si>
    <t>(/) Revenue Generated / Session in US</t>
  </si>
  <si>
    <t>mgmt. gives this as a rough guide</t>
  </si>
  <si>
    <t>mgmt. says that they get people to go on average around 1-2x / quarter</t>
  </si>
  <si>
    <t xml:space="preserve">disclosed by mgmt. </t>
  </si>
  <si>
    <t>(x) Revenue Generated / Session as a % of US</t>
  </si>
  <si>
    <t>based on the price of a HydraFacial in APAC vs. US</t>
  </si>
  <si>
    <t>AbbVie Int'l Medical Aesthetics</t>
  </si>
  <si>
    <t>US BOTOX TAM</t>
  </si>
  <si>
    <t>AbbVie US Medical Aesthetics Revenue (Ms USD)</t>
  </si>
  <si>
    <t>(/) Revenue to AbbVie Per Unit of Botox</t>
  </si>
  <si>
    <t>(/) Number of Units Per Person Per Treatment</t>
  </si>
  <si>
    <t>(/) Treatments / Yr</t>
  </si>
  <si>
    <t>(/) Women Aged 20-59</t>
  </si>
  <si>
    <t>(=) % of TAM</t>
  </si>
  <si>
    <t>(x) Adj for Quarters</t>
  </si>
  <si>
    <t>(/) Calced TAM for HydraFacial</t>
  </si>
  <si>
    <t>(=) Total Sessions (TAM) Monthly</t>
  </si>
  <si>
    <t>TAM in People</t>
  </si>
  <si>
    <t>(=) % of HydraFacial TAM</t>
  </si>
  <si>
    <t>INT'l BOTOX TAM</t>
  </si>
  <si>
    <t>(/) Revenue to AbbVie Per Unit of Botox in US</t>
  </si>
  <si>
    <t xml:space="preserve">(x) Price Discount Int'l </t>
  </si>
  <si>
    <t>(/) US Total Patients Treated</t>
  </si>
  <si>
    <t>(=) US Total Patients Treated</t>
  </si>
  <si>
    <t>(=) Int'l Total Patients Treated</t>
  </si>
  <si>
    <t>(=) % of US TAM</t>
  </si>
  <si>
    <t>various online sources</t>
  </si>
  <si>
    <t>based on price differential from above</t>
  </si>
  <si>
    <t>per mgmt. comments</t>
  </si>
  <si>
    <t>GS Estimates this at 2-4x, based on our work with Botox below we assume that it is actually much closer to 1/4</t>
  </si>
  <si>
    <t>GS Estimates this at 2-4x, we assume 50% lower for men then for women</t>
  </si>
  <si>
    <t>from VA</t>
  </si>
  <si>
    <t>WACC (from BBG)</t>
  </si>
  <si>
    <t>EBIT Margin</t>
  </si>
  <si>
    <t>EV/Sales Multiple</t>
  </si>
  <si>
    <t xml:space="preserve">% of new systems sold which were Syndeo </t>
  </si>
  <si>
    <t xml:space="preserve">% of Trade-Ups which were Syndeo </t>
  </si>
  <si>
    <t>Syndeo 1.0 (Launched in Mid-March '22) &amp; 2.0 (Launched First Half of '23)</t>
  </si>
  <si>
    <t>Inventory Impairment</t>
  </si>
  <si>
    <t>Cost (in Ms)</t>
  </si>
  <si>
    <t>Cost (in units of Syndeo 1.0 &amp; 2.0)</t>
  </si>
  <si>
    <t>Per Unit</t>
  </si>
  <si>
    <t>(+) Enhancing or Replacing Devices in Field</t>
  </si>
  <si>
    <t>(+) Costs to enhance or replace devices yet to be addressed in the field</t>
  </si>
  <si>
    <t xml:space="preserve">(=) Total </t>
  </si>
  <si>
    <t>Cost of Machine to End User</t>
  </si>
  <si>
    <t>Gross Margin of Machine</t>
  </si>
  <si>
    <t>Cost of a Machine to SKIN</t>
  </si>
  <si>
    <t>Estimated Actual Cost Break Down</t>
  </si>
  <si>
    <t>we assume that this is below the gross margin cost of inventory, maybe we assume some LIFO/FIFO play or we give them the benefit of the doubt</t>
  </si>
  <si>
    <t>we assume that this is the actual cost to the manufacturer, this accounts for the offsetting relationship between the cost of traveling to give a new machine and take an old machine away and some machines which were only upgraded</t>
  </si>
  <si>
    <t xml:space="preserve">we assume that this is slightly above the actual cost to SKIN, accounts for costs of transportation and </t>
  </si>
  <si>
    <t>Gross Profit</t>
  </si>
  <si>
    <t>ASP</t>
  </si>
  <si>
    <t>Implied Gross Margin</t>
  </si>
  <si>
    <t xml:space="preserve">If we think that the implied GMs from above seem too high: </t>
  </si>
  <si>
    <t>Implied Gross Profit</t>
  </si>
  <si>
    <t xml:space="preserve">Extra Notes: </t>
  </si>
  <si>
    <t xml:space="preserve">Extending all Syndeo Warranties by 1 year which will have no material impact on financials </t>
  </si>
  <si>
    <t>Total GAAP charges of all of this amount to 63.1 M</t>
  </si>
  <si>
    <t>Syndeo Machines in the Field as of 11/18/23</t>
  </si>
  <si>
    <t>Syndeo 1.0 &amp; 2.0 Machines Sold</t>
  </si>
  <si>
    <t xml:space="preserve">Syndeo 1.0 &amp; 2.0 Machines Traded Up </t>
  </si>
  <si>
    <t>Beginning Balance of Syndeo 1.0 &amp; 2.0</t>
  </si>
  <si>
    <t>Syndeo 3.0 Released c. 8/23</t>
  </si>
  <si>
    <t>Syndeo 3.0 Beginning Balance</t>
  </si>
  <si>
    <t>(-) Replaced with 3.0</t>
  </si>
  <si>
    <t>(=) Ending Balance of Syndeo 1.0 &amp; 2.0</t>
  </si>
  <si>
    <t>(+) Syndeo 3.0 from Replacements of 1.0 &amp; 2.0</t>
  </si>
  <si>
    <t xml:space="preserve">(x) % of New Sales which were Syndeo </t>
  </si>
  <si>
    <t>(+) Syndeo 3.0 from New Sales</t>
  </si>
  <si>
    <t xml:space="preserve">(=) Syndeo 3.0 Ending Balance </t>
  </si>
  <si>
    <t>New Systems Sales Build</t>
  </si>
  <si>
    <t>Trade-Ups Sales Build</t>
  </si>
  <si>
    <t xml:space="preserve">Total Functional Syndeo Systems in Field (Avg) </t>
  </si>
  <si>
    <t>All Systems in Field (Avg)</t>
  </si>
  <si>
    <t>ex-Syndeo Systems in Field (Avg)</t>
  </si>
  <si>
    <t>(+) Total Additions</t>
  </si>
  <si>
    <t>the phase out / replacement may take several quarters</t>
  </si>
  <si>
    <t>q/q adds</t>
  </si>
  <si>
    <t>US Install Base Build, Illustrative Build</t>
  </si>
  <si>
    <t>Syndeo, Illustrative Build</t>
  </si>
  <si>
    <t>Consumables Last 4 Qs Rolling Avg</t>
  </si>
  <si>
    <t>Consumables Impact Still to come (in Ms)</t>
  </si>
  <si>
    <t>Reported Cost Break Down, Machines</t>
  </si>
  <si>
    <t>Cost Break Down Consumables</t>
  </si>
  <si>
    <t>Dysfunctional machines that need repair</t>
  </si>
  <si>
    <t>Revenue / Machine / Quarter, Rolling Avg (past 4Qs before impact)</t>
  </si>
  <si>
    <t>(-) Machines replaced w/3.0</t>
  </si>
  <si>
    <t>Consumables Impact so Far (in Ms) (per machines replaced)</t>
  </si>
  <si>
    <t>NB: it is SKIN policy to give the client 3 months of consumables for free when they get an upgrade, we assume they've extended this to their clients who are getting free upgrades from 1.0/2.0 to 3.0</t>
  </si>
  <si>
    <t>q/q</t>
  </si>
  <si>
    <t>Implied EV</t>
  </si>
  <si>
    <t>Implied Market Cap</t>
  </si>
  <si>
    <t>BBG Market cap (USD mm)</t>
  </si>
  <si>
    <t>Probability Weighted Price Targets (EV / Sales)</t>
  </si>
  <si>
    <t>Probability Weighted Price Targets (EV / EBITDA)</t>
  </si>
  <si>
    <t>(=) Total Sessions TAM Monthly, ex-US</t>
  </si>
  <si>
    <t>NB: the convertible bond is trading at ~60c on the dollar</t>
  </si>
  <si>
    <t>vs. 19</t>
  </si>
  <si>
    <t>Total Disaster Model</t>
  </si>
  <si>
    <t>Ex-Syndeo Machines (Avg)</t>
  </si>
  <si>
    <t>q/q growth</t>
  </si>
  <si>
    <t>Avg Consumables Spend / Machine</t>
  </si>
  <si>
    <t>Total Spend on Just Consumables ex-Syndeo (Disaster Topline)</t>
  </si>
  <si>
    <t>Fixed G&amp;A (Assume Lowest / Q Cost Historically)</t>
  </si>
  <si>
    <t>Selling Cost % (Assume Lowest / Q Sales % Historically)</t>
  </si>
  <si>
    <t>Other Opex (Assume R&amp;D cut to 0)</t>
  </si>
  <si>
    <t>Selling Cost (in USD)</t>
  </si>
  <si>
    <t>(-) Churn (Reactivation)</t>
  </si>
  <si>
    <t>we assume that they are able to resume the sale of new machines in 1 year</t>
  </si>
  <si>
    <t>churn returns back to normal</t>
  </si>
  <si>
    <t>we suspend the modeling of trade-ups until a year past when the Syndeo machines can be fixed</t>
  </si>
  <si>
    <t>assume no new sales for the next year, and then Syndeo regrows at historical cadence</t>
  </si>
  <si>
    <t>vs 19 as a santity check</t>
  </si>
  <si>
    <t>and then return to modeling using 2% growth</t>
  </si>
  <si>
    <t>conservative no change in asp</t>
  </si>
  <si>
    <t xml:space="preserve"> '25 EBITDA</t>
  </si>
  <si>
    <t xml:space="preserve"> '25 Sales</t>
  </si>
  <si>
    <t>current guide</t>
  </si>
  <si>
    <t>385-400</t>
  </si>
  <si>
    <t>84-99</t>
  </si>
  <si>
    <t>Lower Bound of 4Q Guide</t>
  </si>
  <si>
    <t>Upper Bound of 4Q Guide</t>
  </si>
  <si>
    <t>ex-Syndeo Install Base</t>
  </si>
  <si>
    <t>Syndeo Install Base (excluded b/c promotional packages)</t>
  </si>
  <si>
    <t>Average Consumables Spend / Device (Last 4Q)</t>
  </si>
  <si>
    <t>Total Consumables Spend</t>
  </si>
  <si>
    <t>Machines</t>
  </si>
  <si>
    <t>Syndeo New System Sales</t>
  </si>
  <si>
    <t>Total Delivery System Spend</t>
  </si>
  <si>
    <t>Total Revenue</t>
  </si>
  <si>
    <t>% of Syndeo Base Who is Reordering</t>
  </si>
  <si>
    <t>Ex-Syndeo New System Sales (Held Constant from Last Q)</t>
  </si>
  <si>
    <t>ex-Syndeo Install Base (avg over FY'24)</t>
  </si>
  <si>
    <t>(+) Syndeo Install Base (avg over FY'24)</t>
  </si>
  <si>
    <t>(x) Average Annual Consumables Sales (per installed device FY '22)</t>
  </si>
  <si>
    <t>(=) Consumables Sales</t>
  </si>
  <si>
    <t xml:space="preserve">(-) Consumable Impact from Syndeo Upgrades </t>
  </si>
  <si>
    <t>(=) Total Consumables Sales FY'24</t>
  </si>
  <si>
    <t>Delivery Systems</t>
  </si>
  <si>
    <t xml:space="preserve">New Syndeo Machines Sold (not upgrades from 1.0/2.0) </t>
  </si>
  <si>
    <t>(x) ASP</t>
  </si>
  <si>
    <t xml:space="preserve">(x) ASP </t>
  </si>
  <si>
    <t xml:space="preserve">(+) Upgrades </t>
  </si>
  <si>
    <t>(=) Total Delivery System Sales FY'24</t>
  </si>
  <si>
    <t>How Mgmt. Meets Their 4Q Implied Guide</t>
  </si>
  <si>
    <t xml:space="preserve">(+) New Machines Sold ex-Syndeo </t>
  </si>
  <si>
    <t xml:space="preserve">Total Sales </t>
  </si>
  <si>
    <t>My Model</t>
  </si>
  <si>
    <t>Mgmt.'s Bull Case</t>
  </si>
  <si>
    <t>How Mgmt. Sets FY'24 Guide</t>
  </si>
  <si>
    <t>Total Revenue for SKIN</t>
  </si>
  <si>
    <t>FY2020</t>
  </si>
  <si>
    <t>FY2021</t>
  </si>
  <si>
    <t>FY2022</t>
  </si>
  <si>
    <t>FY2027E</t>
  </si>
  <si>
    <t>FY2026E</t>
  </si>
  <si>
    <t>FY2025E</t>
  </si>
  <si>
    <t>FY2024E</t>
  </si>
  <si>
    <t>FY2023E</t>
  </si>
  <si>
    <t>Other Aesthetics Globally (Diamond Glow)</t>
  </si>
  <si>
    <t>Relative Share</t>
  </si>
  <si>
    <t>Avg Install Base (from above)</t>
  </si>
  <si>
    <t>ASP (in line w/ historical average)</t>
  </si>
  <si>
    <t xml:space="preserve">% of Last Avg 4 Qs </t>
  </si>
  <si>
    <t>Pre-tax Cost of Debt (Bond Coupon, 1.25%)</t>
  </si>
  <si>
    <t>MV of Debt (from B/S)</t>
  </si>
  <si>
    <t>cost that esthetician has to pay SKIN</t>
  </si>
  <si>
    <t>For Esthetician, Purchase Economics</t>
  </si>
  <si>
    <t>For Esthetician, Per Use Economics</t>
  </si>
  <si>
    <t>Consumables Unit Economics, for SKIN</t>
  </si>
  <si>
    <t>Beauty Health Comps</t>
  </si>
  <si>
    <t>Beauty Health (P72)</t>
  </si>
  <si>
    <t>Beauty Health (BBG)</t>
  </si>
  <si>
    <t>AbbVie Inc</t>
  </si>
  <si>
    <t>(=) Machines which still need to be replaced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</si>
</sst>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numFmt numFmtId="166" formatCode="0.0"/>
    <numFmt numFmtId="167" formatCode="0.0\x"/>
    <numFmt numFmtId="168" formatCode="0.0%"/>
    <numFmt numFmtId="169" formatCode="&quot;FY&quot;####&quot;E&quot;"/>
    <numFmt numFmtId="170" formatCode="0.0%_);\(0.0%\)_);\-_)"/>
    <numFmt numFmtId="171" formatCode="0.0%;\(0.0%\)"/>
    <numFmt numFmtId="172" formatCode="m/d/yy;@"/>
    <numFmt numFmtId="173" formatCode="#,##0.0_);\(#,##0.0\)"/>
    <numFmt numFmtId="174" formatCode="0.0\x_);\(0.0\x\);\-\-"/>
    <numFmt numFmtId="175" formatCode="&quot;FY &quot;General&quot;E&quot;"/>
    <numFmt numFmtId="176" formatCode="0.00%_);\(0.00%\)_);\-_)"/>
    <numFmt numFmtId="177" formatCode="0.00%_);\(0.00%\)_)"/>
    <numFmt numFmtId="178" formatCode="0.00_);\(0.00\)"/>
    <numFmt numFmtId="179" formatCode="0%_);\(0%\)_);\-_)"/>
    <numFmt numFmtId="180" formatCode="0%;\(0%\)"/>
    <numFmt numFmtId="181" formatCode="#,##0.0\x"/>
    <numFmt numFmtId="182" formatCode="mm/dd/yy;@"/>
    <numFmt numFmtId="183" formatCode="&quot;$&quot;#,##0.0_);\(&quot;$&quot;#,##0.0\)"/>
    <numFmt numFmtId="184" formatCode="&quot;$&quot;#,##0.0"/>
    <numFmt numFmtId="195" formatCode="0.00%;\(0.00%\)"/>
  </numFmts>
  <fonts count="78">
    <font>
      <sz val="11"/>
      <color theme="1"/>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i/>
      <sz val="11"/>
      <color theme="1"/>
      <name val="Calibri"/>
      <family val="2"/>
      <scheme val="minor"/>
    </font>
    <font>
      <sz val="11"/>
      <name val="Calibri"/>
      <family val="2"/>
      <scheme val="minor"/>
    </font>
    <font>
      <b/>
      <sz val="9"/>
      <color indexed="81"/>
      <name val="Tahoma"/>
      <family val="2"/>
    </font>
    <font>
      <sz val="9"/>
      <color indexed="81"/>
      <name val="Tahoma"/>
      <family val="2"/>
    </font>
    <font>
      <sz val="10"/>
      <color theme="1"/>
      <name val="Calibri"/>
      <family val="2"/>
      <scheme val="minor"/>
    </font>
    <font>
      <i/>
      <sz val="11"/>
      <name val="Calibri"/>
      <family val="2"/>
      <scheme val="minor"/>
    </font>
    <font>
      <sz val="11"/>
      <color rgb="FF0000FF"/>
      <name val="Calibri"/>
      <family val="2"/>
      <scheme val="minor"/>
    </font>
    <font>
      <b/>
      <sz val="10"/>
      <color theme="0"/>
      <name val="Calibri"/>
      <family val="2"/>
      <scheme val="minor"/>
    </font>
    <font>
      <sz val="10"/>
      <color theme="0"/>
      <name val="Calibri"/>
      <family val="2"/>
      <scheme val="minor"/>
    </font>
    <font>
      <sz val="11"/>
      <color rgb="FF00B050"/>
      <name val="Calibri"/>
      <family val="2"/>
      <scheme val="minor"/>
    </font>
    <font>
      <sz val="10"/>
      <color rgb="FF00AC00"/>
      <name val="Calibri"/>
      <family val="2"/>
      <scheme val="minor"/>
    </font>
    <font>
      <sz val="11"/>
      <color rgb="FF7030A0"/>
      <name val="Calibri"/>
      <family val="2"/>
      <scheme val="minor"/>
    </font>
    <font>
      <i/>
      <sz val="10"/>
      <color theme="1"/>
      <name val="Calibri"/>
      <family val="2"/>
      <scheme val="minor"/>
    </font>
    <font>
      <sz val="11"/>
      <color theme="7" tint="-0.499984740745262"/>
      <name val="Calibri"/>
      <family val="2"/>
      <scheme val="minor"/>
    </font>
    <font>
      <sz val="10"/>
      <color rgb="FF000000"/>
      <name val="Calibri"/>
      <family val="2"/>
      <scheme val="minor"/>
    </font>
    <font>
      <b/>
      <sz val="11"/>
      <color rgb="FF0000FF"/>
      <name val="Calibri"/>
      <family val="2"/>
      <scheme val="minor"/>
    </font>
    <font>
      <b/>
      <sz val="11"/>
      <name val="Calibri"/>
      <family val="2"/>
      <scheme val="minor"/>
    </font>
    <font>
      <sz val="11"/>
      <color rgb="FF197336"/>
      <name val="Calibri"/>
      <family val="2"/>
      <scheme val="minor"/>
    </font>
    <font>
      <i/>
      <sz val="11"/>
      <color rgb="FF0000FF"/>
      <name val="Calibri"/>
      <family val="2"/>
      <scheme val="minor"/>
    </font>
    <font>
      <sz val="11"/>
      <color theme="0"/>
      <name val="Calibri"/>
      <family val="2"/>
      <scheme val="minor"/>
    </font>
    <font>
      <b/>
      <sz val="14"/>
      <color theme="0"/>
      <name val="Calibri"/>
      <family val="2"/>
      <scheme val="minor"/>
    </font>
    <font>
      <sz val="14"/>
      <color theme="0"/>
      <name val="Calibri"/>
      <family val="2"/>
      <scheme val="minor"/>
    </font>
    <font>
      <sz val="14"/>
      <color theme="1"/>
      <name val="Calibri"/>
      <family val="2"/>
      <scheme val="minor"/>
    </font>
    <font>
      <b/>
      <sz val="11"/>
      <color rgb="FFFF0000"/>
      <name val="Calibri"/>
      <family val="2"/>
      <scheme val="minor"/>
    </font>
    <font>
      <b/>
      <sz val="11"/>
      <color rgb="FF7030A0"/>
      <name val="Calibri"/>
      <family val="2"/>
      <scheme val="minor"/>
    </font>
    <font>
      <sz val="10"/>
      <color theme="1"/>
      <name val="arial"/>
      <family val="2"/>
    </font>
    <font>
      <b/>
      <sz val="10"/>
      <color theme="1"/>
      <name val="arial"/>
      <family val="2"/>
    </font>
    <font>
      <i/>
      <sz val="11"/>
      <color rgb="FFFF0000"/>
      <name val="Calibri"/>
      <family val="2"/>
      <scheme val="minor"/>
    </font>
    <font>
      <sz val="18"/>
      <color rgb="FF004A80"/>
      <name val="Calibri"/>
      <family val="2"/>
      <scheme val="minor"/>
    </font>
    <font>
      <sz val="11"/>
      <color rgb="FF004A80"/>
      <name val="Calibri"/>
      <family val="2"/>
      <scheme val="minor"/>
    </font>
    <font>
      <b/>
      <sz val="11"/>
      <color rgb="FF0E4269"/>
      <name val="Calibri"/>
      <family val="2"/>
      <scheme val="minor"/>
    </font>
    <font>
      <sz val="11"/>
      <color theme="3"/>
      <name val="Calibri"/>
      <family val="2"/>
      <scheme val="minor"/>
    </font>
    <font>
      <b/>
      <sz val="11"/>
      <color rgb="FF008000"/>
      <name val="Calibri"/>
      <family val="2"/>
      <scheme val="minor"/>
    </font>
    <font>
      <sz val="11"/>
      <color rgb="FF008000"/>
      <name val="Calibri"/>
      <family val="2"/>
      <scheme val="minor"/>
    </font>
    <font>
      <sz val="11"/>
      <color rgb="FFFF6600"/>
      <name val="Book Antiqua"/>
      <family val="1"/>
    </font>
    <font>
      <b/>
      <sz val="8"/>
      <color indexed="81"/>
      <name val="Tahoma"/>
      <family val="2"/>
    </font>
    <font>
      <sz val="8"/>
      <color indexed="81"/>
      <name val="Tahoma"/>
      <family val="2"/>
    </font>
    <font>
      <sz val="11"/>
      <color theme="1"/>
      <name val="Arial"/>
      <family val="2"/>
    </font>
    <font>
      <sz val="11"/>
      <color theme="1" tint="0.249977111117893"/>
      <name val="Arial"/>
      <family val="2"/>
    </font>
    <font>
      <b/>
      <sz val="12"/>
      <color rgb="FF000000"/>
      <name val="Arial"/>
      <family val="2"/>
    </font>
    <font>
      <b/>
      <sz val="12"/>
      <color theme="1"/>
      <name val="Arial"/>
      <family val="2"/>
    </font>
    <font>
      <sz val="9"/>
      <color rgb="FF000000"/>
      <name val="Arial"/>
      <family val="2"/>
    </font>
    <font>
      <sz val="11"/>
      <color theme="0"/>
      <name val="Arial"/>
      <family val="2"/>
    </font>
    <font>
      <sz val="8"/>
      <color theme="0" tint="-0.249977111117893"/>
      <name val="Arial"/>
      <family val="2"/>
    </font>
    <font>
      <sz val="10"/>
      <color theme="3"/>
      <name val="Arial"/>
      <family val="2"/>
    </font>
    <font>
      <b/>
      <sz val="9"/>
      <color rgb="FF000000"/>
      <name val="Arial"/>
      <family val="2"/>
    </font>
    <font>
      <sz val="11"/>
      <name val="Arial"/>
      <family val="2"/>
    </font>
    <font>
      <sz val="10"/>
      <color theme="1"/>
      <name val="Ariel"/>
    </font>
    <font>
      <sz val="11"/>
      <color theme="1"/>
      <name val="Ariel"/>
    </font>
    <font>
      <b/>
      <sz val="10"/>
      <color theme="1"/>
      <name val="Ariel"/>
    </font>
    <font>
      <sz val="10"/>
      <color theme="3"/>
      <name val="Ariel"/>
    </font>
    <font>
      <sz val="10"/>
      <color theme="3"/>
      <name val="Lato"/>
      <family val="2"/>
    </font>
    <font>
      <sz val="9"/>
      <color theme="1" tint="0.249977111117893"/>
      <name val="Arial"/>
      <family val="2"/>
    </font>
    <font>
      <sz val="10"/>
      <color rgb="FF000000"/>
      <name val="Arial"/>
      <family val="2"/>
    </font>
    <font>
      <sz val="10"/>
      <color theme="1" tint="0.249977111117893"/>
      <name val="Ariel"/>
    </font>
    <font>
      <sz val="11"/>
      <color theme="1" tint="0.249977111117893"/>
      <name val="Ariel"/>
    </font>
    <font>
      <sz val="11"/>
      <color rgb="FF197336"/>
      <name val="Arial"/>
      <family val="2"/>
    </font>
    <font>
      <sz val="11"/>
      <color rgb="FF800080"/>
      <name val="Calibri"/>
      <family val="2"/>
      <scheme val="minor"/>
    </font>
    <font>
      <b/>
      <sz val="20"/>
      <color theme="0"/>
      <name val="Calibri"/>
      <family val="2"/>
      <scheme val="minor"/>
    </font>
    <font>
      <i/>
      <sz val="11"/>
      <color rgb="FF9C5700"/>
      <name val="Calibri"/>
      <family val="2"/>
      <scheme val="minor"/>
    </font>
    <font>
      <b/>
      <i/>
      <sz val="11"/>
      <color rgb="FFFF0000"/>
      <name val="Calibri"/>
      <family val="2"/>
      <scheme val="minor"/>
    </font>
    <font>
      <sz val="11"/>
      <color rgb="FF0000FF"/>
      <name val="Calibri"/>
      <family val="2"/>
    </font>
    <font>
      <sz val="10"/>
      <color rgb="FF197336"/>
      <name val="Calibri"/>
      <family val="2"/>
      <scheme val="minor"/>
    </font>
    <font>
      <sz val="10"/>
      <name val="Calibri"/>
      <family val="2"/>
      <scheme val="minor"/>
    </font>
    <font>
      <b/>
      <sz val="16"/>
      <color theme="0"/>
      <name val="Calibri"/>
      <family val="2"/>
      <scheme val="minor"/>
    </font>
    <font>
      <sz val="11"/>
      <color rgb="FFC00000"/>
      <name val="Calibri"/>
      <family val="2"/>
      <scheme val="minor"/>
    </font>
    <font>
      <b/>
      <sz val="11"/>
      <color rgb="FF800080"/>
      <name val="Calibri"/>
      <family val="2"/>
      <scheme val="minor"/>
    </font>
    <font>
      <sz val="11"/>
      <color theme="2"/>
      <name val="Calibri"/>
      <family val="2"/>
      <scheme val="minor"/>
    </font>
    <font>
      <i/>
      <sz val="11"/>
      <color rgb="FF197336"/>
      <name val="Calibri"/>
      <family val="2"/>
      <scheme val="minor"/>
    </font>
    <font>
      <b/>
      <sz val="11"/>
      <color rgb="FF00B050"/>
      <name val="Calibri"/>
      <family val="2"/>
      <scheme val="minor"/>
    </font>
  </fonts>
  <fills count="1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theme="4" tint="0.79998168889431442"/>
        <bgColor indexed="64"/>
      </patternFill>
    </fill>
    <fill>
      <patternFill patternType="solid">
        <fgColor theme="5" tint="0.79998168889431442"/>
        <bgColor indexed="64"/>
      </patternFill>
    </fill>
    <fill>
      <patternFill patternType="solid">
        <fgColor theme="3"/>
        <bgColor indexed="64"/>
      </patternFill>
    </fill>
    <fill>
      <patternFill patternType="solid">
        <fgColor theme="0" tint="-9.9978637043366805E-2"/>
        <bgColor indexed="64"/>
      </patternFill>
    </fill>
    <fill>
      <patternFill patternType="solid">
        <fgColor theme="4" tint="-0.499984740745262"/>
        <bgColor indexed="64"/>
      </patternFill>
    </fill>
    <fill>
      <patternFill patternType="solid">
        <fgColor rgb="FFC00000"/>
        <bgColor indexed="64"/>
      </patternFill>
    </fill>
    <fill>
      <patternFill patternType="solid">
        <fgColor rgb="FF002060"/>
        <bgColor indexed="64"/>
      </patternFill>
    </fill>
    <fill>
      <patternFill patternType="solid">
        <fgColor theme="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FFF00"/>
        <bgColor indexed="64"/>
      </patternFill>
    </fill>
    <fill>
      <patternFill patternType="solid">
        <fgColor theme="2" tint="-9.9978637043366805E-2"/>
        <bgColor indexed="64"/>
      </patternFill>
    </fill>
  </fills>
  <borders count="48">
    <border>
      <left/>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rgb="FF000000"/>
      </left>
      <right style="medium">
        <color rgb="FF000000"/>
      </right>
      <top style="medium">
        <color indexed="64"/>
      </top>
      <bottom/>
      <diagonal/>
    </border>
    <border>
      <left style="medium">
        <color indexed="64"/>
      </left>
      <right/>
      <top style="medium">
        <color indexed="64"/>
      </top>
      <bottom style="medium">
        <color indexed="64"/>
      </bottom>
      <diagonal/>
    </border>
    <border>
      <left style="medium">
        <color rgb="FF000000"/>
      </left>
      <right style="medium">
        <color rgb="FF000000"/>
      </right>
      <top/>
      <bottom/>
      <diagonal/>
    </border>
    <border>
      <left style="medium">
        <color rgb="FF000000"/>
      </left>
      <right style="medium">
        <color rgb="FF000000"/>
      </right>
      <top style="thin">
        <color rgb="FF000000"/>
      </top>
      <bottom/>
      <diagonal/>
    </border>
    <border>
      <left style="medium">
        <color indexed="64"/>
      </left>
      <right/>
      <top style="medium">
        <color rgb="FF000000"/>
      </top>
      <bottom style="medium">
        <color indexed="64"/>
      </bottom>
      <diagonal/>
    </border>
    <border>
      <left/>
      <right/>
      <top style="thin">
        <color indexed="64"/>
      </top>
      <bottom style="double">
        <color indexed="64"/>
      </bottom>
      <diagonal/>
    </border>
    <border>
      <left/>
      <right/>
      <top/>
      <bottom style="thin">
        <color indexed="64"/>
      </bottom>
      <diagonal/>
    </border>
    <border>
      <left/>
      <right/>
      <top style="thin">
        <color indexed="64"/>
      </top>
      <bottom style="thin">
        <color indexed="64"/>
      </bottom>
      <diagonal/>
    </border>
    <border>
      <left style="thin">
        <color auto="1"/>
      </left>
      <right style="thin">
        <color auto="1"/>
      </right>
      <top style="thin">
        <color indexed="64"/>
      </top>
      <bottom style="thin">
        <color indexed="64"/>
      </bottom>
      <diagonal/>
    </border>
    <border>
      <left/>
      <right/>
      <top style="thin">
        <color indexed="64"/>
      </top>
      <bottom/>
      <diagonal/>
    </border>
    <border>
      <left/>
      <right style="thin">
        <color auto="1"/>
      </right>
      <top/>
      <bottom/>
      <diagonal/>
    </border>
    <border>
      <left/>
      <right style="thin">
        <color auto="1"/>
      </right>
      <top/>
      <bottom style="thin">
        <color indexed="64"/>
      </bottom>
      <diagonal/>
    </border>
    <border>
      <left style="medium">
        <color indexed="64"/>
      </left>
      <right/>
      <top style="hair">
        <color auto="1"/>
      </top>
      <bottom/>
      <diagonal/>
    </border>
    <border>
      <left/>
      <right style="medium">
        <color indexed="64"/>
      </right>
      <top style="hair">
        <color auto="1"/>
      </top>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bottom style="hair">
        <color auto="1"/>
      </bottom>
      <diagonal/>
    </border>
    <border>
      <left/>
      <right style="medium">
        <color indexed="64"/>
      </right>
      <top/>
      <bottom style="hair">
        <color auto="1"/>
      </bottom>
      <diagonal/>
    </border>
    <border>
      <left style="medium">
        <color indexed="64"/>
      </left>
      <right/>
      <top style="thin">
        <color indexed="64"/>
      </top>
      <bottom/>
      <diagonal/>
    </border>
    <border>
      <left/>
      <right/>
      <top style="hair">
        <color auto="1"/>
      </top>
      <bottom/>
      <diagonal/>
    </border>
    <border>
      <left/>
      <right style="thin">
        <color indexed="64"/>
      </right>
      <top style="thin">
        <color indexed="64"/>
      </top>
      <bottom style="thin">
        <color indexed="64"/>
      </bottom>
      <diagonal/>
    </border>
    <border>
      <left style="medium">
        <color indexed="64"/>
      </left>
      <right/>
      <top style="thin">
        <color rgb="FF000000"/>
      </top>
      <bottom/>
      <diagonal/>
    </border>
    <border>
      <left style="medium">
        <color indexed="64"/>
      </left>
      <right/>
      <top style="thin">
        <color rgb="FF000000"/>
      </top>
      <bottom style="medium">
        <color indexed="64"/>
      </bottom>
      <diagonal/>
    </border>
    <border>
      <left style="medium">
        <color indexed="64"/>
      </left>
      <right style="medium">
        <color rgb="FF000000"/>
      </right>
      <top style="medium">
        <color indexed="64"/>
      </top>
      <bottom style="medium">
        <color indexed="64"/>
      </bottom>
      <diagonal/>
    </border>
    <border>
      <left style="medium">
        <color indexed="64"/>
      </left>
      <right style="medium">
        <color rgb="FF000000"/>
      </right>
      <top/>
      <bottom/>
      <diagonal/>
    </border>
    <border>
      <left style="medium">
        <color indexed="64"/>
      </left>
      <right style="medium">
        <color rgb="FF000000"/>
      </right>
      <top style="thin">
        <color rgb="FF000000"/>
      </top>
      <bottom/>
      <diagonal/>
    </border>
    <border>
      <left style="medium">
        <color indexed="64"/>
      </left>
      <right style="medium">
        <color rgb="FF000000"/>
      </right>
      <top style="thin">
        <color rgb="FF000000"/>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rgb="FF000000"/>
      </top>
      <bottom/>
      <diagonal/>
    </border>
    <border>
      <left style="medium">
        <color rgb="FF000000"/>
      </left>
      <right style="medium">
        <color indexed="64"/>
      </right>
      <top/>
      <bottom/>
      <diagonal/>
    </border>
    <border>
      <left style="medium">
        <color indexed="64"/>
      </left>
      <right style="medium">
        <color indexed="64"/>
      </right>
      <top style="thin">
        <color rgb="FF000000"/>
      </top>
      <bottom style="medium">
        <color indexed="64"/>
      </bottom>
      <diagonal/>
    </border>
    <border>
      <left style="medium">
        <color rgb="FF000000"/>
      </left>
      <right style="medium">
        <color rgb="FF000000"/>
      </right>
      <top style="thin">
        <color rgb="FF000000"/>
      </top>
      <bottom style="medium">
        <color indexed="64"/>
      </bottom>
      <diagonal/>
    </border>
    <border>
      <left style="medium">
        <color rgb="FF000000"/>
      </left>
      <right style="medium">
        <color indexed="64"/>
      </right>
      <top style="thin">
        <color rgb="FF000000"/>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s>
  <cellStyleXfs count="11">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0" fontId="1" fillId="0" borderId="0"/>
    <xf numFmtId="8" fontId="42" fillId="0" borderId="0" applyNumberFormat="0" applyFill="0" applyBorder="0" applyAlignment="0" applyProtection="0">
      <alignment horizontal="center"/>
    </xf>
    <xf numFmtId="0" fontId="1" fillId="0" borderId="0"/>
    <xf numFmtId="44" fontId="33" fillId="0" borderId="0" applyFont="0" applyFill="0" applyBorder="0" applyAlignment="0" applyProtection="0"/>
  </cellStyleXfs>
  <cellXfs count="865">
    <xf numFmtId="0" fontId="0" fillId="0" borderId="0" xfId="0"/>
    <xf numFmtId="0" fontId="0" fillId="0" borderId="0" xfId="0" applyAlignment="1">
      <alignment horizontal="left" vertical="center"/>
    </xf>
    <xf numFmtId="0" fontId="0" fillId="5" borderId="0" xfId="0" applyFill="1" applyAlignment="1">
      <alignment horizontal="center" vertical="center"/>
    </xf>
    <xf numFmtId="0" fontId="0" fillId="0" borderId="0" xfId="0" applyAlignment="1">
      <alignment horizontal="center" vertical="center"/>
    </xf>
    <xf numFmtId="0" fontId="0" fillId="6" borderId="0" xfId="0" applyFill="1" applyAlignment="1">
      <alignment horizontal="center" vertical="center"/>
    </xf>
    <xf numFmtId="0" fontId="6" fillId="0" borderId="0" xfId="0" applyFont="1" applyAlignment="1">
      <alignment horizontal="center" vertical="center"/>
    </xf>
    <xf numFmtId="0" fontId="0" fillId="0" borderId="0" xfId="0" applyAlignment="1">
      <alignment horizontal="left"/>
    </xf>
    <xf numFmtId="14" fontId="0" fillId="0" borderId="0" xfId="0" applyNumberFormat="1" applyAlignment="1">
      <alignment horizontal="left"/>
    </xf>
    <xf numFmtId="14" fontId="0" fillId="0" borderId="0" xfId="0" applyNumberFormat="1" applyAlignment="1">
      <alignment horizontal="left" vertical="center"/>
    </xf>
    <xf numFmtId="14" fontId="0" fillId="0" borderId="0" xfId="0" applyNumberFormat="1" applyAlignment="1">
      <alignment horizontal="center" vertical="center"/>
    </xf>
    <xf numFmtId="1" fontId="6" fillId="0" borderId="0" xfId="0" applyNumberFormat="1" applyFont="1" applyAlignment="1">
      <alignment horizontal="center" vertical="center"/>
    </xf>
    <xf numFmtId="1" fontId="9" fillId="0" borderId="0" xfId="0" applyNumberFormat="1" applyFont="1" applyAlignment="1">
      <alignment horizontal="center" vertical="center"/>
    </xf>
    <xf numFmtId="0" fontId="9" fillId="6" borderId="0" xfId="0" applyFont="1" applyFill="1" applyAlignment="1">
      <alignment horizontal="center" vertical="center"/>
    </xf>
    <xf numFmtId="0" fontId="0" fillId="5" borderId="0" xfId="0" applyFill="1"/>
    <xf numFmtId="0" fontId="0" fillId="6" borderId="0" xfId="0" applyFill="1"/>
    <xf numFmtId="0" fontId="0" fillId="0" borderId="1" xfId="0" applyBorder="1" applyAlignment="1">
      <alignment horizontal="center"/>
    </xf>
    <xf numFmtId="164" fontId="0" fillId="0" borderId="1" xfId="0" applyNumberFormat="1" applyBorder="1" applyAlignment="1">
      <alignment horizontal="center"/>
    </xf>
    <xf numFmtId="0" fontId="0" fillId="0" borderId="5" xfId="0" applyBorder="1" applyAlignment="1">
      <alignment horizontal="center"/>
    </xf>
    <xf numFmtId="37" fontId="0" fillId="0" borderId="5" xfId="0" applyNumberFormat="1" applyBorder="1" applyAlignment="1">
      <alignment horizontal="center"/>
    </xf>
    <xf numFmtId="37" fontId="0" fillId="0" borderId="0" xfId="0" applyNumberFormat="1" applyAlignment="1">
      <alignment horizontal="center" vertical="center"/>
    </xf>
    <xf numFmtId="0" fontId="0" fillId="0" borderId="11" xfId="0" applyBorder="1" applyAlignment="1">
      <alignment horizontal="center"/>
    </xf>
    <xf numFmtId="0" fontId="0" fillId="0" borderId="0" xfId="0" quotePrefix="1"/>
    <xf numFmtId="14" fontId="0" fillId="0" borderId="1" xfId="0" applyNumberFormat="1" applyBorder="1" applyAlignment="1">
      <alignment horizontal="center"/>
    </xf>
    <xf numFmtId="164" fontId="0" fillId="0" borderId="6" xfId="0" applyNumberFormat="1" applyBorder="1" applyAlignment="1">
      <alignment horizontal="center" vertical="center"/>
    </xf>
    <xf numFmtId="164" fontId="0" fillId="0" borderId="7" xfId="0" applyNumberFormat="1" applyBorder="1" applyAlignment="1">
      <alignment horizontal="center" vertical="center"/>
    </xf>
    <xf numFmtId="7" fontId="0" fillId="0" borderId="0" xfId="0" applyNumberFormat="1"/>
    <xf numFmtId="14" fontId="0" fillId="0" borderId="11" xfId="0" applyNumberFormat="1" applyBorder="1" applyAlignment="1">
      <alignment horizontal="center"/>
    </xf>
    <xf numFmtId="0" fontId="12" fillId="0" borderId="0" xfId="7" applyFont="1"/>
    <xf numFmtId="169" fontId="12" fillId="8" borderId="12" xfId="0" applyNumberFormat="1" applyFont="1" applyFill="1" applyBorder="1" applyAlignment="1">
      <alignment horizontal="center"/>
    </xf>
    <xf numFmtId="0" fontId="13" fillId="0" borderId="0" xfId="0" applyFont="1" applyAlignment="1">
      <alignment horizontal="left"/>
    </xf>
    <xf numFmtId="0" fontId="14" fillId="0" borderId="1" xfId="0" applyFont="1" applyBorder="1" applyAlignment="1">
      <alignment horizontal="center" vertical="center"/>
    </xf>
    <xf numFmtId="0" fontId="15" fillId="7" borderId="13" xfId="7" applyFont="1" applyFill="1" applyBorder="1" applyAlignment="1">
      <alignment horizontal="left" indent="1"/>
    </xf>
    <xf numFmtId="0" fontId="17" fillId="0" borderId="5" xfId="0" applyFont="1" applyBorder="1" applyAlignment="1">
      <alignment horizontal="center" vertical="center"/>
    </xf>
    <xf numFmtId="0" fontId="6" fillId="0" borderId="5" xfId="0" applyFont="1" applyBorder="1" applyAlignment="1">
      <alignment horizontal="center" vertical="center"/>
    </xf>
    <xf numFmtId="0" fontId="19" fillId="0" borderId="5" xfId="0" applyFont="1" applyBorder="1" applyAlignment="1">
      <alignment horizontal="center" vertical="center"/>
    </xf>
    <xf numFmtId="0" fontId="8" fillId="0" borderId="0" xfId="0" applyFont="1"/>
    <xf numFmtId="0" fontId="0" fillId="0" borderId="5" xfId="0" applyBorder="1" applyAlignment="1">
      <alignment horizontal="center" vertical="center"/>
    </xf>
    <xf numFmtId="0" fontId="15" fillId="7" borderId="16" xfId="7" applyFont="1" applyFill="1" applyBorder="1" applyAlignment="1">
      <alignment horizontal="left" indent="1"/>
    </xf>
    <xf numFmtId="0" fontId="21" fillId="0" borderId="5" xfId="0" applyFont="1" applyBorder="1" applyAlignment="1">
      <alignment horizontal="center" vertical="center"/>
    </xf>
    <xf numFmtId="0" fontId="0" fillId="5" borderId="11" xfId="0" applyFill="1" applyBorder="1"/>
    <xf numFmtId="37" fontId="20" fillId="0" borderId="15" xfId="1" applyNumberFormat="1" applyFont="1" applyBorder="1" applyAlignment="1">
      <alignment horizontal="center"/>
    </xf>
    <xf numFmtId="14" fontId="0" fillId="0" borderId="0" xfId="0" applyNumberFormat="1"/>
    <xf numFmtId="2" fontId="0" fillId="0" borderId="0" xfId="0" applyNumberFormat="1"/>
    <xf numFmtId="14" fontId="0" fillId="0" borderId="2" xfId="0" applyNumberFormat="1" applyBorder="1"/>
    <xf numFmtId="166" fontId="0" fillId="0" borderId="4" xfId="0" applyNumberFormat="1" applyBorder="1" applyAlignment="1">
      <alignment horizontal="center"/>
    </xf>
    <xf numFmtId="14" fontId="0" fillId="0" borderId="6" xfId="0" applyNumberFormat="1" applyBorder="1"/>
    <xf numFmtId="166" fontId="0" fillId="0" borderId="8" xfId="0" applyNumberFormat="1" applyBorder="1" applyAlignment="1">
      <alignment horizontal="center"/>
    </xf>
    <xf numFmtId="0" fontId="0" fillId="0" borderId="4" xfId="0" applyBorder="1" applyAlignment="1">
      <alignment horizontal="center"/>
    </xf>
    <xf numFmtId="14" fontId="0" fillId="0" borderId="9" xfId="0" applyNumberFormat="1" applyBorder="1"/>
    <xf numFmtId="2" fontId="0" fillId="0" borderId="10" xfId="0" applyNumberFormat="1" applyBorder="1" applyAlignment="1">
      <alignment horizontal="center"/>
    </xf>
    <xf numFmtId="0" fontId="0" fillId="0" borderId="9" xfId="0" applyBorder="1" applyAlignment="1">
      <alignment horizontal="left" indent="2"/>
    </xf>
    <xf numFmtId="0" fontId="0" fillId="0" borderId="6" xfId="0" applyBorder="1" applyAlignment="1">
      <alignment horizontal="left" indent="2"/>
    </xf>
    <xf numFmtId="0" fontId="5" fillId="9" borderId="0" xfId="0" applyFont="1" applyFill="1"/>
    <xf numFmtId="0" fontId="5" fillId="9" borderId="0" xfId="0" applyFont="1" applyFill="1" applyAlignment="1">
      <alignment horizontal="left" vertical="center"/>
    </xf>
    <xf numFmtId="0" fontId="5" fillId="9" borderId="0" xfId="0" applyFont="1" applyFill="1" applyAlignment="1">
      <alignment horizontal="center" vertical="center"/>
    </xf>
    <xf numFmtId="0" fontId="0" fillId="10" borderId="0" xfId="0" applyFill="1" applyAlignment="1">
      <alignment horizontal="center" vertical="center"/>
    </xf>
    <xf numFmtId="0" fontId="0" fillId="0" borderId="0" xfId="0" applyAlignment="1">
      <alignment horizontal="center"/>
    </xf>
    <xf numFmtId="0" fontId="7" fillId="0" borderId="0" xfId="0" applyFont="1" applyAlignment="1">
      <alignment horizontal="center"/>
    </xf>
    <xf numFmtId="0" fontId="0" fillId="0" borderId="0" xfId="0" applyAlignment="1">
      <alignment horizontal="left" indent="2"/>
    </xf>
    <xf numFmtId="0" fontId="0" fillId="0" borderId="0" xfId="0" applyAlignment="1">
      <alignment horizontal="left" indent="4"/>
    </xf>
    <xf numFmtId="0" fontId="7" fillId="0" borderId="17" xfId="0" applyFont="1" applyBorder="1"/>
    <xf numFmtId="37" fontId="14" fillId="5" borderId="0" xfId="0" applyNumberFormat="1" applyFont="1" applyFill="1" applyAlignment="1">
      <alignment horizontal="center" vertical="center"/>
    </xf>
    <xf numFmtId="37" fontId="0" fillId="5" borderId="0" xfId="0" applyNumberFormat="1" applyFill="1" applyAlignment="1">
      <alignment horizontal="center" vertical="center"/>
    </xf>
    <xf numFmtId="14" fontId="0" fillId="5" borderId="0" xfId="0" applyNumberFormat="1" applyFont="1" applyFill="1" applyAlignment="1">
      <alignment horizontal="center" vertical="center"/>
    </xf>
    <xf numFmtId="14" fontId="0" fillId="0" borderId="0" xfId="0" applyNumberFormat="1" applyFont="1" applyAlignment="1">
      <alignment horizontal="center" vertical="center"/>
    </xf>
    <xf numFmtId="14" fontId="0" fillId="6" borderId="0" xfId="0" applyNumberFormat="1" applyFont="1" applyFill="1" applyAlignment="1">
      <alignment horizontal="center" vertical="center"/>
    </xf>
    <xf numFmtId="37" fontId="14" fillId="0" borderId="0" xfId="0" applyNumberFormat="1" applyFont="1" applyAlignment="1">
      <alignment horizontal="center" vertical="center"/>
    </xf>
    <xf numFmtId="0" fontId="0" fillId="0" borderId="17" xfId="0" applyBorder="1"/>
    <xf numFmtId="37" fontId="14" fillId="5" borderId="17" xfId="0" applyNumberFormat="1" applyFont="1" applyFill="1" applyBorder="1" applyAlignment="1">
      <alignment horizontal="center" vertical="center"/>
    </xf>
    <xf numFmtId="0" fontId="0" fillId="6" borderId="17" xfId="0" applyFill="1" applyBorder="1"/>
    <xf numFmtId="37" fontId="0" fillId="0" borderId="17" xfId="0" applyNumberFormat="1" applyBorder="1" applyAlignment="1">
      <alignment horizontal="center" vertical="center"/>
    </xf>
    <xf numFmtId="37" fontId="9" fillId="0" borderId="0" xfId="0" applyNumberFormat="1" applyFont="1" applyAlignment="1">
      <alignment horizontal="center" vertical="center"/>
    </xf>
    <xf numFmtId="37" fontId="9" fillId="0" borderId="17" xfId="0" applyNumberFormat="1" applyFont="1" applyBorder="1" applyAlignment="1">
      <alignment horizontal="center" vertical="center"/>
    </xf>
    <xf numFmtId="168" fontId="0" fillId="0" borderId="0" xfId="3" applyNumberFormat="1" applyFont="1" applyAlignment="1">
      <alignment horizontal="center"/>
    </xf>
    <xf numFmtId="37" fontId="9" fillId="5" borderId="0" xfId="0" applyNumberFormat="1" applyFont="1" applyFill="1" applyAlignment="1">
      <alignment horizontal="center" vertical="center"/>
    </xf>
    <xf numFmtId="171" fontId="0" fillId="0" borderId="0" xfId="0" applyNumberFormat="1" applyAlignment="1">
      <alignment horizontal="center" vertical="center"/>
    </xf>
    <xf numFmtId="37" fontId="0" fillId="6" borderId="0" xfId="0" applyNumberFormat="1" applyFill="1" applyAlignment="1">
      <alignment horizontal="center" vertical="center"/>
    </xf>
    <xf numFmtId="7" fontId="0" fillId="5" borderId="0" xfId="0" applyNumberFormat="1" applyFill="1" applyAlignment="1">
      <alignment horizontal="center"/>
    </xf>
    <xf numFmtId="7" fontId="0" fillId="0" borderId="0" xfId="0" applyNumberFormat="1" applyAlignment="1">
      <alignment horizontal="center"/>
    </xf>
    <xf numFmtId="7" fontId="0" fillId="6" borderId="0" xfId="0" applyNumberFormat="1" applyFill="1" applyAlignment="1">
      <alignment horizontal="center"/>
    </xf>
    <xf numFmtId="0" fontId="0" fillId="0" borderId="17" xfId="0" applyBorder="1" applyAlignment="1">
      <alignment horizontal="left"/>
    </xf>
    <xf numFmtId="0" fontId="7" fillId="0" borderId="0" xfId="0" applyFont="1" applyBorder="1"/>
    <xf numFmtId="37" fontId="7" fillId="0" borderId="0" xfId="0" applyNumberFormat="1" applyFont="1" applyBorder="1" applyAlignment="1">
      <alignment horizontal="center" vertical="center"/>
    </xf>
    <xf numFmtId="0" fontId="0" fillId="0" borderId="0" xfId="0" applyAlignment="1">
      <alignment horizontal="left" indent="3"/>
    </xf>
    <xf numFmtId="37" fontId="7" fillId="0" borderId="0" xfId="0" applyNumberFormat="1" applyFont="1" applyBorder="1" applyAlignment="1">
      <alignment horizontal="center"/>
    </xf>
    <xf numFmtId="0" fontId="7" fillId="0" borderId="0" xfId="0" applyFont="1" applyBorder="1" applyAlignment="1">
      <alignment horizontal="left"/>
    </xf>
    <xf numFmtId="0" fontId="23" fillId="0" borderId="0" xfId="0" applyFont="1" applyBorder="1"/>
    <xf numFmtId="37" fontId="23" fillId="5" borderId="0" xfId="0" applyNumberFormat="1" applyFont="1" applyFill="1" applyBorder="1" applyAlignment="1">
      <alignment horizontal="center"/>
    </xf>
    <xf numFmtId="0" fontId="23" fillId="0" borderId="0" xfId="0" applyFont="1" applyBorder="1" applyAlignment="1">
      <alignment horizontal="center"/>
    </xf>
    <xf numFmtId="37" fontId="23" fillId="0" borderId="0" xfId="0" applyNumberFormat="1" applyFont="1" applyBorder="1" applyAlignment="1">
      <alignment horizontal="center"/>
    </xf>
    <xf numFmtId="0" fontId="23" fillId="6" borderId="0" xfId="0" applyFont="1" applyFill="1" applyBorder="1" applyAlignment="1">
      <alignment horizontal="center"/>
    </xf>
    <xf numFmtId="0" fontId="0" fillId="0" borderId="0" xfId="0" applyFont="1" applyBorder="1" applyAlignment="1">
      <alignment horizontal="left" indent="2"/>
    </xf>
    <xf numFmtId="0" fontId="0" fillId="0" borderId="0" xfId="0" applyFont="1" applyFill="1" applyBorder="1" applyAlignment="1">
      <alignment horizontal="left" indent="2"/>
    </xf>
    <xf numFmtId="37" fontId="24" fillId="0" borderId="0" xfId="0" applyNumberFormat="1" applyFont="1" applyBorder="1" applyAlignment="1">
      <alignment horizontal="center"/>
    </xf>
    <xf numFmtId="37" fontId="7" fillId="0" borderId="17" xfId="0" applyNumberFormat="1" applyFont="1" applyBorder="1" applyAlignment="1">
      <alignment horizontal="center" vertical="center"/>
    </xf>
    <xf numFmtId="37" fontId="7" fillId="6" borderId="17" xfId="0" applyNumberFormat="1" applyFont="1" applyFill="1" applyBorder="1" applyAlignment="1">
      <alignment horizontal="center" vertical="center"/>
    </xf>
    <xf numFmtId="37" fontId="24" fillId="6" borderId="0" xfId="0" applyNumberFormat="1" applyFont="1" applyFill="1" applyBorder="1" applyAlignment="1">
      <alignment horizontal="center"/>
    </xf>
    <xf numFmtId="0" fontId="8" fillId="0" borderId="0" xfId="0" applyFont="1" applyBorder="1" applyAlignment="1">
      <alignment horizontal="left"/>
    </xf>
    <xf numFmtId="0" fontId="26" fillId="0" borderId="0" xfId="0" applyFont="1" applyBorder="1"/>
    <xf numFmtId="37" fontId="13" fillId="0" borderId="0" xfId="0" applyNumberFormat="1" applyFont="1" applyBorder="1" applyAlignment="1">
      <alignment horizontal="center"/>
    </xf>
    <xf numFmtId="37" fontId="13" fillId="6" borderId="0" xfId="0" applyNumberFormat="1" applyFont="1" applyFill="1" applyBorder="1" applyAlignment="1">
      <alignment horizontal="center"/>
    </xf>
    <xf numFmtId="37" fontId="13" fillId="5" borderId="0" xfId="0" applyNumberFormat="1" applyFont="1" applyFill="1" applyBorder="1" applyAlignment="1">
      <alignment horizontal="center"/>
    </xf>
    <xf numFmtId="0" fontId="30" fillId="0" borderId="0" xfId="0" applyFont="1" applyAlignment="1">
      <alignment horizontal="center"/>
    </xf>
    <xf numFmtId="0" fontId="0" fillId="0" borderId="10" xfId="0" applyBorder="1" applyAlignment="1">
      <alignment horizontal="center"/>
    </xf>
    <xf numFmtId="0" fontId="0" fillId="0" borderId="9" xfId="0" applyBorder="1"/>
    <xf numFmtId="0" fontId="7" fillId="0" borderId="9" xfId="0" applyFont="1" applyBorder="1"/>
    <xf numFmtId="0" fontId="0" fillId="0" borderId="18" xfId="0" applyBorder="1" applyAlignment="1">
      <alignment horizontal="center"/>
    </xf>
    <xf numFmtId="0" fontId="0" fillId="0" borderId="19" xfId="0" quotePrefix="1" applyBorder="1" applyAlignment="1">
      <alignment horizontal="center"/>
    </xf>
    <xf numFmtId="0" fontId="0" fillId="0" borderId="19" xfId="0" applyBorder="1" applyAlignment="1">
      <alignment horizontal="center"/>
    </xf>
    <xf numFmtId="7" fontId="32" fillId="0" borderId="0" xfId="0" applyNumberFormat="1" applyFont="1" applyAlignment="1">
      <alignment horizontal="center"/>
    </xf>
    <xf numFmtId="0" fontId="32" fillId="0" borderId="0" xfId="0" applyFont="1" applyAlignment="1">
      <alignment horizontal="center"/>
    </xf>
    <xf numFmtId="173" fontId="32" fillId="0" borderId="0" xfId="0" applyNumberFormat="1" applyFont="1" applyAlignment="1">
      <alignment horizontal="center"/>
    </xf>
    <xf numFmtId="5" fontId="32" fillId="0" borderId="0" xfId="0" applyNumberFormat="1" applyFont="1" applyAlignment="1">
      <alignment horizontal="center"/>
    </xf>
    <xf numFmtId="7" fontId="4" fillId="4" borderId="0" xfId="6" applyNumberFormat="1" applyAlignment="1">
      <alignment horizontal="center"/>
    </xf>
    <xf numFmtId="5" fontId="4" fillId="4" borderId="0" xfId="6" applyNumberFormat="1" applyAlignment="1">
      <alignment horizontal="center"/>
    </xf>
    <xf numFmtId="167" fontId="32" fillId="0" borderId="0" xfId="0" applyNumberFormat="1" applyFont="1" applyAlignment="1">
      <alignment horizontal="center"/>
    </xf>
    <xf numFmtId="168" fontId="32" fillId="0" borderId="0" xfId="3" applyNumberFormat="1" applyFont="1" applyAlignment="1">
      <alignment horizontal="center"/>
    </xf>
    <xf numFmtId="7" fontId="19" fillId="0" borderId="0" xfId="0" applyNumberFormat="1" applyFont="1" applyAlignment="1">
      <alignment horizontal="center"/>
    </xf>
    <xf numFmtId="0" fontId="19" fillId="0" borderId="0" xfId="0" applyFont="1" applyAlignment="1">
      <alignment horizontal="center"/>
    </xf>
    <xf numFmtId="173" fontId="19" fillId="0" borderId="0" xfId="0" applyNumberFormat="1" applyFont="1" applyAlignment="1">
      <alignment horizontal="center"/>
    </xf>
    <xf numFmtId="5" fontId="19" fillId="0" borderId="0" xfId="0" applyNumberFormat="1" applyFont="1" applyAlignment="1">
      <alignment horizontal="center"/>
    </xf>
    <xf numFmtId="167" fontId="19" fillId="0" borderId="0" xfId="0" applyNumberFormat="1" applyFont="1" applyAlignment="1">
      <alignment horizontal="center"/>
    </xf>
    <xf numFmtId="168" fontId="19" fillId="0" borderId="0" xfId="3" applyNumberFormat="1" applyFont="1" applyAlignment="1">
      <alignment horizontal="center"/>
    </xf>
    <xf numFmtId="0" fontId="0" fillId="5" borderId="0" xfId="0" applyFill="1" applyAlignment="1">
      <alignment horizontal="center"/>
    </xf>
    <xf numFmtId="7" fontId="19" fillId="5" borderId="0" xfId="0" applyNumberFormat="1" applyFont="1" applyFill="1" applyAlignment="1">
      <alignment horizontal="center"/>
    </xf>
    <xf numFmtId="0" fontId="19" fillId="5" borderId="0" xfId="0" applyFont="1" applyFill="1" applyAlignment="1">
      <alignment horizontal="center"/>
    </xf>
    <xf numFmtId="173" fontId="19" fillId="5" borderId="0" xfId="0" applyNumberFormat="1" applyFont="1" applyFill="1" applyAlignment="1">
      <alignment horizontal="center"/>
    </xf>
    <xf numFmtId="5" fontId="19" fillId="5" borderId="0" xfId="0" applyNumberFormat="1" applyFont="1" applyFill="1" applyAlignment="1">
      <alignment horizontal="center"/>
    </xf>
    <xf numFmtId="167" fontId="19" fillId="5" borderId="0" xfId="0" applyNumberFormat="1" applyFont="1" applyFill="1" applyAlignment="1">
      <alignment horizontal="center"/>
    </xf>
    <xf numFmtId="168" fontId="19" fillId="5" borderId="0" xfId="3" applyNumberFormat="1" applyFont="1" applyFill="1" applyAlignment="1">
      <alignment horizontal="center"/>
    </xf>
    <xf numFmtId="168" fontId="7" fillId="0" borderId="0" xfId="3" applyNumberFormat="1" applyFont="1" applyAlignment="1">
      <alignment horizontal="center"/>
    </xf>
    <xf numFmtId="0" fontId="0" fillId="0" borderId="0" xfId="0" applyBorder="1" applyAlignment="1">
      <alignment horizontal="center"/>
    </xf>
    <xf numFmtId="0" fontId="7" fillId="0" borderId="0" xfId="0" applyFont="1" applyBorder="1" applyAlignment="1">
      <alignment horizontal="center"/>
    </xf>
    <xf numFmtId="9" fontId="7" fillId="0" borderId="0" xfId="0" applyNumberFormat="1" applyFont="1" applyBorder="1" applyAlignment="1">
      <alignment horizontal="center"/>
    </xf>
    <xf numFmtId="7" fontId="0" fillId="0" borderId="0" xfId="0" applyNumberFormat="1" applyBorder="1" applyAlignment="1">
      <alignment horizontal="center"/>
    </xf>
    <xf numFmtId="9" fontId="0" fillId="0" borderId="0" xfId="0" applyNumberFormat="1" applyBorder="1" applyAlignment="1">
      <alignment horizontal="center"/>
    </xf>
    <xf numFmtId="5" fontId="0" fillId="0" borderId="0" xfId="0" applyNumberFormat="1" applyBorder="1" applyAlignment="1">
      <alignment horizontal="center"/>
    </xf>
    <xf numFmtId="167" fontId="0" fillId="0" borderId="0" xfId="0" applyNumberFormat="1" applyBorder="1" applyAlignment="1">
      <alignment horizontal="center"/>
    </xf>
    <xf numFmtId="0" fontId="0" fillId="5" borderId="0" xfId="0" applyFill="1" applyBorder="1" applyAlignment="1">
      <alignment horizontal="center"/>
    </xf>
    <xf numFmtId="7" fontId="0" fillId="5" borderId="0" xfId="0" applyNumberFormat="1" applyFill="1" applyBorder="1" applyAlignment="1">
      <alignment horizontal="center"/>
    </xf>
    <xf numFmtId="9" fontId="0" fillId="5" borderId="0" xfId="0" applyNumberFormat="1" applyFill="1" applyBorder="1" applyAlignment="1">
      <alignment horizontal="center"/>
    </xf>
    <xf numFmtId="165" fontId="0" fillId="5" borderId="0" xfId="0" applyNumberFormat="1" applyFill="1" applyBorder="1" applyAlignment="1">
      <alignment horizontal="center"/>
    </xf>
    <xf numFmtId="167" fontId="0" fillId="5" borderId="0" xfId="0" applyNumberFormat="1" applyFill="1" applyBorder="1" applyAlignment="1">
      <alignment horizontal="center"/>
    </xf>
    <xf numFmtId="0" fontId="0" fillId="0" borderId="0" xfId="0" applyBorder="1"/>
    <xf numFmtId="37" fontId="0" fillId="0" borderId="0" xfId="0" applyNumberFormat="1" applyBorder="1" applyAlignment="1">
      <alignment horizontal="center" vertical="center"/>
    </xf>
    <xf numFmtId="0" fontId="0" fillId="0" borderId="10" xfId="0" applyBorder="1"/>
    <xf numFmtId="0" fontId="0" fillId="0" borderId="0" xfId="0" applyAlignment="1">
      <alignment vertical="center"/>
    </xf>
    <xf numFmtId="0" fontId="0" fillId="0" borderId="7" xfId="0" applyBorder="1"/>
    <xf numFmtId="0" fontId="0" fillId="5" borderId="0" xfId="0" applyFill="1" applyBorder="1"/>
    <xf numFmtId="0" fontId="0" fillId="0" borderId="0" xfId="0" applyBorder="1" applyAlignment="1">
      <alignment horizontal="center" vertical="center"/>
    </xf>
    <xf numFmtId="0" fontId="36" fillId="0" borderId="0" xfId="0" applyFont="1"/>
    <xf numFmtId="0" fontId="37" fillId="0" borderId="0" xfId="0" applyFont="1" applyAlignment="1">
      <alignment vertical="center"/>
    </xf>
    <xf numFmtId="0" fontId="9" fillId="0" borderId="0" xfId="0" applyFont="1" applyAlignment="1">
      <alignment vertical="center"/>
    </xf>
    <xf numFmtId="0" fontId="36" fillId="0" borderId="0" xfId="0" applyFont="1" applyAlignment="1">
      <alignment vertical="center"/>
    </xf>
    <xf numFmtId="0" fontId="9" fillId="0" borderId="0" xfId="0" applyFont="1"/>
    <xf numFmtId="4" fontId="9" fillId="0" borderId="0" xfId="0" applyNumberFormat="1" applyFont="1" applyAlignment="1">
      <alignment horizontal="center" vertical="center"/>
    </xf>
    <xf numFmtId="3" fontId="14" fillId="0" borderId="0" xfId="0" applyNumberFormat="1" applyFont="1" applyAlignment="1">
      <alignment horizontal="center" vertical="center"/>
    </xf>
    <xf numFmtId="174" fontId="0" fillId="0" borderId="0" xfId="0" applyNumberFormat="1" applyAlignment="1">
      <alignment vertical="center"/>
    </xf>
    <xf numFmtId="0" fontId="0" fillId="0" borderId="2" xfId="0" applyBorder="1" applyAlignment="1">
      <alignment vertical="center"/>
    </xf>
    <xf numFmtId="9" fontId="14" fillId="0" borderId="3" xfId="0" applyNumberFormat="1" applyFont="1" applyBorder="1" applyAlignment="1">
      <alignment horizontal="center" vertical="center"/>
    </xf>
    <xf numFmtId="9" fontId="14" fillId="0" borderId="4" xfId="0" applyNumberFormat="1" applyFont="1" applyBorder="1" applyAlignment="1">
      <alignment horizontal="center" vertical="center"/>
    </xf>
    <xf numFmtId="0" fontId="14" fillId="0" borderId="0" xfId="0" applyFont="1" applyAlignment="1">
      <alignment horizontal="left"/>
    </xf>
    <xf numFmtId="0" fontId="9" fillId="0" borderId="9" xfId="0" applyFont="1" applyBorder="1"/>
    <xf numFmtId="172" fontId="14" fillId="0" borderId="10" xfId="0" applyNumberFormat="1" applyFont="1" applyBorder="1" applyAlignment="1">
      <alignment horizontal="center"/>
    </xf>
    <xf numFmtId="0" fontId="5" fillId="7" borderId="2" xfId="0" applyFont="1" applyFill="1" applyBorder="1" applyAlignment="1">
      <alignment horizontal="centerContinuous"/>
    </xf>
    <xf numFmtId="0" fontId="27" fillId="7" borderId="4" xfId="0" applyFont="1" applyFill="1" applyBorder="1" applyAlignment="1">
      <alignment horizontal="centerContinuous"/>
    </xf>
    <xf numFmtId="0" fontId="5" fillId="7" borderId="9" xfId="0" applyFont="1" applyFill="1" applyBorder="1" applyAlignment="1">
      <alignment horizontal="centerContinuous"/>
    </xf>
    <xf numFmtId="0" fontId="5" fillId="7" borderId="0" xfId="0" applyFont="1" applyFill="1" applyAlignment="1">
      <alignment horizontal="centerContinuous"/>
    </xf>
    <xf numFmtId="0" fontId="5" fillId="7" borderId="10" xfId="0" applyFont="1" applyFill="1" applyBorder="1" applyAlignment="1">
      <alignment horizontal="centerContinuous"/>
    </xf>
    <xf numFmtId="0" fontId="27" fillId="7" borderId="0" xfId="0" applyFont="1" applyFill="1" applyAlignment="1">
      <alignment horizontal="centerContinuous"/>
    </xf>
    <xf numFmtId="0" fontId="0" fillId="12" borderId="24" xfId="0" applyFill="1" applyBorder="1"/>
    <xf numFmtId="0" fontId="9" fillId="0" borderId="26" xfId="0" applyFont="1" applyBorder="1"/>
    <xf numFmtId="175" fontId="38" fillId="0" borderId="18" xfId="0" applyNumberFormat="1" applyFont="1" applyBorder="1" applyAlignment="1">
      <alignment horizontal="center"/>
    </xf>
    <xf numFmtId="175" fontId="38" fillId="0" borderId="27" xfId="0" applyNumberFormat="1" applyFont="1" applyBorder="1" applyAlignment="1">
      <alignment horizontal="center"/>
    </xf>
    <xf numFmtId="0" fontId="39" fillId="0" borderId="0" xfId="0" applyFont="1" applyAlignment="1">
      <alignment horizontal="centerContinuous" vertical="center"/>
    </xf>
    <xf numFmtId="0" fontId="0" fillId="12" borderId="9" xfId="0" applyFill="1" applyBorder="1"/>
    <xf numFmtId="5" fontId="40" fillId="0" borderId="21" xfId="0" applyNumberFormat="1" applyFont="1" applyBorder="1" applyAlignment="1">
      <alignment horizontal="center"/>
    </xf>
    <xf numFmtId="5" fontId="24" fillId="0" borderId="21" xfId="0" applyNumberFormat="1" applyFont="1" applyBorder="1" applyAlignment="1">
      <alignment horizontal="center"/>
    </xf>
    <xf numFmtId="5" fontId="24" fillId="0" borderId="28" xfId="0" applyNumberFormat="1" applyFont="1" applyBorder="1" applyAlignment="1">
      <alignment horizontal="center"/>
    </xf>
    <xf numFmtId="8" fontId="27" fillId="0" borderId="0" xfId="0" applyNumberFormat="1" applyFont="1" applyAlignment="1">
      <alignment horizontal="right" vertical="center" indent="2"/>
    </xf>
    <xf numFmtId="170" fontId="39" fillId="0" borderId="0" xfId="0" applyNumberFormat="1" applyFont="1" applyAlignment="1">
      <alignment horizontal="right" vertical="center" indent="2"/>
    </xf>
    <xf numFmtId="0" fontId="8" fillId="0" borderId="9" xfId="0" applyFont="1" applyBorder="1" applyAlignment="1">
      <alignment horizontal="left" indent="1"/>
    </xf>
    <xf numFmtId="9" fontId="13" fillId="0" borderId="0" xfId="3" applyFont="1" applyBorder="1" applyAlignment="1">
      <alignment horizontal="center" vertical="center"/>
    </xf>
    <xf numFmtId="9" fontId="35" fillId="0" borderId="0" xfId="3" applyFont="1" applyBorder="1" applyAlignment="1">
      <alignment horizontal="center" vertical="center"/>
    </xf>
    <xf numFmtId="9" fontId="35" fillId="0" borderId="10" xfId="3" applyFont="1" applyBorder="1" applyAlignment="1">
      <alignment horizontal="center" vertical="center"/>
    </xf>
    <xf numFmtId="8" fontId="0" fillId="0" borderId="2" xfId="0" applyNumberFormat="1" applyBorder="1" applyAlignment="1">
      <alignment horizontal="right" vertical="center" indent="2"/>
    </xf>
    <xf numFmtId="8" fontId="0" fillId="0" borderId="3" xfId="0" applyNumberFormat="1" applyBorder="1" applyAlignment="1">
      <alignment horizontal="right" vertical="center" indent="2"/>
    </xf>
    <xf numFmtId="8" fontId="0" fillId="0" borderId="4" xfId="0" applyNumberFormat="1" applyBorder="1" applyAlignment="1">
      <alignment horizontal="right" vertical="center" indent="2"/>
    </xf>
    <xf numFmtId="8" fontId="0" fillId="0" borderId="9" xfId="0" applyNumberFormat="1" applyBorder="1" applyAlignment="1">
      <alignment horizontal="right" vertical="center" indent="2"/>
    </xf>
    <xf numFmtId="8" fontId="0" fillId="0" borderId="0" xfId="0" applyNumberFormat="1" applyAlignment="1">
      <alignment horizontal="right" vertical="center" indent="2"/>
    </xf>
    <xf numFmtId="8" fontId="0" fillId="0" borderId="10" xfId="0" applyNumberFormat="1" applyBorder="1" applyAlignment="1">
      <alignment horizontal="right" vertical="center" indent="2"/>
    </xf>
    <xf numFmtId="0" fontId="24" fillId="0" borderId="9" xfId="0" applyFont="1" applyBorder="1"/>
    <xf numFmtId="5" fontId="24" fillId="0" borderId="10" xfId="0" applyNumberFormat="1" applyFont="1" applyBorder="1" applyAlignment="1">
      <alignment horizontal="center"/>
    </xf>
    <xf numFmtId="168" fontId="13" fillId="0" borderId="0" xfId="3" applyNumberFormat="1" applyFont="1" applyBorder="1" applyAlignment="1">
      <alignment horizontal="center" vertical="center"/>
    </xf>
    <xf numFmtId="168" fontId="6" fillId="0" borderId="0" xfId="3" applyNumberFormat="1" applyFont="1" applyBorder="1" applyAlignment="1">
      <alignment horizontal="center" vertical="center"/>
    </xf>
    <xf numFmtId="168" fontId="6" fillId="0" borderId="10" xfId="3" applyNumberFormat="1" applyFont="1" applyBorder="1" applyAlignment="1">
      <alignment horizontal="center" vertical="center"/>
    </xf>
    <xf numFmtId="0" fontId="0" fillId="12" borderId="29" xfId="0" applyFill="1" applyBorder="1"/>
    <xf numFmtId="9" fontId="13" fillId="0" borderId="0" xfId="3" quotePrefix="1" applyFont="1" applyBorder="1" applyAlignment="1">
      <alignment horizontal="center" vertical="center"/>
    </xf>
    <xf numFmtId="9" fontId="13" fillId="0" borderId="10" xfId="3" applyFont="1" applyBorder="1" applyAlignment="1">
      <alignment horizontal="center" vertical="center"/>
    </xf>
    <xf numFmtId="8" fontId="0" fillId="0" borderId="6" xfId="0" applyNumberFormat="1" applyBorder="1" applyAlignment="1">
      <alignment horizontal="right" indent="2"/>
    </xf>
    <xf numFmtId="8" fontId="0" fillId="0" borderId="7" xfId="0" applyNumberFormat="1" applyBorder="1" applyAlignment="1">
      <alignment horizontal="right" indent="2"/>
    </xf>
    <xf numFmtId="8" fontId="0" fillId="0" borderId="8" xfId="0" applyNumberFormat="1" applyBorder="1" applyAlignment="1">
      <alignment horizontal="right" indent="2"/>
    </xf>
    <xf numFmtId="0" fontId="27" fillId="7" borderId="10" xfId="0" applyFont="1" applyFill="1" applyBorder="1" applyAlignment="1">
      <alignment horizontal="centerContinuous"/>
    </xf>
    <xf numFmtId="0" fontId="9" fillId="0" borderId="9" xfId="0" applyFont="1" applyBorder="1" applyAlignment="1">
      <alignment horizontal="left" indent="1"/>
    </xf>
    <xf numFmtId="0" fontId="24" fillId="0" borderId="9" xfId="0" applyFont="1" applyBorder="1" applyAlignment="1">
      <alignment horizontal="left"/>
    </xf>
    <xf numFmtId="37" fontId="6" fillId="0" borderId="10" xfId="0" applyNumberFormat="1" applyFont="1" applyBorder="1" applyAlignment="1">
      <alignment horizontal="center"/>
    </xf>
    <xf numFmtId="0" fontId="9" fillId="0" borderId="26" xfId="0" applyFont="1" applyBorder="1" applyAlignment="1">
      <alignment horizontal="left" indent="1"/>
    </xf>
    <xf numFmtId="37" fontId="41" fillId="0" borderId="18" xfId="0" applyNumberFormat="1" applyFont="1" applyBorder="1" applyAlignment="1">
      <alignment horizontal="center"/>
    </xf>
    <xf numFmtId="0" fontId="0" fillId="0" borderId="24" xfId="0" applyBorder="1"/>
    <xf numFmtId="0" fontId="0" fillId="0" borderId="25" xfId="0" applyBorder="1"/>
    <xf numFmtId="178" fontId="9" fillId="0" borderId="10" xfId="0" applyNumberFormat="1" applyFont="1" applyBorder="1" applyAlignment="1">
      <alignment horizontal="center"/>
    </xf>
    <xf numFmtId="39" fontId="9" fillId="0" borderId="10" xfId="0" applyNumberFormat="1" applyFont="1" applyBorder="1" applyAlignment="1">
      <alignment horizontal="center"/>
    </xf>
    <xf numFmtId="0" fontId="24" fillId="0" borderId="31" xfId="0" applyFont="1" applyBorder="1" applyAlignment="1">
      <alignment horizontal="left"/>
    </xf>
    <xf numFmtId="0" fontId="7" fillId="12" borderId="24" xfId="0" applyFont="1" applyFill="1" applyBorder="1" applyAlignment="1">
      <alignment horizontal="left" indent="1"/>
    </xf>
    <xf numFmtId="5" fontId="7" fillId="12" borderId="32" xfId="0" applyNumberFormat="1" applyFont="1" applyFill="1" applyBorder="1" applyAlignment="1">
      <alignment horizontal="right" indent="2"/>
    </xf>
    <xf numFmtId="170" fontId="7" fillId="12" borderId="32" xfId="0" applyNumberFormat="1" applyFont="1" applyFill="1" applyBorder="1" applyAlignment="1">
      <alignment horizontal="right" indent="2"/>
    </xf>
    <xf numFmtId="0" fontId="0" fillId="12" borderId="9" xfId="0" applyFill="1" applyBorder="1" applyAlignment="1">
      <alignment horizontal="left" indent="1"/>
    </xf>
    <xf numFmtId="0" fontId="0" fillId="12" borderId="6" xfId="0" applyFill="1" applyBorder="1"/>
    <xf numFmtId="37" fontId="7" fillId="12" borderId="32" xfId="0" applyNumberFormat="1" applyFont="1" applyFill="1" applyBorder="1" applyAlignment="1">
      <alignment horizontal="right" indent="2"/>
    </xf>
    <xf numFmtId="39" fontId="7" fillId="12" borderId="32" xfId="0" applyNumberFormat="1" applyFont="1" applyFill="1" applyBorder="1" applyAlignment="1">
      <alignment horizontal="right" indent="2"/>
    </xf>
    <xf numFmtId="179" fontId="7" fillId="12" borderId="32" xfId="0" applyNumberFormat="1" applyFont="1" applyFill="1" applyBorder="1" applyAlignment="1">
      <alignment horizontal="right" indent="2"/>
    </xf>
    <xf numFmtId="0" fontId="7" fillId="12" borderId="9" xfId="0" applyFont="1" applyFill="1" applyBorder="1" applyAlignment="1">
      <alignment horizontal="left" indent="1"/>
    </xf>
    <xf numFmtId="0" fontId="8" fillId="12" borderId="9" xfId="0" applyFont="1" applyFill="1" applyBorder="1" applyAlignment="1">
      <alignment horizontal="left" indent="1"/>
    </xf>
    <xf numFmtId="0" fontId="0" fillId="12" borderId="6" xfId="0" applyFill="1" applyBorder="1" applyAlignment="1">
      <alignment horizontal="left" indent="1"/>
    </xf>
    <xf numFmtId="37" fontId="0" fillId="12" borderId="7" xfId="0" applyNumberFormat="1" applyFill="1" applyBorder="1" applyAlignment="1">
      <alignment horizontal="right" indent="2"/>
    </xf>
    <xf numFmtId="179" fontId="0" fillId="12" borderId="7" xfId="0" applyNumberFormat="1" applyFill="1" applyBorder="1" applyAlignment="1">
      <alignment horizontal="right" indent="2"/>
    </xf>
    <xf numFmtId="37" fontId="7" fillId="12" borderId="25" xfId="0" applyNumberFormat="1" applyFont="1" applyFill="1" applyBorder="1" applyAlignment="1">
      <alignment horizontal="center" vertical="center"/>
    </xf>
    <xf numFmtId="37" fontId="0" fillId="12" borderId="10" xfId="0" applyNumberFormat="1" applyFill="1" applyBorder="1" applyAlignment="1">
      <alignment horizontal="center" vertical="center"/>
    </xf>
    <xf numFmtId="171" fontId="8" fillId="12" borderId="10" xfId="0" applyNumberFormat="1" applyFont="1" applyFill="1" applyBorder="1" applyAlignment="1">
      <alignment horizontal="center" vertical="center"/>
    </xf>
    <xf numFmtId="168" fontId="8" fillId="12" borderId="10" xfId="0" applyNumberFormat="1" applyFont="1" applyFill="1" applyBorder="1" applyAlignment="1">
      <alignment horizontal="center" vertical="center"/>
    </xf>
    <xf numFmtId="37" fontId="9" fillId="12" borderId="8" xfId="0" applyNumberFormat="1" applyFont="1" applyFill="1" applyBorder="1" applyAlignment="1">
      <alignment horizontal="center" vertical="center"/>
    </xf>
    <xf numFmtId="164" fontId="7" fillId="12" borderId="10" xfId="0" applyNumberFormat="1" applyFont="1" applyFill="1" applyBorder="1" applyAlignment="1">
      <alignment horizontal="center" vertical="center"/>
    </xf>
    <xf numFmtId="0" fontId="45" fillId="14" borderId="22" xfId="7" applyFont="1" applyFill="1" applyBorder="1"/>
    <xf numFmtId="0" fontId="46" fillId="15" borderId="0" xfId="9" applyFont="1" applyFill="1"/>
    <xf numFmtId="0" fontId="33" fillId="15" borderId="22" xfId="9" applyFont="1" applyFill="1" applyBorder="1"/>
    <xf numFmtId="0" fontId="33" fillId="15" borderId="0" xfId="9" applyFont="1" applyFill="1"/>
    <xf numFmtId="0" fontId="45" fillId="15" borderId="0" xfId="9" applyFont="1" applyFill="1"/>
    <xf numFmtId="0" fontId="47" fillId="14" borderId="22" xfId="7" applyFont="1" applyFill="1" applyBorder="1"/>
    <xf numFmtId="0" fontId="48" fillId="15" borderId="22" xfId="7" applyFont="1" applyFill="1" applyBorder="1"/>
    <xf numFmtId="0" fontId="48" fillId="15" borderId="0" xfId="7" applyFont="1" applyFill="1"/>
    <xf numFmtId="0" fontId="50" fillId="15" borderId="0" xfId="9" applyFont="1" applyFill="1" applyAlignment="1">
      <alignment horizontal="center" vertical="top"/>
    </xf>
    <xf numFmtId="0" fontId="45" fillId="15" borderId="22" xfId="9" applyFont="1" applyFill="1" applyBorder="1"/>
    <xf numFmtId="0" fontId="49" fillId="14" borderId="22" xfId="7" applyFont="1" applyFill="1" applyBorder="1" applyAlignment="1">
      <alignment wrapText="1"/>
    </xf>
    <xf numFmtId="0" fontId="51" fillId="15" borderId="0" xfId="9" applyFont="1" applyFill="1" applyAlignment="1">
      <alignment horizontal="center"/>
    </xf>
    <xf numFmtId="0" fontId="34" fillId="15" borderId="22" xfId="9" applyFont="1" applyFill="1" applyBorder="1" applyAlignment="1">
      <alignment vertical="center"/>
    </xf>
    <xf numFmtId="0" fontId="52" fillId="14" borderId="33" xfId="9" applyFont="1" applyFill="1" applyBorder="1" applyAlignment="1">
      <alignment horizontal="center" vertical="center"/>
    </xf>
    <xf numFmtId="0" fontId="34" fillId="15" borderId="23" xfId="9" applyFont="1" applyFill="1" applyBorder="1"/>
    <xf numFmtId="14" fontId="33" fillId="14" borderId="33" xfId="9" applyNumberFormat="1" applyFont="1" applyFill="1" applyBorder="1" applyAlignment="1">
      <alignment horizontal="right"/>
    </xf>
    <xf numFmtId="0" fontId="33" fillId="15" borderId="33" xfId="9" applyFont="1" applyFill="1" applyBorder="1" applyAlignment="1">
      <alignment horizontal="right"/>
    </xf>
    <xf numFmtId="0" fontId="33" fillId="15" borderId="20" xfId="9" applyFont="1" applyFill="1" applyBorder="1" applyAlignment="1">
      <alignment horizontal="right"/>
    </xf>
    <xf numFmtId="0" fontId="49" fillId="14" borderId="22" xfId="7" applyFont="1" applyFill="1" applyBorder="1" applyAlignment="1">
      <alignment horizontal="left" wrapText="1"/>
    </xf>
    <xf numFmtId="0" fontId="53" fillId="14" borderId="22" xfId="7" applyFont="1" applyFill="1" applyBorder="1"/>
    <xf numFmtId="0" fontId="33" fillId="15" borderId="18" xfId="9" applyFont="1" applyFill="1" applyBorder="1"/>
    <xf numFmtId="0" fontId="46" fillId="14" borderId="22" xfId="7" applyFont="1" applyFill="1" applyBorder="1"/>
    <xf numFmtId="0" fontId="54" fillId="14" borderId="22" xfId="7" applyFont="1" applyFill="1" applyBorder="1"/>
    <xf numFmtId="0" fontId="55" fillId="15" borderId="0" xfId="9" applyFont="1" applyFill="1"/>
    <xf numFmtId="0" fontId="56" fillId="15" borderId="0" xfId="9" applyFont="1" applyFill="1"/>
    <xf numFmtId="0" fontId="57" fillId="15" borderId="0" xfId="9" applyFont="1" applyFill="1" applyAlignment="1">
      <alignment vertical="center"/>
    </xf>
    <xf numFmtId="0" fontId="58" fillId="14" borderId="20" xfId="9" applyFont="1" applyFill="1" applyBorder="1" applyAlignment="1">
      <alignment horizontal="center" vertical="center"/>
    </xf>
    <xf numFmtId="0" fontId="49" fillId="14" borderId="22" xfId="7" applyFont="1" applyFill="1" applyBorder="1"/>
    <xf numFmtId="0" fontId="59" fillId="14" borderId="20" xfId="9" applyFont="1" applyFill="1" applyBorder="1" applyAlignment="1">
      <alignment horizontal="center" vertical="center"/>
    </xf>
    <xf numFmtId="0" fontId="34" fillId="15" borderId="0" xfId="9" applyFont="1" applyFill="1"/>
    <xf numFmtId="0" fontId="58" fillId="14" borderId="20" xfId="9" applyFont="1" applyFill="1" applyBorder="1" applyAlignment="1">
      <alignment horizontal="left" vertical="center"/>
    </xf>
    <xf numFmtId="0" fontId="34" fillId="15" borderId="0" xfId="9" applyFont="1" applyFill="1" applyAlignment="1">
      <alignment horizontal="center"/>
    </xf>
    <xf numFmtId="0" fontId="57" fillId="15" borderId="0" xfId="9" applyFont="1" applyFill="1" applyAlignment="1">
      <alignment horizontal="center"/>
    </xf>
    <xf numFmtId="0" fontId="33" fillId="15" borderId="0" xfId="9" applyFont="1" applyFill="1" applyAlignment="1">
      <alignment horizontal="center"/>
    </xf>
    <xf numFmtId="0" fontId="55" fillId="15" borderId="0" xfId="9" applyFont="1" applyFill="1" applyAlignment="1">
      <alignment horizontal="center"/>
    </xf>
    <xf numFmtId="0" fontId="33" fillId="15" borderId="0" xfId="9" applyFont="1" applyFill="1" applyAlignment="1">
      <alignment horizontal="left" indent="2"/>
    </xf>
    <xf numFmtId="44" fontId="33" fillId="14" borderId="20" xfId="10" applyFill="1" applyBorder="1"/>
    <xf numFmtId="9" fontId="33" fillId="14" borderId="20" xfId="3" applyFont="1" applyFill="1" applyBorder="1"/>
    <xf numFmtId="0" fontId="57" fillId="15" borderId="0" xfId="9" applyFont="1" applyFill="1" applyAlignment="1">
      <alignment horizontal="center" vertical="center"/>
    </xf>
    <xf numFmtId="0" fontId="60" fillId="14" borderId="22" xfId="7" applyFont="1" applyFill="1" applyBorder="1"/>
    <xf numFmtId="0" fontId="61" fillId="14" borderId="22" xfId="7" applyFont="1" applyFill="1" applyBorder="1"/>
    <xf numFmtId="0" fontId="62" fillId="15" borderId="0" xfId="9" applyFont="1" applyFill="1"/>
    <xf numFmtId="0" fontId="63" fillId="15" borderId="0" xfId="9" applyFont="1" applyFill="1"/>
    <xf numFmtId="37" fontId="64" fillId="15" borderId="0" xfId="9" applyNumberFormat="1" applyFont="1" applyFill="1" applyAlignment="1">
      <alignment horizontal="center" vertical="center"/>
    </xf>
    <xf numFmtId="164" fontId="65" fillId="0" borderId="0" xfId="0" applyNumberFormat="1" applyFont="1" applyAlignment="1">
      <alignment horizontal="center" vertical="center"/>
    </xf>
    <xf numFmtId="37" fontId="14" fillId="5" borderId="0" xfId="0" applyNumberFormat="1" applyFont="1" applyFill="1" applyBorder="1" applyAlignment="1">
      <alignment horizontal="center" vertical="center"/>
    </xf>
    <xf numFmtId="37" fontId="14" fillId="0" borderId="0" xfId="0" applyNumberFormat="1" applyFont="1" applyBorder="1" applyAlignment="1">
      <alignment horizontal="center" vertical="center"/>
    </xf>
    <xf numFmtId="0" fontId="0" fillId="6" borderId="0" xfId="0" applyFill="1" applyBorder="1"/>
    <xf numFmtId="37" fontId="9" fillId="0" borderId="0" xfId="0" applyNumberFormat="1" applyFont="1" applyBorder="1" applyAlignment="1">
      <alignment horizontal="center" vertical="center"/>
    </xf>
    <xf numFmtId="0" fontId="0" fillId="0" borderId="0" xfId="0" applyBorder="1" applyAlignment="1">
      <alignment horizontal="left" indent="2"/>
    </xf>
    <xf numFmtId="14" fontId="0" fillId="0" borderId="0" xfId="0" applyNumberFormat="1" applyAlignment="1">
      <alignment horizontal="center"/>
    </xf>
    <xf numFmtId="37" fontId="9" fillId="6" borderId="0" xfId="0" applyNumberFormat="1" applyFont="1" applyFill="1" applyAlignment="1">
      <alignment horizontal="center" vertical="center"/>
    </xf>
    <xf numFmtId="37" fontId="0" fillId="0" borderId="0" xfId="0" applyNumberFormat="1" applyFont="1" applyBorder="1" applyAlignment="1">
      <alignment horizontal="center" vertical="center"/>
    </xf>
    <xf numFmtId="37" fontId="0" fillId="6" borderId="0" xfId="0" applyNumberFormat="1" applyFont="1" applyFill="1" applyBorder="1" applyAlignment="1">
      <alignment horizontal="center" vertical="center"/>
    </xf>
    <xf numFmtId="171" fontId="0" fillId="6" borderId="0" xfId="0" applyNumberFormat="1" applyFill="1" applyAlignment="1">
      <alignment horizontal="center" vertical="center"/>
    </xf>
    <xf numFmtId="37" fontId="6" fillId="0" borderId="0" xfId="0" applyNumberFormat="1" applyFont="1" applyBorder="1" applyAlignment="1">
      <alignment horizontal="center" vertical="center"/>
    </xf>
    <xf numFmtId="37" fontId="0" fillId="6" borderId="0" xfId="0" applyNumberFormat="1" applyFill="1" applyBorder="1" applyAlignment="1">
      <alignment horizontal="center" vertical="center"/>
    </xf>
    <xf numFmtId="171" fontId="0" fillId="0" borderId="0" xfId="0" applyNumberFormat="1" applyBorder="1" applyAlignment="1">
      <alignment horizontal="center" vertical="center"/>
    </xf>
    <xf numFmtId="164" fontId="0" fillId="0" borderId="0" xfId="0" applyNumberFormat="1" applyBorder="1" applyAlignment="1">
      <alignment horizontal="center" vertical="center"/>
    </xf>
    <xf numFmtId="164" fontId="64" fillId="15" borderId="0" xfId="9" applyNumberFormat="1" applyFont="1" applyFill="1" applyAlignment="1">
      <alignment horizontal="center" vertical="center"/>
    </xf>
    <xf numFmtId="166" fontId="6" fillId="0" borderId="0" xfId="0" applyNumberFormat="1" applyFont="1" applyBorder="1" applyAlignment="1">
      <alignment horizontal="center" vertical="center"/>
    </xf>
    <xf numFmtId="1" fontId="0" fillId="0" borderId="11" xfId="0" applyNumberFormat="1" applyBorder="1" applyAlignment="1">
      <alignment horizontal="center"/>
    </xf>
    <xf numFmtId="0" fontId="12" fillId="0" borderId="9" xfId="7" applyFont="1" applyBorder="1" applyAlignment="1">
      <alignment horizontal="left" indent="2"/>
    </xf>
    <xf numFmtId="0" fontId="18" fillId="0" borderId="9" xfId="7" applyFont="1" applyBorder="1" applyAlignment="1">
      <alignment horizontal="left" indent="2"/>
    </xf>
    <xf numFmtId="0" fontId="20" fillId="0" borderId="34" xfId="7" applyFont="1" applyBorder="1" applyAlignment="1">
      <alignment horizontal="left" indent="3"/>
    </xf>
    <xf numFmtId="0" fontId="20" fillId="0" borderId="35" xfId="7" applyFont="1" applyBorder="1" applyAlignment="1">
      <alignment horizontal="left" indent="3"/>
    </xf>
    <xf numFmtId="0" fontId="16" fillId="7" borderId="36" xfId="7" applyFont="1" applyFill="1" applyBorder="1"/>
    <xf numFmtId="165" fontId="22" fillId="0" borderId="37" xfId="2" applyNumberFormat="1" applyFont="1" applyBorder="1" applyAlignment="1">
      <alignment horizontal="center"/>
    </xf>
    <xf numFmtId="37" fontId="18" fillId="0" borderId="37" xfId="1" applyNumberFormat="1" applyFont="1" applyBorder="1" applyAlignment="1">
      <alignment horizontal="center"/>
    </xf>
    <xf numFmtId="181" fontId="0" fillId="0" borderId="7" xfId="0" applyNumberFormat="1" applyBorder="1" applyAlignment="1">
      <alignment horizontal="center" vertical="center"/>
    </xf>
    <xf numFmtId="180" fontId="6" fillId="0" borderId="10" xfId="3" applyNumberFormat="1" applyFont="1" applyBorder="1" applyAlignment="1">
      <alignment horizontal="center" vertical="center"/>
    </xf>
    <xf numFmtId="171" fontId="65" fillId="2" borderId="10" xfId="4" applyNumberFormat="1" applyFont="1" applyBorder="1" applyAlignment="1">
      <alignment horizontal="center" vertical="center"/>
    </xf>
    <xf numFmtId="171" fontId="65" fillId="2" borderId="8" xfId="4" applyNumberFormat="1" applyFont="1" applyBorder="1" applyAlignment="1">
      <alignment horizontal="center" vertical="center"/>
    </xf>
    <xf numFmtId="174" fontId="39" fillId="0" borderId="0" xfId="0" applyNumberFormat="1" applyFont="1" applyAlignment="1">
      <alignment horizontal="center" vertical="center"/>
    </xf>
    <xf numFmtId="174" fontId="6" fillId="0" borderId="0" xfId="0" applyNumberFormat="1" applyFont="1" applyAlignment="1">
      <alignment horizontal="center" vertical="center"/>
    </xf>
    <xf numFmtId="8" fontId="27" fillId="0" borderId="0" xfId="0" applyNumberFormat="1" applyFont="1" applyAlignment="1">
      <alignment horizontal="center" vertical="center"/>
    </xf>
    <xf numFmtId="177" fontId="39" fillId="0" borderId="0" xfId="0" applyNumberFormat="1" applyFont="1" applyAlignment="1">
      <alignment horizontal="center" vertical="center"/>
    </xf>
    <xf numFmtId="177" fontId="6" fillId="0" borderId="0" xfId="0" applyNumberFormat="1" applyFont="1" applyAlignment="1">
      <alignment horizontal="center" vertical="center"/>
    </xf>
    <xf numFmtId="37" fontId="23" fillId="5" borderId="0" xfId="0" applyNumberFormat="1" applyFont="1" applyFill="1" applyBorder="1" applyAlignment="1">
      <alignment horizontal="center" vertical="center"/>
    </xf>
    <xf numFmtId="37" fontId="24" fillId="0" borderId="0" xfId="0" applyNumberFormat="1" applyFont="1" applyBorder="1" applyAlignment="1">
      <alignment horizontal="center" vertical="center"/>
    </xf>
    <xf numFmtId="37" fontId="23" fillId="0" borderId="0" xfId="0" applyNumberFormat="1" applyFont="1" applyBorder="1" applyAlignment="1">
      <alignment horizontal="center" vertical="center"/>
    </xf>
    <xf numFmtId="0" fontId="0" fillId="0" borderId="0" xfId="0" applyFont="1" applyBorder="1"/>
    <xf numFmtId="37" fontId="23" fillId="0" borderId="17" xfId="0" applyNumberFormat="1" applyFont="1" applyBorder="1" applyAlignment="1">
      <alignment horizontal="center" vertical="center"/>
    </xf>
    <xf numFmtId="0" fontId="0" fillId="0" borderId="0" xfId="0" applyFill="1" applyBorder="1"/>
    <xf numFmtId="37" fontId="9" fillId="5" borderId="0" xfId="0" applyNumberFormat="1" applyFont="1" applyFill="1" applyBorder="1" applyAlignment="1">
      <alignment horizontal="center" vertical="center"/>
    </xf>
    <xf numFmtId="0" fontId="0" fillId="0" borderId="0" xfId="0" applyFill="1" applyAlignment="1">
      <alignment horizontal="center" vertical="center"/>
    </xf>
    <xf numFmtId="0" fontId="0" fillId="0" borderId="0" xfId="0" applyFill="1"/>
    <xf numFmtId="0" fontId="0" fillId="0" borderId="0" xfId="0" applyBorder="1" applyAlignment="1">
      <alignment horizontal="left" indent="4"/>
    </xf>
    <xf numFmtId="37" fontId="9" fillId="6" borderId="0" xfId="0" applyNumberFormat="1" applyFont="1" applyFill="1" applyBorder="1" applyAlignment="1">
      <alignment horizontal="center" vertical="center"/>
    </xf>
    <xf numFmtId="37" fontId="24" fillId="6" borderId="0" xfId="0" applyNumberFormat="1" applyFont="1" applyFill="1" applyBorder="1" applyAlignment="1">
      <alignment horizontal="center" vertical="center"/>
    </xf>
    <xf numFmtId="0" fontId="28" fillId="11" borderId="0" xfId="0" applyFont="1" applyFill="1" applyBorder="1"/>
    <xf numFmtId="0" fontId="29" fillId="11" borderId="0" xfId="0" applyFont="1" applyFill="1" applyBorder="1" applyAlignment="1">
      <alignment horizontal="center"/>
    </xf>
    <xf numFmtId="0" fontId="30" fillId="0" borderId="0" xfId="0" applyFont="1" applyBorder="1" applyAlignment="1">
      <alignment horizontal="center"/>
    </xf>
    <xf numFmtId="0" fontId="7" fillId="0" borderId="0" xfId="0" quotePrefix="1" applyFont="1" applyBorder="1" applyAlignment="1">
      <alignment horizontal="center"/>
    </xf>
    <xf numFmtId="172" fontId="31" fillId="0" borderId="0" xfId="0" applyNumberFormat="1" applyFont="1" applyBorder="1" applyAlignment="1">
      <alignment horizontal="center"/>
    </xf>
    <xf numFmtId="37" fontId="13" fillId="5" borderId="0" xfId="0" applyNumberFormat="1" applyFont="1" applyFill="1" applyBorder="1" applyAlignment="1">
      <alignment horizontal="center" vertical="center"/>
    </xf>
    <xf numFmtId="37" fontId="13" fillId="0" borderId="0" xfId="0" applyNumberFormat="1" applyFont="1" applyBorder="1" applyAlignment="1">
      <alignment horizontal="center" vertical="center"/>
    </xf>
    <xf numFmtId="37" fontId="9" fillId="6" borderId="17" xfId="0" applyNumberFormat="1" applyFont="1" applyFill="1" applyBorder="1" applyAlignment="1">
      <alignment horizontal="center" vertical="center"/>
    </xf>
    <xf numFmtId="14" fontId="0" fillId="0" borderId="0" xfId="0" applyNumberFormat="1" applyBorder="1" applyAlignment="1">
      <alignment horizontal="center" vertical="center"/>
    </xf>
    <xf numFmtId="37" fontId="7" fillId="6" borderId="0" xfId="0" applyNumberFormat="1" applyFont="1" applyFill="1" applyBorder="1" applyAlignment="1">
      <alignment horizontal="center" vertical="center"/>
    </xf>
    <xf numFmtId="0" fontId="0" fillId="0" borderId="0" xfId="0" applyFill="1" applyBorder="1" applyAlignment="1">
      <alignment horizontal="left" indent="4"/>
    </xf>
    <xf numFmtId="0" fontId="0" fillId="0" borderId="0" xfId="0" applyFill="1" applyBorder="1" applyAlignment="1">
      <alignment horizontal="left" indent="6"/>
    </xf>
    <xf numFmtId="171" fontId="0" fillId="5" borderId="0" xfId="0" applyNumberFormat="1" applyFill="1" applyBorder="1" applyAlignment="1">
      <alignment horizontal="center" vertical="center"/>
    </xf>
    <xf numFmtId="39" fontId="65" fillId="0" borderId="0" xfId="0" applyNumberFormat="1" applyFont="1" applyAlignment="1">
      <alignment horizontal="center" vertical="center"/>
    </xf>
    <xf numFmtId="37" fontId="0" fillId="0" borderId="0" xfId="0" applyNumberFormat="1" applyBorder="1"/>
    <xf numFmtId="0" fontId="0" fillId="0" borderId="8" xfId="0" applyBorder="1"/>
    <xf numFmtId="37" fontId="0" fillId="0" borderId="10" xfId="0" applyNumberFormat="1" applyBorder="1" applyAlignment="1">
      <alignment horizontal="center" vertical="center"/>
    </xf>
    <xf numFmtId="171" fontId="0" fillId="6" borderId="0" xfId="0" applyNumberFormat="1" applyFill="1" applyBorder="1" applyAlignment="1">
      <alignment horizontal="center" vertical="center"/>
    </xf>
    <xf numFmtId="0" fontId="0" fillId="11" borderId="0" xfId="0" applyFill="1"/>
    <xf numFmtId="0" fontId="7" fillId="0" borderId="2" xfId="0" applyFont="1" applyBorder="1"/>
    <xf numFmtId="0" fontId="7" fillId="0" borderId="3" xfId="0" applyFont="1" applyBorder="1" applyAlignment="1">
      <alignment horizontal="center"/>
    </xf>
    <xf numFmtId="7" fontId="31" fillId="0" borderId="3" xfId="0" applyNumberFormat="1" applyFont="1" applyBorder="1" applyAlignment="1">
      <alignment horizontal="center"/>
    </xf>
    <xf numFmtId="9" fontId="7" fillId="0" borderId="3" xfId="0" applyNumberFormat="1" applyFont="1" applyBorder="1" applyAlignment="1">
      <alignment horizontal="center"/>
    </xf>
    <xf numFmtId="5" fontId="7" fillId="0" borderId="3" xfId="0" applyNumberFormat="1" applyFont="1" applyBorder="1" applyAlignment="1">
      <alignment horizontal="center"/>
    </xf>
    <xf numFmtId="167" fontId="31" fillId="0" borderId="3" xfId="0" applyNumberFormat="1" applyFont="1" applyBorder="1" applyAlignment="1">
      <alignment horizontal="center"/>
    </xf>
    <xf numFmtId="168" fontId="0" fillId="0" borderId="10" xfId="0" applyNumberFormat="1" applyBorder="1" applyAlignment="1">
      <alignment horizontal="center" vertical="center"/>
    </xf>
    <xf numFmtId="9" fontId="0" fillId="0" borderId="10" xfId="0" applyNumberFormat="1" applyBorder="1" applyAlignment="1">
      <alignment horizontal="center"/>
    </xf>
    <xf numFmtId="0" fontId="0" fillId="5" borderId="9" xfId="0" applyFill="1" applyBorder="1"/>
    <xf numFmtId="171" fontId="0" fillId="5" borderId="10" xfId="0" applyNumberFormat="1" applyFill="1" applyBorder="1" applyAlignment="1">
      <alignment horizontal="center" vertical="center"/>
    </xf>
    <xf numFmtId="0" fontId="0" fillId="5" borderId="6" xfId="0" applyFill="1" applyBorder="1"/>
    <xf numFmtId="0" fontId="0" fillId="5" borderId="7" xfId="0" applyFill="1" applyBorder="1" applyAlignment="1">
      <alignment horizontal="center"/>
    </xf>
    <xf numFmtId="7" fontId="0" fillId="5" borderId="7" xfId="0" applyNumberFormat="1" applyFill="1" applyBorder="1" applyAlignment="1">
      <alignment horizontal="center"/>
    </xf>
    <xf numFmtId="9" fontId="0" fillId="5" borderId="7" xfId="0" applyNumberFormat="1" applyFill="1" applyBorder="1" applyAlignment="1">
      <alignment horizontal="center"/>
    </xf>
    <xf numFmtId="165" fontId="0" fillId="5" borderId="7" xfId="0" applyNumberFormat="1" applyFill="1" applyBorder="1" applyAlignment="1">
      <alignment horizontal="center"/>
    </xf>
    <xf numFmtId="167" fontId="0" fillId="5" borderId="7" xfId="0" applyNumberFormat="1" applyFill="1" applyBorder="1" applyAlignment="1">
      <alignment horizontal="center"/>
    </xf>
    <xf numFmtId="171" fontId="0" fillId="5" borderId="7" xfId="0" applyNumberFormat="1" applyFill="1" applyBorder="1" applyAlignment="1">
      <alignment horizontal="center" vertical="center"/>
    </xf>
    <xf numFmtId="171" fontId="0" fillId="5" borderId="8" xfId="0" applyNumberFormat="1" applyFill="1" applyBorder="1" applyAlignment="1">
      <alignment horizontal="center" vertical="center"/>
    </xf>
    <xf numFmtId="171" fontId="6" fillId="0" borderId="0" xfId="0" applyNumberFormat="1" applyFont="1" applyBorder="1" applyAlignment="1">
      <alignment horizontal="center" vertical="center"/>
    </xf>
    <xf numFmtId="37" fontId="14" fillId="12" borderId="10" xfId="0" applyNumberFormat="1" applyFont="1" applyFill="1" applyBorder="1" applyAlignment="1">
      <alignment horizontal="center"/>
    </xf>
    <xf numFmtId="170" fontId="9" fillId="12" borderId="25" xfId="0" applyNumberFormat="1" applyFont="1" applyFill="1" applyBorder="1" applyAlignment="1">
      <alignment horizontal="center"/>
    </xf>
    <xf numFmtId="176" fontId="6" fillId="12" borderId="10" xfId="0" applyNumberFormat="1" applyFont="1" applyFill="1" applyBorder="1" applyAlignment="1">
      <alignment horizontal="center"/>
    </xf>
    <xf numFmtId="174" fontId="6" fillId="12" borderId="10" xfId="0" applyNumberFormat="1" applyFont="1" applyFill="1" applyBorder="1" applyAlignment="1">
      <alignment horizontal="center"/>
    </xf>
    <xf numFmtId="14" fontId="0" fillId="12" borderId="10" xfId="0" applyNumberFormat="1" applyFill="1" applyBorder="1" applyAlignment="1">
      <alignment horizontal="center"/>
    </xf>
    <xf numFmtId="8" fontId="19" fillId="12" borderId="30" xfId="0" applyNumberFormat="1" applyFont="1" applyFill="1" applyBorder="1" applyAlignment="1">
      <alignment horizontal="center"/>
    </xf>
    <xf numFmtId="6" fontId="0" fillId="12" borderId="25" xfId="0" applyNumberFormat="1" applyFill="1" applyBorder="1" applyAlignment="1">
      <alignment horizontal="center"/>
    </xf>
    <xf numFmtId="170" fontId="0" fillId="12" borderId="10" xfId="0" applyNumberFormat="1" applyFill="1" applyBorder="1" applyAlignment="1">
      <alignment horizontal="center"/>
    </xf>
    <xf numFmtId="170" fontId="6" fillId="12" borderId="10" xfId="0" applyNumberFormat="1" applyFont="1" applyFill="1" applyBorder="1" applyAlignment="1">
      <alignment horizontal="center"/>
    </xf>
    <xf numFmtId="170" fontId="14" fillId="12" borderId="10" xfId="0" applyNumberFormat="1" applyFont="1" applyFill="1" applyBorder="1" applyAlignment="1">
      <alignment horizontal="center"/>
    </xf>
    <xf numFmtId="170" fontId="0" fillId="12" borderId="30" xfId="0" applyNumberFormat="1" applyFill="1" applyBorder="1" applyAlignment="1">
      <alignment horizontal="center"/>
    </xf>
    <xf numFmtId="172" fontId="14" fillId="0" borderId="0" xfId="0" applyNumberFormat="1" applyFont="1" applyBorder="1" applyAlignment="1">
      <alignment horizontal="center"/>
    </xf>
    <xf numFmtId="0" fontId="5" fillId="7" borderId="0" xfId="0" applyFont="1" applyFill="1" applyBorder="1" applyAlignment="1">
      <alignment horizontal="centerContinuous"/>
    </xf>
    <xf numFmtId="5" fontId="40" fillId="0" borderId="0" xfId="0" applyNumberFormat="1" applyFont="1" applyBorder="1" applyAlignment="1">
      <alignment horizontal="center"/>
    </xf>
    <xf numFmtId="5" fontId="24" fillId="0" borderId="0" xfId="0" applyNumberFormat="1" applyFont="1" applyBorder="1" applyAlignment="1">
      <alignment horizontal="center"/>
    </xf>
    <xf numFmtId="37" fontId="41" fillId="0" borderId="0" xfId="0" applyNumberFormat="1" applyFont="1" applyBorder="1" applyAlignment="1">
      <alignment horizontal="center"/>
    </xf>
    <xf numFmtId="37" fontId="6" fillId="0" borderId="0" xfId="0" applyNumberFormat="1" applyFont="1" applyBorder="1" applyAlignment="1">
      <alignment horizontal="center"/>
    </xf>
    <xf numFmtId="39" fontId="9" fillId="0" borderId="0" xfId="0" applyNumberFormat="1" applyFont="1" applyBorder="1" applyAlignment="1">
      <alignment horizontal="center"/>
    </xf>
    <xf numFmtId="178" fontId="9" fillId="0" borderId="0" xfId="0" applyNumberFormat="1" applyFont="1" applyBorder="1" applyAlignment="1">
      <alignment horizontal="center"/>
    </xf>
    <xf numFmtId="5" fontId="0" fillId="12" borderId="0" xfId="0" applyNumberFormat="1" applyFill="1" applyBorder="1" applyAlignment="1">
      <alignment horizontal="right" indent="2"/>
    </xf>
    <xf numFmtId="39" fontId="0" fillId="12" borderId="0" xfId="0" applyNumberFormat="1" applyFill="1" applyBorder="1" applyAlignment="1">
      <alignment horizontal="right" indent="2"/>
    </xf>
    <xf numFmtId="37" fontId="0" fillId="12" borderId="0" xfId="0" applyNumberFormat="1" applyFill="1" applyBorder="1" applyAlignment="1">
      <alignment horizontal="right" indent="2"/>
    </xf>
    <xf numFmtId="37" fontId="25" fillId="12" borderId="10" xfId="0" applyNumberFormat="1" applyFont="1" applyFill="1" applyBorder="1" applyAlignment="1">
      <alignment horizontal="center" vertical="center"/>
    </xf>
    <xf numFmtId="179" fontId="0" fillId="12" borderId="0" xfId="0" applyNumberFormat="1" applyFill="1" applyBorder="1" applyAlignment="1">
      <alignment horizontal="right" indent="2"/>
    </xf>
    <xf numFmtId="37" fontId="7" fillId="12" borderId="0" xfId="0" applyNumberFormat="1" applyFont="1" applyFill="1" applyBorder="1" applyAlignment="1">
      <alignment horizontal="right" indent="2"/>
    </xf>
    <xf numFmtId="179" fontId="7" fillId="12" borderId="0" xfId="0" applyNumberFormat="1" applyFont="1" applyFill="1" applyBorder="1" applyAlignment="1">
      <alignment horizontal="right" indent="2"/>
    </xf>
    <xf numFmtId="0" fontId="27" fillId="7" borderId="3" xfId="0" applyFont="1" applyFill="1" applyBorder="1" applyAlignment="1">
      <alignment horizontal="centerContinuous"/>
    </xf>
    <xf numFmtId="168" fontId="8" fillId="12" borderId="8" xfId="0" applyNumberFormat="1" applyFont="1" applyFill="1" applyBorder="1" applyAlignment="1">
      <alignment horizontal="center" vertical="center"/>
    </xf>
    <xf numFmtId="168" fontId="0" fillId="11" borderId="0" xfId="0" applyNumberFormat="1" applyFill="1" applyAlignment="1">
      <alignment horizontal="center" vertical="center"/>
    </xf>
    <xf numFmtId="8" fontId="0" fillId="13" borderId="40" xfId="0" applyNumberFormat="1" applyFill="1" applyBorder="1" applyAlignment="1">
      <alignment horizontal="right" vertical="center" indent="2"/>
    </xf>
    <xf numFmtId="0" fontId="7" fillId="0" borderId="0" xfId="0" applyFont="1" applyBorder="1" applyAlignment="1">
      <alignment wrapText="1"/>
    </xf>
    <xf numFmtId="167" fontId="0" fillId="0" borderId="7" xfId="0" applyNumberFormat="1" applyBorder="1" applyAlignment="1">
      <alignment horizontal="center" vertical="center"/>
    </xf>
    <xf numFmtId="171" fontId="0" fillId="0" borderId="7" xfId="0" applyNumberFormat="1" applyBorder="1" applyAlignment="1">
      <alignment horizontal="center" vertical="center"/>
    </xf>
    <xf numFmtId="166" fontId="6" fillId="0" borderId="7" xfId="0" applyNumberFormat="1" applyFont="1" applyBorder="1" applyAlignment="1">
      <alignment horizontal="center" vertical="center"/>
    </xf>
    <xf numFmtId="180" fontId="6" fillId="0" borderId="8" xfId="3" applyNumberFormat="1" applyFont="1" applyBorder="1" applyAlignment="1">
      <alignment horizontal="center" vertical="center"/>
    </xf>
    <xf numFmtId="9" fontId="9" fillId="0" borderId="3" xfId="0" applyNumberFormat="1" applyFont="1" applyBorder="1" applyAlignment="1">
      <alignment horizontal="center" vertical="center"/>
    </xf>
    <xf numFmtId="171" fontId="7" fillId="0" borderId="3" xfId="0" applyNumberFormat="1" applyFont="1" applyBorder="1" applyAlignment="1">
      <alignment horizontal="center"/>
    </xf>
    <xf numFmtId="37" fontId="7" fillId="0" borderId="3" xfId="0" applyNumberFormat="1" applyFont="1" applyBorder="1" applyAlignment="1">
      <alignment horizontal="center"/>
    </xf>
    <xf numFmtId="171" fontId="7" fillId="0" borderId="3" xfId="0" applyNumberFormat="1" applyFont="1" applyBorder="1" applyAlignment="1">
      <alignment horizontal="center" vertical="center"/>
    </xf>
    <xf numFmtId="37" fontId="7" fillId="0" borderId="3" xfId="0" applyNumberFormat="1" applyFont="1" applyBorder="1" applyAlignment="1">
      <alignment horizontal="center" vertical="center"/>
    </xf>
    <xf numFmtId="168" fontId="7" fillId="0" borderId="4" xfId="0" applyNumberFormat="1" applyFont="1" applyBorder="1" applyAlignment="1">
      <alignment horizontal="center"/>
    </xf>
    <xf numFmtId="0" fontId="7" fillId="0" borderId="10" xfId="0" applyFont="1" applyBorder="1" applyAlignment="1">
      <alignment horizontal="center" wrapText="1"/>
    </xf>
    <xf numFmtId="0" fontId="7" fillId="0" borderId="10" xfId="0" applyFont="1" applyBorder="1" applyAlignment="1">
      <alignment horizontal="center"/>
    </xf>
    <xf numFmtId="0" fontId="7" fillId="0" borderId="0" xfId="0" applyFont="1" applyBorder="1" applyAlignment="1">
      <alignment horizontal="center" vertical="center" wrapText="1"/>
    </xf>
    <xf numFmtId="0" fontId="7" fillId="0" borderId="3" xfId="0" applyFont="1" applyBorder="1" applyAlignment="1">
      <alignment horizontal="center" wrapText="1"/>
    </xf>
    <xf numFmtId="0" fontId="7" fillId="0" borderId="4" xfId="0" applyFont="1" applyBorder="1" applyAlignment="1">
      <alignment horizontal="center" wrapText="1"/>
    </xf>
    <xf numFmtId="0" fontId="7" fillId="0" borderId="2" xfId="0" quotePrefix="1" applyFont="1" applyBorder="1" applyAlignment="1">
      <alignment horizontal="center" wrapText="1"/>
    </xf>
    <xf numFmtId="0" fontId="7" fillId="0" borderId="9" xfId="0" applyFont="1" applyBorder="1" applyAlignment="1">
      <alignment horizontal="center" vertical="center" wrapText="1"/>
    </xf>
    <xf numFmtId="168" fontId="0" fillId="11" borderId="0" xfId="0" applyNumberFormat="1" applyFill="1" applyBorder="1" applyAlignment="1">
      <alignment horizontal="center" vertical="center"/>
    </xf>
    <xf numFmtId="0" fontId="0" fillId="11" borderId="0" xfId="0" applyFill="1" applyBorder="1" applyAlignment="1">
      <alignment horizontal="left" indent="2"/>
    </xf>
    <xf numFmtId="0" fontId="66" fillId="11" borderId="0" xfId="0" applyFont="1" applyFill="1" applyBorder="1" applyAlignment="1">
      <alignment horizontal="left" indent="2"/>
    </xf>
    <xf numFmtId="170" fontId="67" fillId="4" borderId="38" xfId="6" applyNumberFormat="1" applyFont="1" applyBorder="1" applyAlignment="1">
      <alignment horizontal="center"/>
    </xf>
    <xf numFmtId="171" fontId="14" fillId="5" borderId="0" xfId="0" applyNumberFormat="1" applyFont="1" applyFill="1" applyBorder="1" applyAlignment="1">
      <alignment horizontal="center" vertical="center"/>
    </xf>
    <xf numFmtId="171" fontId="14" fillId="0" borderId="0" xfId="0" applyNumberFormat="1" applyFont="1" applyBorder="1" applyAlignment="1">
      <alignment horizontal="center" vertical="center"/>
    </xf>
    <xf numFmtId="171" fontId="9" fillId="0" borderId="0" xfId="0" applyNumberFormat="1" applyFont="1" applyBorder="1" applyAlignment="1">
      <alignment horizontal="center" vertical="center"/>
    </xf>
    <xf numFmtId="37" fontId="9" fillId="5" borderId="17" xfId="0" applyNumberFormat="1" applyFont="1" applyFill="1" applyBorder="1" applyAlignment="1">
      <alignment horizontal="center" vertical="center"/>
    </xf>
    <xf numFmtId="0" fontId="7" fillId="0" borderId="0" xfId="0" applyFont="1" applyBorder="1" applyAlignment="1">
      <alignment horizontal="left" indent="2"/>
    </xf>
    <xf numFmtId="171" fontId="9" fillId="5" borderId="0" xfId="0" applyNumberFormat="1" applyFont="1" applyFill="1" applyBorder="1" applyAlignment="1">
      <alignment horizontal="center" vertical="center"/>
    </xf>
    <xf numFmtId="0" fontId="0" fillId="0" borderId="0" xfId="0" applyFont="1" applyBorder="1" applyAlignment="1">
      <alignment horizontal="left" indent="4"/>
    </xf>
    <xf numFmtId="0" fontId="0" fillId="0" borderId="0" xfId="0" applyFont="1" applyBorder="1" applyAlignment="1">
      <alignment horizontal="left" indent="6"/>
    </xf>
    <xf numFmtId="171" fontId="0" fillId="6" borderId="0" xfId="0" applyNumberFormat="1" applyFont="1" applyFill="1" applyBorder="1" applyAlignment="1">
      <alignment horizontal="center" vertical="center"/>
    </xf>
    <xf numFmtId="171" fontId="0" fillId="0" borderId="0" xfId="0" applyNumberFormat="1" applyFont="1" applyBorder="1" applyAlignment="1">
      <alignment horizontal="center" vertical="center"/>
    </xf>
    <xf numFmtId="171" fontId="9" fillId="6" borderId="0" xfId="0" applyNumberFormat="1" applyFont="1" applyFill="1" applyBorder="1" applyAlignment="1">
      <alignment horizontal="center" vertical="center"/>
    </xf>
    <xf numFmtId="171" fontId="24" fillId="5" borderId="0" xfId="0" applyNumberFormat="1" applyFont="1" applyFill="1" applyBorder="1" applyAlignment="1">
      <alignment horizontal="center" vertical="center"/>
    </xf>
    <xf numFmtId="171" fontId="24" fillId="0" borderId="0" xfId="0" applyNumberFormat="1" applyFont="1" applyBorder="1" applyAlignment="1">
      <alignment horizontal="center" vertical="center"/>
    </xf>
    <xf numFmtId="0" fontId="0" fillId="0" borderId="0" xfId="0" applyFont="1" applyBorder="1" applyAlignment="1">
      <alignment horizontal="left" indent="10"/>
    </xf>
    <xf numFmtId="0" fontId="0" fillId="0" borderId="0" xfId="0" applyBorder="1" applyAlignment="1">
      <alignment horizontal="left" indent="6"/>
    </xf>
    <xf numFmtId="37" fontId="9" fillId="0" borderId="0" xfId="0" applyNumberFormat="1" applyFont="1" applyFill="1" applyBorder="1" applyAlignment="1">
      <alignment horizontal="center" vertical="center"/>
    </xf>
    <xf numFmtId="37" fontId="0" fillId="0" borderId="0" xfId="0" applyNumberFormat="1" applyFill="1" applyBorder="1" applyAlignment="1">
      <alignment horizontal="center" vertical="center"/>
    </xf>
    <xf numFmtId="0" fontId="0" fillId="0" borderId="0" xfId="0" applyFill="1" applyBorder="1" applyAlignment="1">
      <alignment horizontal="center" vertical="center"/>
    </xf>
    <xf numFmtId="0" fontId="5" fillId="11" borderId="0" xfId="0" applyFont="1" applyFill="1"/>
    <xf numFmtId="0" fontId="5" fillId="11" borderId="0" xfId="0" applyFont="1" applyFill="1" applyAlignment="1">
      <alignment horizontal="left" vertical="center"/>
    </xf>
    <xf numFmtId="0" fontId="5" fillId="11" borderId="0" xfId="0" applyFont="1" applyFill="1" applyAlignment="1">
      <alignment horizontal="center" vertical="center"/>
    </xf>
    <xf numFmtId="0" fontId="7" fillId="0" borderId="0" xfId="0" applyFont="1" applyFill="1" applyBorder="1"/>
    <xf numFmtId="0" fontId="14" fillId="0" borderId="0" xfId="0" applyFont="1" applyBorder="1" applyAlignment="1">
      <alignment horizontal="center" vertical="center"/>
    </xf>
    <xf numFmtId="0" fontId="0" fillId="0" borderId="0" xfId="0" applyFill="1" applyBorder="1" applyAlignment="1">
      <alignment horizontal="left" indent="2"/>
    </xf>
    <xf numFmtId="0" fontId="0" fillId="0" borderId="0" xfId="0" applyAlignment="1">
      <alignment horizontal="left" indent="5"/>
    </xf>
    <xf numFmtId="0" fontId="0" fillId="0" borderId="0" xfId="0" applyAlignment="1">
      <alignment horizontal="left" indent="6"/>
    </xf>
    <xf numFmtId="0" fontId="7" fillId="0" borderId="0" xfId="0" applyFont="1"/>
    <xf numFmtId="37" fontId="24" fillId="0" borderId="0" xfId="0" applyNumberFormat="1" applyFont="1" applyAlignment="1">
      <alignment horizontal="center" vertical="center"/>
    </xf>
    <xf numFmtId="37" fontId="7" fillId="0" borderId="0" xfId="0" applyNumberFormat="1" applyFont="1" applyAlignment="1">
      <alignment horizontal="center" vertical="center"/>
    </xf>
    <xf numFmtId="37" fontId="7" fillId="6" borderId="0" xfId="0" applyNumberFormat="1" applyFont="1" applyFill="1" applyAlignment="1">
      <alignment horizontal="center" vertical="center"/>
    </xf>
    <xf numFmtId="0" fontId="0" fillId="0" borderId="0" xfId="0" applyFont="1" applyAlignment="1"/>
    <xf numFmtId="171" fontId="65" fillId="0" borderId="0" xfId="0" applyNumberFormat="1" applyFont="1" applyAlignment="1">
      <alignment horizontal="center" vertical="center"/>
    </xf>
    <xf numFmtId="171" fontId="65" fillId="5" borderId="0" xfId="0" applyNumberFormat="1" applyFont="1" applyFill="1" applyAlignment="1">
      <alignment horizontal="center" vertical="center"/>
    </xf>
    <xf numFmtId="37" fontId="65" fillId="0" borderId="0" xfId="0" applyNumberFormat="1" applyFont="1" applyAlignment="1">
      <alignment horizontal="center" vertical="center"/>
    </xf>
    <xf numFmtId="37" fontId="65" fillId="6" borderId="0" xfId="0" applyNumberFormat="1" applyFont="1" applyFill="1" applyAlignment="1">
      <alignment horizontal="center" vertical="center"/>
    </xf>
    <xf numFmtId="0" fontId="0" fillId="0" borderId="0" xfId="0" applyFont="1" applyBorder="1" applyAlignment="1"/>
    <xf numFmtId="37" fontId="65" fillId="0" borderId="0" xfId="0" applyNumberFormat="1" applyFont="1" applyBorder="1" applyAlignment="1">
      <alignment horizontal="center" vertical="center"/>
    </xf>
    <xf numFmtId="37" fontId="65" fillId="6" borderId="0" xfId="0" applyNumberFormat="1" applyFont="1" applyFill="1" applyBorder="1" applyAlignment="1">
      <alignment horizontal="center" vertical="center"/>
    </xf>
    <xf numFmtId="0" fontId="0" fillId="0" borderId="0" xfId="0" applyFont="1" applyBorder="1" applyAlignment="1">
      <alignment horizontal="left"/>
    </xf>
    <xf numFmtId="37" fontId="65" fillId="5" borderId="0" xfId="0" applyNumberFormat="1" applyFont="1" applyFill="1" applyBorder="1" applyAlignment="1">
      <alignment horizontal="center" vertical="center"/>
    </xf>
    <xf numFmtId="14" fontId="0" fillId="0" borderId="0" xfId="0" applyNumberFormat="1" applyFont="1" applyFill="1" applyAlignment="1">
      <alignment horizontal="center" vertical="center"/>
    </xf>
    <xf numFmtId="7" fontId="0" fillId="0" borderId="0" xfId="0" applyNumberFormat="1" applyFill="1" applyAlignment="1">
      <alignment horizontal="center"/>
    </xf>
    <xf numFmtId="37" fontId="7" fillId="0" borderId="0" xfId="0" applyNumberFormat="1" applyFont="1" applyFill="1" applyBorder="1" applyAlignment="1">
      <alignment horizontal="center" vertical="center"/>
    </xf>
    <xf numFmtId="171" fontId="0" fillId="0" borderId="0" xfId="0" applyNumberFormat="1" applyFont="1" applyFill="1" applyBorder="1" applyAlignment="1">
      <alignment horizontal="center" vertical="center"/>
    </xf>
    <xf numFmtId="171" fontId="9" fillId="0" borderId="0" xfId="0" applyNumberFormat="1" applyFont="1" applyFill="1" applyBorder="1" applyAlignment="1">
      <alignment horizontal="center" vertical="center"/>
    </xf>
    <xf numFmtId="37" fontId="65" fillId="0" borderId="0" xfId="0" applyNumberFormat="1" applyFont="1" applyFill="1" applyAlignment="1">
      <alignment horizontal="center" vertical="center"/>
    </xf>
    <xf numFmtId="171" fontId="0" fillId="0" borderId="0" xfId="0" applyNumberFormat="1" applyFill="1" applyAlignment="1">
      <alignment horizontal="center" vertical="center"/>
    </xf>
    <xf numFmtId="37" fontId="24" fillId="0" borderId="0" xfId="0" applyNumberFormat="1" applyFont="1" applyFill="1" applyBorder="1" applyAlignment="1">
      <alignment horizontal="center" vertical="center"/>
    </xf>
    <xf numFmtId="37" fontId="65" fillId="0" borderId="0" xfId="0" applyNumberFormat="1" applyFont="1" applyFill="1" applyBorder="1" applyAlignment="1">
      <alignment horizontal="center" vertical="center"/>
    </xf>
    <xf numFmtId="37" fontId="0" fillId="0" borderId="0" xfId="0" applyNumberFormat="1" applyFont="1" applyFill="1" applyBorder="1" applyAlignment="1">
      <alignment horizontal="center" vertical="center"/>
    </xf>
    <xf numFmtId="37" fontId="0" fillId="0" borderId="0" xfId="0" applyNumberFormat="1" applyFill="1" applyAlignment="1">
      <alignment horizontal="center" vertical="center"/>
    </xf>
    <xf numFmtId="37" fontId="7" fillId="0" borderId="0" xfId="0" applyNumberFormat="1" applyFont="1" applyFill="1" applyAlignment="1">
      <alignment horizontal="center" vertical="center"/>
    </xf>
    <xf numFmtId="37" fontId="9" fillId="0" borderId="0" xfId="0" applyNumberFormat="1" applyFont="1" applyFill="1" applyAlignment="1">
      <alignment horizontal="center" vertical="center"/>
    </xf>
    <xf numFmtId="37" fontId="13" fillId="0" borderId="0" xfId="0" applyNumberFormat="1" applyFont="1" applyFill="1" applyBorder="1" applyAlignment="1">
      <alignment horizontal="center"/>
    </xf>
    <xf numFmtId="37" fontId="24" fillId="0" borderId="0" xfId="0" applyNumberFormat="1" applyFont="1" applyFill="1" applyBorder="1" applyAlignment="1">
      <alignment horizontal="center"/>
    </xf>
    <xf numFmtId="0" fontId="23" fillId="0" borderId="0" xfId="0" applyFont="1" applyFill="1" applyBorder="1" applyAlignment="1">
      <alignment horizontal="center"/>
    </xf>
    <xf numFmtId="0" fontId="0" fillId="0" borderId="0" xfId="0" applyFont="1" applyFill="1" applyBorder="1" applyAlignment="1">
      <alignment horizontal="left" indent="3"/>
    </xf>
    <xf numFmtId="0" fontId="0" fillId="0" borderId="0" xfId="0" applyFont="1" applyBorder="1" applyAlignment="1">
      <alignment horizontal="left" indent="8"/>
    </xf>
    <xf numFmtId="0" fontId="0" fillId="0" borderId="0" xfId="0" applyFont="1" applyFill="1" applyBorder="1" applyAlignment="1">
      <alignment horizontal="left" indent="6"/>
    </xf>
    <xf numFmtId="37" fontId="65" fillId="0" borderId="17" xfId="0" applyNumberFormat="1" applyFont="1" applyBorder="1" applyAlignment="1">
      <alignment horizontal="center" vertical="center"/>
    </xf>
    <xf numFmtId="37" fontId="65" fillId="5" borderId="17" xfId="0" applyNumberFormat="1" applyFont="1" applyFill="1" applyBorder="1" applyAlignment="1">
      <alignment horizontal="center" vertical="center"/>
    </xf>
    <xf numFmtId="0" fontId="0" fillId="0" borderId="17" xfId="0" applyFont="1" applyBorder="1" applyAlignment="1"/>
    <xf numFmtId="0" fontId="0" fillId="0" borderId="17" xfId="0" applyFont="1" applyFill="1" applyBorder="1" applyAlignment="1">
      <alignment horizontal="left"/>
    </xf>
    <xf numFmtId="39" fontId="65" fillId="5" borderId="0" xfId="0" applyNumberFormat="1" applyFont="1" applyFill="1" applyAlignment="1">
      <alignment horizontal="center" vertical="center"/>
    </xf>
    <xf numFmtId="39" fontId="9" fillId="0" borderId="0" xfId="0" applyNumberFormat="1" applyFont="1" applyAlignment="1">
      <alignment horizontal="center" vertical="center"/>
    </xf>
    <xf numFmtId="171" fontId="9" fillId="0" borderId="17" xfId="0" applyNumberFormat="1" applyFont="1" applyBorder="1" applyAlignment="1">
      <alignment horizontal="center" vertical="center"/>
    </xf>
    <xf numFmtId="171" fontId="9" fillId="5" borderId="17" xfId="0" applyNumberFormat="1" applyFont="1" applyFill="1" applyBorder="1" applyAlignment="1">
      <alignment horizontal="center" vertical="center"/>
    </xf>
    <xf numFmtId="171" fontId="9" fillId="6" borderId="17" xfId="0" applyNumberFormat="1" applyFont="1" applyFill="1" applyBorder="1" applyAlignment="1">
      <alignment horizontal="center" vertical="center"/>
    </xf>
    <xf numFmtId="171" fontId="65" fillId="0" borderId="17" xfId="0" applyNumberFormat="1" applyFont="1" applyBorder="1" applyAlignment="1">
      <alignment horizontal="center" vertical="center"/>
    </xf>
    <xf numFmtId="171" fontId="65" fillId="5" borderId="17" xfId="0" applyNumberFormat="1" applyFont="1" applyFill="1" applyBorder="1" applyAlignment="1">
      <alignment horizontal="center" vertical="center"/>
    </xf>
    <xf numFmtId="0" fontId="0" fillId="15" borderId="0" xfId="0" applyFill="1"/>
    <xf numFmtId="2" fontId="0" fillId="15" borderId="0" xfId="3" applyNumberFormat="1" applyFont="1" applyFill="1" applyAlignment="1">
      <alignment horizontal="center" vertical="center"/>
    </xf>
    <xf numFmtId="168" fontId="0" fillId="15" borderId="0" xfId="3" applyNumberFormat="1" applyFont="1" applyFill="1"/>
    <xf numFmtId="168" fontId="0" fillId="15" borderId="0" xfId="3" applyNumberFormat="1" applyFont="1" applyFill="1" applyAlignment="1">
      <alignment horizontal="center" vertical="center"/>
    </xf>
    <xf numFmtId="182" fontId="0" fillId="15" borderId="0" xfId="0" applyNumberFormat="1" applyFill="1"/>
    <xf numFmtId="0" fontId="9" fillId="15" borderId="0" xfId="0" applyFont="1" applyFill="1"/>
    <xf numFmtId="182" fontId="9" fillId="15" borderId="0" xfId="0" applyNumberFormat="1" applyFont="1" applyFill="1"/>
    <xf numFmtId="171" fontId="0" fillId="15" borderId="0" xfId="3" applyNumberFormat="1" applyFont="1" applyFill="1" applyAlignment="1">
      <alignment horizontal="center" vertical="center"/>
    </xf>
    <xf numFmtId="0" fontId="0" fillId="15" borderId="0" xfId="0" applyFill="1" applyAlignment="1">
      <alignment horizontal="center" vertical="center"/>
    </xf>
    <xf numFmtId="171" fontId="0" fillId="15" borderId="0" xfId="0" applyNumberFormat="1" applyFill="1" applyAlignment="1">
      <alignment horizontal="center" vertical="center"/>
    </xf>
    <xf numFmtId="0" fontId="0" fillId="15" borderId="0" xfId="0" applyFill="1" applyBorder="1"/>
    <xf numFmtId="168" fontId="0" fillId="15" borderId="0" xfId="3" applyNumberFormat="1" applyFont="1" applyFill="1" applyBorder="1"/>
    <xf numFmtId="0" fontId="0" fillId="15" borderId="0" xfId="0" applyFill="1" applyBorder="1" applyAlignment="1">
      <alignment horizontal="center" vertical="center"/>
    </xf>
    <xf numFmtId="171" fontId="0" fillId="15" borderId="0" xfId="0" applyNumberFormat="1" applyFill="1" applyBorder="1" applyAlignment="1">
      <alignment horizontal="center" vertical="center"/>
    </xf>
    <xf numFmtId="37" fontId="0" fillId="15" borderId="0" xfId="3" applyNumberFormat="1" applyFont="1" applyFill="1" applyAlignment="1">
      <alignment horizontal="center" vertical="center"/>
    </xf>
    <xf numFmtId="37" fontId="0" fillId="15" borderId="0" xfId="3" applyNumberFormat="1" applyFont="1" applyFill="1" applyBorder="1" applyAlignment="1">
      <alignment horizontal="center" vertical="center"/>
    </xf>
    <xf numFmtId="0" fontId="0" fillId="0" borderId="0" xfId="0" applyAlignment="1">
      <alignment horizontal="left" indent="10"/>
    </xf>
    <xf numFmtId="37" fontId="6" fillId="6" borderId="0" xfId="0" applyNumberFormat="1" applyFont="1" applyFill="1" applyBorder="1" applyAlignment="1">
      <alignment horizontal="center" vertical="center"/>
    </xf>
    <xf numFmtId="37" fontId="14" fillId="0" borderId="17" xfId="0" applyNumberFormat="1" applyFont="1" applyBorder="1" applyAlignment="1">
      <alignment horizontal="center" vertical="center"/>
    </xf>
    <xf numFmtId="171" fontId="14" fillId="12" borderId="8" xfId="0" applyNumberFormat="1" applyFont="1" applyFill="1" applyBorder="1" applyAlignment="1">
      <alignment horizontal="center" vertical="center"/>
    </xf>
    <xf numFmtId="37" fontId="31" fillId="0" borderId="0" xfId="0" applyNumberFormat="1" applyFont="1" applyBorder="1" applyAlignment="1">
      <alignment horizontal="center" vertical="center"/>
    </xf>
    <xf numFmtId="0" fontId="31" fillId="0" borderId="0" xfId="0" applyFont="1" applyAlignment="1">
      <alignment horizontal="left" vertical="center"/>
    </xf>
    <xf numFmtId="14" fontId="31" fillId="0" borderId="0" xfId="0" applyNumberFormat="1" applyFont="1" applyAlignment="1">
      <alignment horizontal="left" vertical="center"/>
    </xf>
    <xf numFmtId="0" fontId="31" fillId="0" borderId="0" xfId="0" applyFont="1" applyAlignment="1">
      <alignment horizontal="left"/>
    </xf>
    <xf numFmtId="37" fontId="31" fillId="0" borderId="0" xfId="0" applyNumberFormat="1" applyFont="1" applyFill="1" applyBorder="1" applyAlignment="1">
      <alignment horizontal="left" vertical="center"/>
    </xf>
    <xf numFmtId="0" fontId="31" fillId="0" borderId="0" xfId="0" applyFont="1" applyFill="1" applyAlignment="1">
      <alignment horizontal="left" vertical="center"/>
    </xf>
    <xf numFmtId="0" fontId="31" fillId="0" borderId="0" xfId="0" applyFont="1" applyBorder="1" applyAlignment="1">
      <alignment horizontal="left"/>
    </xf>
    <xf numFmtId="0" fontId="31" fillId="0" borderId="0" xfId="0" applyFont="1" applyFill="1" applyBorder="1" applyAlignment="1">
      <alignment horizontal="left"/>
    </xf>
    <xf numFmtId="0" fontId="31" fillId="0" borderId="0" xfId="0" applyFont="1" applyFill="1" applyBorder="1" applyAlignment="1">
      <alignment horizontal="left" vertical="center"/>
    </xf>
    <xf numFmtId="0" fontId="68" fillId="0" borderId="0" xfId="0" applyFont="1" applyBorder="1" applyAlignment="1">
      <alignment horizontal="left"/>
    </xf>
    <xf numFmtId="171" fontId="65" fillId="5" borderId="0" xfId="0" applyNumberFormat="1" applyFont="1" applyFill="1" applyBorder="1" applyAlignment="1">
      <alignment horizontal="center" vertical="center"/>
    </xf>
    <xf numFmtId="171" fontId="65" fillId="0" borderId="0" xfId="0" applyNumberFormat="1" applyFont="1" applyBorder="1" applyAlignment="1">
      <alignment horizontal="center" vertical="center"/>
    </xf>
    <xf numFmtId="171" fontId="65" fillId="6" borderId="0" xfId="0" applyNumberFormat="1" applyFont="1" applyFill="1" applyBorder="1" applyAlignment="1">
      <alignment horizontal="center" vertical="center"/>
    </xf>
    <xf numFmtId="37" fontId="65" fillId="6" borderId="17" xfId="0" applyNumberFormat="1" applyFont="1" applyFill="1" applyBorder="1" applyAlignment="1">
      <alignment horizontal="center" vertical="center"/>
    </xf>
    <xf numFmtId="165" fontId="2" fillId="2" borderId="9" xfId="4" applyNumberFormat="1" applyBorder="1" applyAlignment="1">
      <alignment horizontal="center" vertical="center"/>
    </xf>
    <xf numFmtId="165" fontId="4" fillId="4" borderId="9" xfId="6" applyNumberFormat="1" applyBorder="1" applyAlignment="1">
      <alignment horizontal="center" vertical="center"/>
    </xf>
    <xf numFmtId="165" fontId="3" fillId="3" borderId="6" xfId="5" applyNumberFormat="1" applyBorder="1" applyAlignment="1">
      <alignment horizontal="center" vertical="center"/>
    </xf>
    <xf numFmtId="0" fontId="7" fillId="0" borderId="0" xfId="0" applyFont="1" applyAlignment="1">
      <alignment horizontal="center" vertical="center"/>
    </xf>
    <xf numFmtId="0" fontId="7" fillId="0" borderId="0" xfId="0" applyFont="1" applyFill="1" applyBorder="1" applyAlignment="1">
      <alignment horizontal="center" vertical="center" wrapText="1"/>
    </xf>
    <xf numFmtId="171" fontId="2" fillId="2" borderId="0" xfId="4" applyNumberFormat="1" applyBorder="1" applyAlignment="1">
      <alignment horizontal="center" vertical="center"/>
    </xf>
    <xf numFmtId="171" fontId="3" fillId="3" borderId="0" xfId="5" applyNumberFormat="1" applyBorder="1" applyAlignment="1">
      <alignment horizontal="center" vertical="center"/>
    </xf>
    <xf numFmtId="171" fontId="2" fillId="2" borderId="7" xfId="4" applyNumberFormat="1" applyBorder="1" applyAlignment="1">
      <alignment horizontal="center" vertical="center"/>
    </xf>
    <xf numFmtId="0" fontId="7" fillId="0" borderId="0" xfId="0" applyFont="1" applyFill="1" applyBorder="1" applyAlignment="1">
      <alignment horizontal="left" indent="2"/>
    </xf>
    <xf numFmtId="0" fontId="7" fillId="0" borderId="0" xfId="0" applyFont="1" applyFill="1" applyBorder="1" applyAlignment="1">
      <alignment horizontal="left"/>
    </xf>
    <xf numFmtId="0" fontId="0" fillId="0" borderId="0" xfId="0" applyBorder="1" applyAlignment="1">
      <alignment horizontal="left"/>
    </xf>
    <xf numFmtId="0" fontId="0" fillId="0" borderId="0" xfId="0" applyBorder="1" applyAlignment="1">
      <alignment horizontal="left" indent="3"/>
    </xf>
    <xf numFmtId="0" fontId="7" fillId="0" borderId="0" xfId="0" applyFont="1" applyAlignment="1">
      <alignment horizontal="left"/>
    </xf>
    <xf numFmtId="0" fontId="0" fillId="0" borderId="17" xfId="0" applyBorder="1" applyAlignment="1">
      <alignment horizontal="left" indent="3"/>
    </xf>
    <xf numFmtId="0" fontId="0" fillId="0" borderId="17" xfId="0" applyBorder="1" applyAlignment="1">
      <alignment horizontal="left" indent="2"/>
    </xf>
    <xf numFmtId="0" fontId="0" fillId="0" borderId="0" xfId="0" applyFont="1"/>
    <xf numFmtId="37" fontId="69" fillId="0" borderId="0" xfId="0" applyNumberFormat="1" applyFont="1" applyAlignment="1">
      <alignment horizontal="center" vertical="center"/>
    </xf>
    <xf numFmtId="37" fontId="69" fillId="0" borderId="17" xfId="0" applyNumberFormat="1" applyFont="1" applyBorder="1" applyAlignment="1">
      <alignment horizontal="center" vertical="center"/>
    </xf>
    <xf numFmtId="37" fontId="23" fillId="6" borderId="0" xfId="0" applyNumberFormat="1" applyFont="1" applyFill="1" applyBorder="1" applyAlignment="1">
      <alignment horizontal="center" vertical="center"/>
    </xf>
    <xf numFmtId="171" fontId="24" fillId="6" borderId="0" xfId="0" applyNumberFormat="1" applyFont="1" applyFill="1" applyBorder="1" applyAlignment="1">
      <alignment horizontal="center" vertical="center"/>
    </xf>
    <xf numFmtId="37" fontId="14" fillId="6" borderId="0" xfId="0" applyNumberFormat="1" applyFont="1" applyFill="1" applyBorder="1" applyAlignment="1">
      <alignment horizontal="center" vertical="center"/>
    </xf>
    <xf numFmtId="37" fontId="14" fillId="6" borderId="0" xfId="0" applyNumberFormat="1" applyFont="1" applyFill="1" applyAlignment="1">
      <alignment horizontal="center" vertical="center"/>
    </xf>
    <xf numFmtId="0" fontId="5" fillId="6" borderId="0" xfId="0" applyFont="1" applyFill="1" applyAlignment="1">
      <alignment horizontal="center" vertical="center"/>
    </xf>
    <xf numFmtId="0" fontId="14" fillId="6" borderId="0" xfId="0" applyFont="1" applyFill="1" applyBorder="1" applyAlignment="1">
      <alignment horizontal="center" vertical="center"/>
    </xf>
    <xf numFmtId="39" fontId="65" fillId="6" borderId="0" xfId="0" applyNumberFormat="1" applyFont="1" applyFill="1" applyAlignment="1">
      <alignment horizontal="center" vertical="center"/>
    </xf>
    <xf numFmtId="171" fontId="65" fillId="6" borderId="0" xfId="0" applyNumberFormat="1" applyFont="1" applyFill="1" applyAlignment="1">
      <alignment horizontal="center" vertical="center"/>
    </xf>
    <xf numFmtId="171" fontId="65" fillId="6" borderId="17" xfId="0" applyNumberFormat="1" applyFont="1" applyFill="1" applyBorder="1" applyAlignment="1">
      <alignment horizontal="center" vertical="center"/>
    </xf>
    <xf numFmtId="37" fontId="14" fillId="6" borderId="17" xfId="0" applyNumberFormat="1" applyFont="1" applyFill="1" applyBorder="1" applyAlignment="1">
      <alignment horizontal="center" vertical="center"/>
    </xf>
    <xf numFmtId="37" fontId="23" fillId="6" borderId="17" xfId="0" applyNumberFormat="1" applyFont="1" applyFill="1" applyBorder="1" applyAlignment="1">
      <alignment horizontal="center" vertical="center"/>
    </xf>
    <xf numFmtId="37" fontId="0" fillId="0" borderId="0" xfId="0" applyNumberFormat="1"/>
    <xf numFmtId="37" fontId="0" fillId="5" borderId="17" xfId="0" applyNumberFormat="1" applyFill="1" applyBorder="1" applyAlignment="1">
      <alignment horizontal="center" vertical="center"/>
    </xf>
    <xf numFmtId="0" fontId="6" fillId="0" borderId="0" xfId="0" applyFont="1" applyBorder="1" applyAlignment="1">
      <alignment horizontal="left"/>
    </xf>
    <xf numFmtId="7" fontId="14" fillId="5" borderId="0" xfId="0" applyNumberFormat="1" applyFont="1" applyFill="1" applyBorder="1" applyAlignment="1">
      <alignment horizontal="center" vertical="center"/>
    </xf>
    <xf numFmtId="7" fontId="14" fillId="0" borderId="0" xfId="0" applyNumberFormat="1" applyFont="1" applyBorder="1" applyAlignment="1">
      <alignment horizontal="center" vertical="center"/>
    </xf>
    <xf numFmtId="7" fontId="0" fillId="0" borderId="0" xfId="0" applyNumberFormat="1" applyBorder="1" applyAlignment="1">
      <alignment horizontal="center" vertical="center"/>
    </xf>
    <xf numFmtId="171" fontId="0" fillId="5" borderId="0" xfId="0" applyNumberFormat="1" applyFill="1" applyAlignment="1">
      <alignment horizontal="center" vertical="center"/>
    </xf>
    <xf numFmtId="171" fontId="14" fillId="5" borderId="0" xfId="0" applyNumberFormat="1" applyFont="1" applyFill="1" applyAlignment="1">
      <alignment horizontal="center" vertical="center"/>
    </xf>
    <xf numFmtId="37" fontId="24" fillId="5" borderId="0" xfId="0" applyNumberFormat="1" applyFont="1" applyFill="1" applyAlignment="1">
      <alignment horizontal="center" vertical="center"/>
    </xf>
    <xf numFmtId="37" fontId="2" fillId="2" borderId="0" xfId="4" applyNumberFormat="1" applyBorder="1" applyAlignment="1">
      <alignment horizontal="center" vertical="center"/>
    </xf>
    <xf numFmtId="37" fontId="4" fillId="4" borderId="0" xfId="6" applyNumberFormat="1" applyBorder="1" applyAlignment="1">
      <alignment horizontal="center" vertical="center"/>
    </xf>
    <xf numFmtId="37" fontId="3" fillId="3" borderId="0" xfId="5" applyNumberFormat="1" applyBorder="1" applyAlignment="1">
      <alignment horizontal="center" vertical="center"/>
    </xf>
    <xf numFmtId="0" fontId="65" fillId="0" borderId="0" xfId="0" applyFont="1" applyAlignment="1">
      <alignment horizontal="center" vertical="center"/>
    </xf>
    <xf numFmtId="183" fontId="14" fillId="0" borderId="0" xfId="0" applyNumberFormat="1" applyFont="1" applyBorder="1" applyAlignment="1">
      <alignment horizontal="center" vertical="center"/>
    </xf>
    <xf numFmtId="5" fontId="9" fillId="5" borderId="0" xfId="0" applyNumberFormat="1" applyFont="1" applyFill="1" applyBorder="1" applyAlignment="1">
      <alignment horizontal="center" vertical="center"/>
    </xf>
    <xf numFmtId="5" fontId="6" fillId="0" borderId="0" xfId="0" applyNumberFormat="1" applyFont="1" applyBorder="1" applyAlignment="1">
      <alignment horizontal="center" vertical="center"/>
    </xf>
    <xf numFmtId="5" fontId="9" fillId="0" borderId="0" xfId="0" applyNumberFormat="1" applyFont="1" applyBorder="1" applyAlignment="1">
      <alignment horizontal="center" vertical="center"/>
    </xf>
    <xf numFmtId="183" fontId="14" fillId="5" borderId="0" xfId="0" applyNumberFormat="1" applyFont="1" applyFill="1" applyBorder="1" applyAlignment="1">
      <alignment horizontal="center" vertical="center"/>
    </xf>
    <xf numFmtId="37" fontId="0" fillId="0" borderId="0" xfId="0" applyNumberFormat="1" applyAlignment="1">
      <alignment horizontal="left" vertical="center"/>
    </xf>
    <xf numFmtId="37" fontId="25" fillId="0" borderId="0" xfId="0" applyNumberFormat="1" applyFont="1" applyAlignment="1">
      <alignment horizontal="center" vertical="center"/>
    </xf>
    <xf numFmtId="184" fontId="0" fillId="0" borderId="0" xfId="0" applyNumberFormat="1" applyAlignment="1">
      <alignment horizontal="center"/>
    </xf>
    <xf numFmtId="0" fontId="5" fillId="11" borderId="0" xfId="0" applyFont="1" applyFill="1" applyAlignment="1">
      <alignment horizontal="center"/>
    </xf>
    <xf numFmtId="183" fontId="9" fillId="6" borderId="0" xfId="0" applyNumberFormat="1" applyFont="1" applyFill="1" applyBorder="1" applyAlignment="1">
      <alignment horizontal="center" vertical="center"/>
    </xf>
    <xf numFmtId="171" fontId="5" fillId="11" borderId="0" xfId="0" applyNumberFormat="1" applyFont="1" applyFill="1" applyBorder="1" applyAlignment="1">
      <alignment horizontal="center" vertical="center"/>
    </xf>
    <xf numFmtId="171" fontId="5" fillId="10" borderId="0" xfId="0" applyNumberFormat="1" applyFont="1" applyFill="1" applyBorder="1" applyAlignment="1">
      <alignment horizontal="center" vertical="center"/>
    </xf>
    <xf numFmtId="171" fontId="6" fillId="5" borderId="0" xfId="0" applyNumberFormat="1" applyFont="1" applyFill="1" applyBorder="1" applyAlignment="1">
      <alignment horizontal="center" vertical="center"/>
    </xf>
    <xf numFmtId="171" fontId="6" fillId="6" borderId="0" xfId="0" applyNumberFormat="1" applyFont="1" applyFill="1" applyBorder="1" applyAlignment="1">
      <alignment horizontal="center" vertical="center"/>
    </xf>
    <xf numFmtId="37" fontId="0" fillId="6" borderId="17" xfId="0" applyNumberFormat="1" applyFill="1" applyBorder="1" applyAlignment="1">
      <alignment horizontal="center" vertical="center"/>
    </xf>
    <xf numFmtId="0" fontId="0" fillId="0" borderId="0" xfId="0" applyFont="1" applyBorder="1" applyAlignment="1">
      <alignment horizontal="left" indent="5"/>
    </xf>
    <xf numFmtId="37" fontId="24" fillId="5" borderId="0" xfId="0" applyNumberFormat="1" applyFont="1" applyFill="1" applyBorder="1" applyAlignment="1">
      <alignment horizontal="center" vertical="center"/>
    </xf>
    <xf numFmtId="0" fontId="7" fillId="0" borderId="0" xfId="0" applyFont="1" applyBorder="1" applyAlignment="1">
      <alignment horizontal="left" indent="1"/>
    </xf>
    <xf numFmtId="0" fontId="7" fillId="0" borderId="17" xfId="0" applyFont="1" applyBorder="1" applyAlignment="1">
      <alignment horizontal="left" indent="2"/>
    </xf>
    <xf numFmtId="37" fontId="23" fillId="5" borderId="17" xfId="0" applyNumberFormat="1" applyFont="1" applyFill="1" applyBorder="1" applyAlignment="1">
      <alignment horizontal="center" vertical="center"/>
    </xf>
    <xf numFmtId="37" fontId="24" fillId="5" borderId="17" xfId="0" applyNumberFormat="1" applyFont="1" applyFill="1" applyBorder="1" applyAlignment="1">
      <alignment horizontal="center" vertical="center"/>
    </xf>
    <xf numFmtId="37" fontId="24" fillId="0" borderId="17" xfId="0" applyNumberFormat="1" applyFont="1" applyBorder="1" applyAlignment="1">
      <alignment horizontal="center" vertical="center"/>
    </xf>
    <xf numFmtId="0" fontId="7" fillId="0" borderId="17" xfId="0" applyFont="1" applyBorder="1" applyAlignment="1">
      <alignment horizontal="left" indent="1"/>
    </xf>
    <xf numFmtId="37" fontId="24" fillId="6" borderId="17" xfId="0" applyNumberFormat="1" applyFont="1" applyFill="1" applyBorder="1" applyAlignment="1">
      <alignment horizontal="center" vertical="center"/>
    </xf>
    <xf numFmtId="173" fontId="9" fillId="0" borderId="0" xfId="0" applyNumberFormat="1" applyFont="1" applyBorder="1" applyAlignment="1">
      <alignment horizontal="center" vertical="center"/>
    </xf>
    <xf numFmtId="0" fontId="0" fillId="0" borderId="0" xfId="0" applyBorder="1" applyAlignment="1">
      <alignment horizontal="left" indent="8"/>
    </xf>
    <xf numFmtId="7" fontId="0" fillId="6" borderId="0" xfId="0" applyNumberFormat="1" applyFill="1" applyBorder="1" applyAlignment="1">
      <alignment horizontal="center" vertical="center"/>
    </xf>
    <xf numFmtId="171" fontId="9" fillId="0" borderId="0" xfId="0" applyNumberFormat="1" applyFont="1" applyAlignment="1">
      <alignment horizontal="center" vertical="center"/>
    </xf>
    <xf numFmtId="171" fontId="9" fillId="5" borderId="0" xfId="0" applyNumberFormat="1" applyFont="1" applyFill="1" applyAlignment="1">
      <alignment horizontal="center" vertical="center"/>
    </xf>
    <xf numFmtId="171" fontId="9" fillId="0" borderId="0" xfId="0" applyNumberFormat="1" applyFont="1" applyFill="1" applyAlignment="1">
      <alignment horizontal="center" vertical="center"/>
    </xf>
    <xf numFmtId="37" fontId="65" fillId="5" borderId="0" xfId="0" applyNumberFormat="1" applyFont="1" applyFill="1" applyAlignment="1">
      <alignment horizontal="center" vertical="center"/>
    </xf>
    <xf numFmtId="171" fontId="9" fillId="6" borderId="0" xfId="0" applyNumberFormat="1" applyFont="1" applyFill="1" applyAlignment="1">
      <alignment horizontal="center" vertical="center"/>
    </xf>
    <xf numFmtId="7" fontId="65" fillId="5" borderId="0" xfId="0" applyNumberFormat="1" applyFont="1" applyFill="1" applyAlignment="1">
      <alignment horizontal="center" vertical="center"/>
    </xf>
    <xf numFmtId="7" fontId="65" fillId="0" borderId="0" xfId="0" applyNumberFormat="1" applyFont="1" applyFill="1" applyBorder="1" applyAlignment="1">
      <alignment horizontal="center" vertical="center"/>
    </xf>
    <xf numFmtId="7" fontId="65" fillId="5" borderId="0" xfId="0" applyNumberFormat="1" applyFont="1" applyFill="1" applyBorder="1" applyAlignment="1">
      <alignment horizontal="center" vertical="center"/>
    </xf>
    <xf numFmtId="7" fontId="65" fillId="6" borderId="0" xfId="0" applyNumberFormat="1" applyFont="1" applyFill="1" applyBorder="1" applyAlignment="1">
      <alignment horizontal="center" vertical="center"/>
    </xf>
    <xf numFmtId="37" fontId="6" fillId="0" borderId="0" xfId="0" applyNumberFormat="1" applyFont="1" applyAlignment="1">
      <alignment horizontal="center" vertical="center"/>
    </xf>
    <xf numFmtId="37" fontId="31" fillId="6" borderId="0" xfId="0" applyNumberFormat="1" applyFont="1" applyFill="1" applyBorder="1" applyAlignment="1">
      <alignment horizontal="center" vertical="center"/>
    </xf>
    <xf numFmtId="0" fontId="0" fillId="0" borderId="0" xfId="0" applyFont="1" applyFill="1" applyBorder="1"/>
    <xf numFmtId="0" fontId="7" fillId="0" borderId="17" xfId="0" applyFont="1" applyFill="1" applyBorder="1" applyAlignment="1">
      <alignment horizontal="left" indent="2"/>
    </xf>
    <xf numFmtId="171" fontId="6" fillId="0" borderId="0" xfId="0" applyNumberFormat="1" applyFont="1" applyAlignment="1">
      <alignment horizontal="center" vertical="center"/>
    </xf>
    <xf numFmtId="171" fontId="6" fillId="5" borderId="0" xfId="0" applyNumberFormat="1" applyFont="1" applyFill="1" applyAlignment="1">
      <alignment horizontal="center" vertical="center"/>
    </xf>
    <xf numFmtId="173" fontId="65" fillId="5" borderId="0" xfId="0" applyNumberFormat="1" applyFont="1" applyFill="1" applyAlignment="1">
      <alignment horizontal="center" vertical="center"/>
    </xf>
    <xf numFmtId="173" fontId="65" fillId="0" borderId="0" xfId="0" applyNumberFormat="1" applyFont="1" applyFill="1" applyBorder="1" applyAlignment="1">
      <alignment horizontal="center" vertical="center"/>
    </xf>
    <xf numFmtId="173" fontId="65" fillId="5" borderId="0" xfId="0" applyNumberFormat="1" applyFont="1" applyFill="1" applyBorder="1" applyAlignment="1">
      <alignment horizontal="center" vertical="center"/>
    </xf>
    <xf numFmtId="173" fontId="65" fillId="6" borderId="0" xfId="0" applyNumberFormat="1" applyFont="1" applyFill="1" applyBorder="1" applyAlignment="1">
      <alignment horizontal="center" vertical="center"/>
    </xf>
    <xf numFmtId="37" fontId="6" fillId="5" borderId="0" xfId="0" applyNumberFormat="1" applyFont="1" applyFill="1" applyAlignment="1">
      <alignment horizontal="center" vertical="center"/>
    </xf>
    <xf numFmtId="173" fontId="65" fillId="0" borderId="0" xfId="0" applyNumberFormat="1" applyFont="1" applyAlignment="1">
      <alignment horizontal="center" vertical="center"/>
    </xf>
    <xf numFmtId="173" fontId="65" fillId="6" borderId="0" xfId="0" applyNumberFormat="1" applyFont="1" applyFill="1" applyAlignment="1">
      <alignment horizontal="center" vertical="center"/>
    </xf>
    <xf numFmtId="173" fontId="9" fillId="5" borderId="0" xfId="0" applyNumberFormat="1" applyFont="1" applyFill="1" applyAlignment="1">
      <alignment horizontal="center" vertical="center"/>
    </xf>
    <xf numFmtId="184" fontId="14" fillId="5" borderId="0" xfId="0" applyNumberFormat="1" applyFont="1" applyFill="1" applyAlignment="1">
      <alignment horizontal="center" vertical="center"/>
    </xf>
    <xf numFmtId="184" fontId="14" fillId="0" borderId="0" xfId="0" applyNumberFormat="1" applyFont="1" applyAlignment="1">
      <alignment horizontal="center" vertical="center"/>
    </xf>
    <xf numFmtId="184" fontId="9" fillId="5" borderId="0" xfId="0" applyNumberFormat="1" applyFont="1" applyFill="1" applyAlignment="1">
      <alignment horizontal="center" vertical="center"/>
    </xf>
    <xf numFmtId="184" fontId="9" fillId="0" borderId="0" xfId="0" applyNumberFormat="1" applyFont="1" applyAlignment="1">
      <alignment horizontal="center" vertical="center"/>
    </xf>
    <xf numFmtId="184" fontId="0" fillId="0" borderId="0" xfId="0" applyNumberFormat="1" applyAlignment="1">
      <alignment horizontal="center" vertical="center"/>
    </xf>
    <xf numFmtId="0" fontId="7" fillId="0" borderId="0" xfId="0" applyFont="1" applyAlignment="1">
      <alignment horizontal="left" indent="2"/>
    </xf>
    <xf numFmtId="0" fontId="7" fillId="5" borderId="0" xfId="0" applyFont="1" applyFill="1"/>
    <xf numFmtId="0" fontId="7" fillId="0" borderId="0" xfId="0" applyFont="1" applyFill="1"/>
    <xf numFmtId="184" fontId="9" fillId="6" borderId="0" xfId="0" applyNumberFormat="1" applyFont="1" applyFill="1" applyAlignment="1">
      <alignment horizontal="center" vertical="center"/>
    </xf>
    <xf numFmtId="184" fontId="0" fillId="6" borderId="0" xfId="0" applyNumberFormat="1" applyFill="1" applyAlignment="1">
      <alignment horizontal="center"/>
    </xf>
    <xf numFmtId="0" fontId="0" fillId="0" borderId="0" xfId="0" applyFont="1" applyAlignment="1">
      <alignment horizontal="left" indent="4"/>
    </xf>
    <xf numFmtId="37" fontId="0" fillId="0" borderId="0" xfId="0" applyNumberFormat="1" applyFont="1" applyAlignment="1">
      <alignment horizontal="center" vertical="center"/>
    </xf>
    <xf numFmtId="37" fontId="0" fillId="6" borderId="0" xfId="0" applyNumberFormat="1" applyFont="1" applyFill="1" applyAlignment="1">
      <alignment horizontal="center" vertical="center"/>
    </xf>
    <xf numFmtId="171" fontId="9" fillId="16" borderId="0" xfId="0" applyNumberFormat="1" applyFont="1" applyFill="1" applyAlignment="1">
      <alignment horizontal="center" vertical="center"/>
    </xf>
    <xf numFmtId="37" fontId="7" fillId="0" borderId="17" xfId="0" applyNumberFormat="1" applyFont="1" applyBorder="1" applyAlignment="1">
      <alignment horizontal="left" vertical="center" indent="2"/>
    </xf>
    <xf numFmtId="171" fontId="7" fillId="0" borderId="0" xfId="0" applyNumberFormat="1" applyFont="1" applyFill="1" applyAlignment="1">
      <alignment horizontal="center" vertical="center"/>
    </xf>
    <xf numFmtId="9" fontId="0" fillId="0" borderId="0" xfId="0" applyNumberFormat="1" applyBorder="1"/>
    <xf numFmtId="168" fontId="0" fillId="0" borderId="0" xfId="0" applyNumberFormat="1" applyBorder="1"/>
    <xf numFmtId="0" fontId="7" fillId="16" borderId="0" xfId="0" applyFont="1" applyFill="1" applyBorder="1"/>
    <xf numFmtId="171" fontId="64" fillId="15" borderId="0" xfId="9" applyNumberFormat="1" applyFont="1" applyFill="1" applyAlignment="1">
      <alignment horizontal="center" vertical="center"/>
    </xf>
    <xf numFmtId="171" fontId="70" fillId="0" borderId="14" xfId="3" applyNumberFormat="1" applyFont="1" applyBorder="1" applyAlignment="1">
      <alignment horizontal="center" vertical="center"/>
    </xf>
    <xf numFmtId="37" fontId="70" fillId="0" borderId="37" xfId="1" applyNumberFormat="1" applyFont="1" applyBorder="1" applyAlignment="1">
      <alignment horizontal="center" vertical="center"/>
    </xf>
    <xf numFmtId="165" fontId="22" fillId="0" borderId="5" xfId="2" applyNumberFormat="1" applyFont="1" applyBorder="1" applyAlignment="1">
      <alignment horizontal="center"/>
    </xf>
    <xf numFmtId="37" fontId="18" fillId="0" borderId="5" xfId="1" applyNumberFormat="1" applyFont="1" applyBorder="1" applyAlignment="1">
      <alignment horizontal="center"/>
    </xf>
    <xf numFmtId="170" fontId="67" fillId="4" borderId="41" xfId="6" applyNumberFormat="1" applyFont="1" applyBorder="1" applyAlignment="1">
      <alignment horizontal="center"/>
    </xf>
    <xf numFmtId="0" fontId="16" fillId="7" borderId="40" xfId="7" applyFont="1" applyFill="1" applyBorder="1"/>
    <xf numFmtId="170" fontId="67" fillId="4" borderId="39" xfId="6" applyNumberFormat="1" applyFont="1" applyBorder="1" applyAlignment="1">
      <alignment horizontal="center"/>
    </xf>
    <xf numFmtId="170" fontId="67" fillId="4" borderId="43" xfId="6" applyNumberFormat="1" applyFont="1" applyBorder="1" applyAlignment="1">
      <alignment horizontal="center"/>
    </xf>
    <xf numFmtId="37" fontId="67" fillId="4" borderId="38" xfId="6" applyNumberFormat="1" applyFont="1" applyBorder="1" applyAlignment="1">
      <alignment horizontal="center" vertical="center"/>
    </xf>
    <xf numFmtId="37" fontId="71" fillId="0" borderId="37" xfId="1" applyNumberFormat="1" applyFont="1" applyBorder="1" applyAlignment="1">
      <alignment horizontal="center" vertical="center"/>
    </xf>
    <xf numFmtId="171" fontId="70" fillId="0" borderId="37" xfId="1" applyNumberFormat="1" applyFont="1" applyBorder="1" applyAlignment="1">
      <alignment horizontal="center" vertical="center"/>
    </xf>
    <xf numFmtId="171" fontId="71" fillId="0" borderId="37" xfId="2" applyNumberFormat="1" applyFont="1" applyBorder="1" applyAlignment="1">
      <alignment horizontal="center" vertical="center"/>
    </xf>
    <xf numFmtId="171" fontId="70" fillId="0" borderId="42" xfId="3" applyNumberFormat="1" applyFont="1" applyBorder="1" applyAlignment="1">
      <alignment horizontal="center" vertical="center"/>
    </xf>
    <xf numFmtId="0" fontId="0" fillId="17" borderId="0" xfId="0" applyFill="1"/>
    <xf numFmtId="37" fontId="70" fillId="0" borderId="5" xfId="1" applyNumberFormat="1" applyFont="1" applyBorder="1" applyAlignment="1">
      <alignment horizontal="center" vertical="center"/>
    </xf>
    <xf numFmtId="37" fontId="20" fillId="0" borderId="44" xfId="1" applyNumberFormat="1" applyFont="1" applyBorder="1" applyAlignment="1">
      <alignment horizontal="center"/>
    </xf>
    <xf numFmtId="37" fontId="20" fillId="0" borderId="45" xfId="1" applyNumberFormat="1" applyFont="1" applyBorder="1" applyAlignment="1">
      <alignment horizontal="center"/>
    </xf>
    <xf numFmtId="37" fontId="71" fillId="0" borderId="5" xfId="1" applyNumberFormat="1" applyFont="1" applyBorder="1" applyAlignment="1">
      <alignment horizontal="center" vertical="center"/>
    </xf>
    <xf numFmtId="37" fontId="67" fillId="4" borderId="41" xfId="6" applyNumberFormat="1" applyFont="1" applyBorder="1" applyAlignment="1">
      <alignment horizontal="center" vertical="center"/>
    </xf>
    <xf numFmtId="37" fontId="67" fillId="4" borderId="39" xfId="6" applyNumberFormat="1" applyFont="1" applyBorder="1" applyAlignment="1">
      <alignment horizontal="center" vertical="center"/>
    </xf>
    <xf numFmtId="37" fontId="67" fillId="4" borderId="43" xfId="6" applyNumberFormat="1" applyFont="1" applyBorder="1" applyAlignment="1">
      <alignment horizontal="center" vertical="center"/>
    </xf>
    <xf numFmtId="171" fontId="65" fillId="12" borderId="25" xfId="8" applyNumberFormat="1" applyFont="1" applyFill="1" applyBorder="1" applyAlignment="1">
      <alignment horizontal="center" vertical="center"/>
    </xf>
    <xf numFmtId="166" fontId="65" fillId="12" borderId="25" xfId="8" applyNumberFormat="1" applyFont="1" applyFill="1" applyBorder="1" applyAlignment="1">
      <alignment horizontal="center" vertical="center"/>
    </xf>
    <xf numFmtId="0" fontId="6" fillId="0" borderId="0" xfId="0" applyFont="1"/>
    <xf numFmtId="0" fontId="72" fillId="7" borderId="0" xfId="0" applyFont="1" applyFill="1" applyAlignment="1">
      <alignment horizontal="center"/>
    </xf>
    <xf numFmtId="0" fontId="28" fillId="11" borderId="2" xfId="0" applyFont="1" applyFill="1" applyBorder="1" applyAlignment="1">
      <alignment horizontal="center"/>
    </xf>
    <xf numFmtId="0" fontId="28" fillId="11" borderId="3" xfId="0" applyFont="1" applyFill="1" applyBorder="1" applyAlignment="1">
      <alignment horizontal="center"/>
    </xf>
    <xf numFmtId="0" fontId="28" fillId="11" borderId="4" xfId="0" applyFont="1" applyFill="1" applyBorder="1" applyAlignment="1">
      <alignment horizontal="center"/>
    </xf>
    <xf numFmtId="0" fontId="0" fillId="0" borderId="18" xfId="0" applyBorder="1" applyAlignment="1">
      <alignment horizontal="center"/>
    </xf>
    <xf numFmtId="0" fontId="39" fillId="0" borderId="0" xfId="0" applyFont="1" applyAlignment="1">
      <alignment horizontal="right" vertical="center" textRotation="90" wrapText="1"/>
    </xf>
    <xf numFmtId="0" fontId="39" fillId="0" borderId="0" xfId="0" applyFont="1" applyAlignment="1">
      <alignment horizontal="right" vertical="center" textRotation="90"/>
    </xf>
    <xf numFmtId="0" fontId="5" fillId="7" borderId="9" xfId="0" applyFont="1" applyFill="1" applyBorder="1" applyAlignment="1">
      <alignment horizontal="center"/>
    </xf>
    <xf numFmtId="0" fontId="5" fillId="7" borderId="10" xfId="0" applyFont="1" applyFill="1" applyBorder="1" applyAlignment="1">
      <alignment horizontal="center"/>
    </xf>
    <xf numFmtId="0" fontId="48" fillId="15" borderId="0" xfId="7" applyFont="1" applyFill="1" applyAlignment="1">
      <alignment horizontal="left"/>
    </xf>
    <xf numFmtId="0" fontId="49" fillId="14" borderId="22" xfId="7" applyFont="1" applyFill="1" applyBorder="1" applyAlignment="1">
      <alignment horizontal="left" wrapText="1"/>
    </xf>
    <xf numFmtId="0" fontId="33" fillId="15" borderId="0" xfId="9" applyFont="1" applyFill="1" applyAlignment="1">
      <alignment horizontal="center"/>
    </xf>
    <xf numFmtId="0" fontId="49" fillId="14" borderId="22" xfId="7" applyFont="1" applyFill="1" applyBorder="1" applyAlignment="1">
      <alignment horizontal="left"/>
    </xf>
    <xf numFmtId="37" fontId="0" fillId="6" borderId="0" xfId="0" applyNumberFormat="1" applyFill="1"/>
    <xf numFmtId="0" fontId="5" fillId="10" borderId="0" xfId="0" applyFont="1" applyFill="1" applyAlignment="1">
      <alignment horizontal="center"/>
    </xf>
    <xf numFmtId="37" fontId="23" fillId="5" borderId="0" xfId="0" applyNumberFormat="1" applyFont="1" applyFill="1" applyAlignment="1">
      <alignment horizontal="center" vertical="center"/>
    </xf>
    <xf numFmtId="0" fontId="5" fillId="11" borderId="2" xfId="0" applyFont="1" applyFill="1" applyBorder="1"/>
    <xf numFmtId="0" fontId="27" fillId="11" borderId="3" xfId="0" applyFont="1" applyFill="1" applyBorder="1"/>
    <xf numFmtId="0" fontId="27" fillId="10" borderId="3" xfId="0" applyFont="1" applyFill="1" applyBorder="1"/>
    <xf numFmtId="0" fontId="27" fillId="10" borderId="4" xfId="0" applyFont="1" applyFill="1" applyBorder="1"/>
    <xf numFmtId="0" fontId="5" fillId="11" borderId="9" xfId="0" applyFont="1" applyFill="1" applyBorder="1"/>
    <xf numFmtId="0" fontId="27" fillId="11" borderId="0" xfId="0" applyFont="1" applyFill="1" applyBorder="1"/>
    <xf numFmtId="0" fontId="27" fillId="10" borderId="0" xfId="0" applyFont="1" applyFill="1" applyBorder="1"/>
    <xf numFmtId="0" fontId="27" fillId="10" borderId="10" xfId="0" applyFont="1" applyFill="1" applyBorder="1"/>
    <xf numFmtId="0" fontId="0" fillId="6" borderId="10" xfId="0" applyFill="1" applyBorder="1"/>
    <xf numFmtId="37" fontId="0" fillId="5" borderId="0" xfId="0" applyNumberFormat="1" applyFill="1" applyBorder="1" applyAlignment="1">
      <alignment horizontal="center" vertical="center"/>
    </xf>
    <xf numFmtId="37" fontId="0" fillId="6" borderId="10" xfId="0" applyNumberFormat="1" applyFill="1" applyBorder="1" applyAlignment="1">
      <alignment horizontal="center" vertical="center"/>
    </xf>
    <xf numFmtId="171" fontId="6" fillId="6" borderId="10" xfId="0" applyNumberFormat="1" applyFont="1" applyFill="1" applyBorder="1" applyAlignment="1">
      <alignment horizontal="center" vertical="center"/>
    </xf>
    <xf numFmtId="167" fontId="6" fillId="5" borderId="0" xfId="0" applyNumberFormat="1" applyFont="1" applyFill="1" applyBorder="1" applyAlignment="1">
      <alignment horizontal="center"/>
    </xf>
    <xf numFmtId="167" fontId="6" fillId="0" borderId="0" xfId="0" applyNumberFormat="1" applyFont="1" applyBorder="1" applyAlignment="1">
      <alignment horizontal="center"/>
    </xf>
    <xf numFmtId="167" fontId="6" fillId="6" borderId="0" xfId="0" applyNumberFormat="1" applyFont="1" applyFill="1" applyBorder="1" applyAlignment="1">
      <alignment horizontal="center"/>
    </xf>
    <xf numFmtId="167" fontId="6" fillId="6" borderId="10" xfId="0" applyNumberFormat="1" applyFont="1" applyFill="1" applyBorder="1" applyAlignment="1">
      <alignment horizontal="center"/>
    </xf>
    <xf numFmtId="0" fontId="0" fillId="0" borderId="9" xfId="0" applyBorder="1" applyAlignment="1">
      <alignment horizontal="left"/>
    </xf>
    <xf numFmtId="37" fontId="25" fillId="5" borderId="0" xfId="0" applyNumberFormat="1" applyFont="1" applyFill="1" applyBorder="1" applyAlignment="1">
      <alignment horizontal="center" vertical="center"/>
    </xf>
    <xf numFmtId="37" fontId="25" fillId="0" borderId="0" xfId="0" applyNumberFormat="1" applyFont="1" applyBorder="1" applyAlignment="1">
      <alignment horizontal="center" vertical="center"/>
    </xf>
    <xf numFmtId="0" fontId="25" fillId="0" borderId="0" xfId="0" applyFont="1" applyBorder="1" applyAlignment="1">
      <alignment horizontal="center" vertical="center"/>
    </xf>
    <xf numFmtId="37" fontId="25" fillId="6" borderId="0" xfId="0" applyNumberFormat="1" applyFont="1" applyFill="1" applyBorder="1" applyAlignment="1">
      <alignment horizontal="center" vertical="center"/>
    </xf>
    <xf numFmtId="37" fontId="25" fillId="6" borderId="10" xfId="0" applyNumberFormat="1" applyFont="1" applyFill="1" applyBorder="1" applyAlignment="1">
      <alignment horizontal="center" vertical="center"/>
    </xf>
    <xf numFmtId="171" fontId="9" fillId="6" borderId="10" xfId="0" applyNumberFormat="1" applyFont="1" applyFill="1" applyBorder="1" applyAlignment="1">
      <alignment horizontal="center" vertical="center"/>
    </xf>
    <xf numFmtId="6" fontId="0" fillId="5" borderId="0" xfId="0" applyNumberFormat="1" applyFill="1" applyBorder="1" applyAlignment="1">
      <alignment horizontal="center"/>
    </xf>
    <xf numFmtId="6" fontId="0" fillId="0" borderId="0" xfId="0" applyNumberFormat="1" applyBorder="1" applyAlignment="1">
      <alignment horizontal="center"/>
    </xf>
    <xf numFmtId="6" fontId="0" fillId="6" borderId="0" xfId="0" applyNumberFormat="1" applyFill="1" applyBorder="1" applyAlignment="1">
      <alignment horizontal="center"/>
    </xf>
    <xf numFmtId="6" fontId="0" fillId="6" borderId="10" xfId="0" applyNumberFormat="1" applyFill="1" applyBorder="1" applyAlignment="1">
      <alignment horizontal="center"/>
    </xf>
    <xf numFmtId="0" fontId="0" fillId="6" borderId="0" xfId="0" applyFill="1" applyBorder="1" applyAlignment="1">
      <alignment horizontal="center"/>
    </xf>
    <xf numFmtId="0" fontId="0" fillId="6" borderId="10" xfId="0" applyFill="1" applyBorder="1" applyAlignment="1">
      <alignment horizontal="center"/>
    </xf>
    <xf numFmtId="37" fontId="0" fillId="5" borderId="0" xfId="0" applyNumberFormat="1" applyFill="1" applyBorder="1"/>
    <xf numFmtId="37" fontId="0" fillId="6" borderId="0" xfId="0" applyNumberFormat="1" applyFill="1" applyBorder="1"/>
    <xf numFmtId="37" fontId="0" fillId="6" borderId="10" xfId="0" applyNumberFormat="1" applyFill="1" applyBorder="1"/>
    <xf numFmtId="171" fontId="0" fillId="6" borderId="10" xfId="0" applyNumberFormat="1" applyFill="1" applyBorder="1" applyAlignment="1">
      <alignment horizontal="center" vertical="center"/>
    </xf>
    <xf numFmtId="37" fontId="9" fillId="6" borderId="10" xfId="0" applyNumberFormat="1" applyFont="1" applyFill="1" applyBorder="1" applyAlignment="1">
      <alignment horizontal="center" vertical="center"/>
    </xf>
    <xf numFmtId="0" fontId="27" fillId="11" borderId="9" xfId="0" applyFont="1" applyFill="1" applyBorder="1"/>
    <xf numFmtId="3" fontId="0" fillId="5" borderId="0" xfId="0" applyNumberFormat="1" applyFill="1" applyBorder="1"/>
    <xf numFmtId="9" fontId="6" fillId="5" borderId="0" xfId="0" applyNumberFormat="1" applyFont="1" applyFill="1" applyBorder="1" applyAlignment="1">
      <alignment horizontal="center"/>
    </xf>
    <xf numFmtId="9" fontId="6" fillId="0" borderId="0" xfId="0" applyNumberFormat="1" applyFont="1" applyBorder="1" applyAlignment="1">
      <alignment horizontal="center"/>
    </xf>
    <xf numFmtId="9" fontId="6" fillId="6" borderId="0" xfId="0" applyNumberFormat="1" applyFont="1" applyFill="1" applyBorder="1" applyAlignment="1">
      <alignment horizontal="center"/>
    </xf>
    <xf numFmtId="9" fontId="6" fillId="6" borderId="10" xfId="0" applyNumberFormat="1" applyFont="1" applyFill="1" applyBorder="1" applyAlignment="1">
      <alignment horizontal="center"/>
    </xf>
    <xf numFmtId="0" fontId="27" fillId="11" borderId="6" xfId="0" applyFont="1" applyFill="1" applyBorder="1"/>
    <xf numFmtId="0" fontId="27" fillId="11" borderId="7" xfId="0" applyFont="1" applyFill="1" applyBorder="1"/>
    <xf numFmtId="0" fontId="27" fillId="10" borderId="7" xfId="0" applyFont="1" applyFill="1" applyBorder="1"/>
    <xf numFmtId="0" fontId="27" fillId="10" borderId="8" xfId="0" applyFont="1" applyFill="1" applyBorder="1"/>
    <xf numFmtId="0" fontId="9" fillId="11" borderId="3" xfId="0" applyFont="1" applyFill="1" applyBorder="1"/>
    <xf numFmtId="0" fontId="73" fillId="10" borderId="3" xfId="0" applyFont="1" applyFill="1" applyBorder="1"/>
    <xf numFmtId="0" fontId="73" fillId="10" borderId="4" xfId="0" applyFont="1" applyFill="1" applyBorder="1"/>
    <xf numFmtId="0" fontId="9" fillId="11" borderId="0" xfId="0" applyFont="1" applyFill="1" applyBorder="1"/>
    <xf numFmtId="0" fontId="0" fillId="0" borderId="9" xfId="0" applyBorder="1" applyAlignment="1">
      <alignment horizontal="left" vertical="center"/>
    </xf>
    <xf numFmtId="6" fontId="6" fillId="0" borderId="0" xfId="0" applyNumberFormat="1" applyFont="1" applyBorder="1" applyAlignment="1">
      <alignment horizontal="center" vertical="center"/>
    </xf>
    <xf numFmtId="6" fontId="6" fillId="5" borderId="0" xfId="0" applyNumberFormat="1" applyFont="1" applyFill="1" applyBorder="1" applyAlignment="1">
      <alignment horizontal="center" vertical="center"/>
    </xf>
    <xf numFmtId="6" fontId="6" fillId="0" borderId="0" xfId="0" applyNumberFormat="1" applyFont="1" applyBorder="1" applyAlignment="1">
      <alignment horizontal="center"/>
    </xf>
    <xf numFmtId="6" fontId="6" fillId="6" borderId="0" xfId="0" applyNumberFormat="1" applyFont="1" applyFill="1" applyBorder="1" applyAlignment="1">
      <alignment horizontal="center"/>
    </xf>
    <xf numFmtId="6" fontId="6" fillId="6" borderId="10" xfId="0" applyNumberFormat="1" applyFont="1" applyFill="1" applyBorder="1" applyAlignment="1">
      <alignment horizontal="center"/>
    </xf>
    <xf numFmtId="37" fontId="6" fillId="5" borderId="0" xfId="0" applyNumberFormat="1" applyFont="1" applyFill="1" applyBorder="1" applyAlignment="1">
      <alignment horizontal="center" vertical="center"/>
    </xf>
    <xf numFmtId="37" fontId="6" fillId="6" borderId="0" xfId="0" applyNumberFormat="1" applyFont="1" applyFill="1" applyBorder="1" applyAlignment="1">
      <alignment horizontal="center"/>
    </xf>
    <xf numFmtId="37" fontId="6" fillId="6" borderId="10" xfId="0" applyNumberFormat="1" applyFont="1" applyFill="1" applyBorder="1" applyAlignment="1">
      <alignment horizontal="center"/>
    </xf>
    <xf numFmtId="167" fontId="6" fillId="0" borderId="0" xfId="0" applyNumberFormat="1" applyFont="1" applyBorder="1" applyAlignment="1">
      <alignment horizontal="center" vertical="center"/>
    </xf>
    <xf numFmtId="167" fontId="6" fillId="5" borderId="0" xfId="0" applyNumberFormat="1" applyFont="1" applyFill="1" applyBorder="1" applyAlignment="1">
      <alignment horizontal="center" vertical="center"/>
    </xf>
    <xf numFmtId="0" fontId="9" fillId="0" borderId="9" xfId="0" applyFont="1" applyBorder="1" applyAlignment="1">
      <alignment horizontal="left" indent="2"/>
    </xf>
    <xf numFmtId="0" fontId="9" fillId="5" borderId="0" xfId="0" applyFont="1" applyFill="1" applyBorder="1"/>
    <xf numFmtId="0" fontId="9" fillId="0" borderId="0" xfId="0" applyFont="1" applyBorder="1"/>
    <xf numFmtId="37" fontId="0" fillId="0" borderId="0" xfId="0" applyNumberFormat="1" applyBorder="1" applyAlignment="1">
      <alignment horizontal="center"/>
    </xf>
    <xf numFmtId="37" fontId="0" fillId="6" borderId="0" xfId="0" applyNumberFormat="1" applyFill="1" applyBorder="1" applyAlignment="1">
      <alignment horizontal="center"/>
    </xf>
    <xf numFmtId="37" fontId="0" fillId="6" borderId="10" xfId="0" applyNumberFormat="1" applyFill="1" applyBorder="1" applyAlignment="1">
      <alignment horizontal="center"/>
    </xf>
    <xf numFmtId="9" fontId="6" fillId="0" borderId="0" xfId="0" applyNumberFormat="1" applyFont="1" applyBorder="1" applyAlignment="1">
      <alignment horizontal="center" vertical="center"/>
    </xf>
    <xf numFmtId="9" fontId="6" fillId="5" borderId="0" xfId="0" applyNumberFormat="1" applyFont="1" applyFill="1" applyBorder="1" applyAlignment="1">
      <alignment horizontal="center" vertical="center"/>
    </xf>
    <xf numFmtId="0" fontId="27" fillId="11" borderId="2" xfId="0" applyFont="1" applyFill="1" applyBorder="1"/>
    <xf numFmtId="0" fontId="27" fillId="11" borderId="4" xfId="0" applyFont="1" applyFill="1" applyBorder="1"/>
    <xf numFmtId="0" fontId="27" fillId="11" borderId="8" xfId="0" applyFont="1" applyFill="1" applyBorder="1"/>
    <xf numFmtId="0" fontId="0" fillId="0" borderId="9" xfId="0" applyBorder="1" applyAlignment="1">
      <alignment horizontal="left" indent="5"/>
    </xf>
    <xf numFmtId="171" fontId="6" fillId="5" borderId="0" xfId="0" applyNumberFormat="1" applyFont="1" applyFill="1" applyBorder="1" applyAlignment="1">
      <alignment horizontal="center"/>
    </xf>
    <xf numFmtId="171" fontId="6" fillId="0" borderId="0" xfId="0" applyNumberFormat="1" applyFont="1" applyBorder="1" applyAlignment="1">
      <alignment horizontal="center"/>
    </xf>
    <xf numFmtId="171" fontId="6" fillId="6" borderId="0" xfId="0" applyNumberFormat="1" applyFont="1" applyFill="1" applyBorder="1" applyAlignment="1">
      <alignment horizontal="center"/>
    </xf>
    <xf numFmtId="171" fontId="6" fillId="6" borderId="10" xfId="0" applyNumberFormat="1" applyFont="1" applyFill="1" applyBorder="1" applyAlignment="1">
      <alignment horizontal="center"/>
    </xf>
    <xf numFmtId="171" fontId="9" fillId="5" borderId="0" xfId="0" applyNumberFormat="1" applyFont="1" applyFill="1" applyBorder="1" applyAlignment="1">
      <alignment horizontal="center"/>
    </xf>
    <xf numFmtId="171" fontId="9" fillId="0" borderId="0" xfId="0" applyNumberFormat="1" applyFont="1" applyBorder="1" applyAlignment="1">
      <alignment horizontal="center"/>
    </xf>
    <xf numFmtId="171" fontId="9" fillId="6" borderId="0" xfId="0" applyNumberFormat="1" applyFont="1" applyFill="1" applyBorder="1" applyAlignment="1">
      <alignment horizontal="center"/>
    </xf>
    <xf numFmtId="37" fontId="24" fillId="0" borderId="28" xfId="0" applyNumberFormat="1" applyFont="1" applyBorder="1" applyAlignment="1">
      <alignment horizontal="center" vertical="center"/>
    </xf>
    <xf numFmtId="37" fontId="74" fillId="0" borderId="21" xfId="0" applyNumberFormat="1" applyFont="1" applyBorder="1" applyAlignment="1">
      <alignment horizontal="center" vertical="center"/>
    </xf>
    <xf numFmtId="37" fontId="74" fillId="0" borderId="0" xfId="0" applyNumberFormat="1" applyFont="1" applyBorder="1" applyAlignment="1">
      <alignment horizontal="center" vertical="center"/>
    </xf>
    <xf numFmtId="0" fontId="6" fillId="0" borderId="0" xfId="0" applyFont="1" applyAlignment="1">
      <alignment vertical="center"/>
    </xf>
    <xf numFmtId="37" fontId="24" fillId="0" borderId="10" xfId="0" applyNumberFormat="1" applyFont="1" applyBorder="1" applyAlignment="1">
      <alignment horizontal="center" vertical="center"/>
    </xf>
    <xf numFmtId="37" fontId="6" fillId="0" borderId="10" xfId="0" applyNumberFormat="1" applyFont="1" applyBorder="1" applyAlignment="1">
      <alignment horizontal="center" vertical="center"/>
    </xf>
    <xf numFmtId="0" fontId="75" fillId="0" borderId="0" xfId="0" applyFont="1" applyAlignment="1">
      <alignment horizontal="center" vertical="center"/>
    </xf>
    <xf numFmtId="37" fontId="65" fillId="0" borderId="18" xfId="0" applyNumberFormat="1" applyFont="1" applyBorder="1" applyAlignment="1">
      <alignment horizontal="center" vertical="center"/>
    </xf>
    <xf numFmtId="37" fontId="65" fillId="12" borderId="10" xfId="0" applyNumberFormat="1" applyFont="1" applyFill="1" applyBorder="1" applyAlignment="1">
      <alignment horizontal="center" vertical="center"/>
    </xf>
    <xf numFmtId="8" fontId="65" fillId="12" borderId="30" xfId="0" applyNumberFormat="1" applyFont="1" applyFill="1" applyBorder="1" applyAlignment="1">
      <alignment horizontal="center" vertical="center"/>
    </xf>
    <xf numFmtId="37" fontId="24" fillId="0" borderId="21" xfId="0" applyNumberFormat="1" applyFont="1" applyBorder="1" applyAlignment="1">
      <alignment horizontal="center" vertical="center"/>
    </xf>
    <xf numFmtId="168" fontId="35" fillId="0" borderId="0" xfId="3" applyNumberFormat="1" applyFont="1" applyBorder="1" applyAlignment="1">
      <alignment horizontal="center" vertical="center"/>
    </xf>
    <xf numFmtId="171" fontId="65" fillId="12" borderId="10" xfId="0" applyNumberFormat="1" applyFont="1" applyFill="1" applyBorder="1" applyAlignment="1">
      <alignment horizontal="center" vertical="center"/>
    </xf>
    <xf numFmtId="171" fontId="8" fillId="12" borderId="8" xfId="0" applyNumberFormat="1" applyFont="1" applyFill="1" applyBorder="1" applyAlignment="1">
      <alignment horizontal="center" vertical="center"/>
    </xf>
    <xf numFmtId="171" fontId="76" fillId="0" borderId="0" xfId="3" applyNumberFormat="1" applyFont="1" applyBorder="1" applyAlignment="1">
      <alignment horizontal="center" vertical="center"/>
    </xf>
    <xf numFmtId="171" fontId="13" fillId="0" borderId="0" xfId="3" applyNumberFormat="1" applyFont="1" applyBorder="1" applyAlignment="1">
      <alignment horizontal="center" vertical="center"/>
    </xf>
    <xf numFmtId="171" fontId="35" fillId="0" borderId="0" xfId="3" applyNumberFormat="1" applyFont="1" applyBorder="1" applyAlignment="1">
      <alignment horizontal="center" vertical="center"/>
    </xf>
    <xf numFmtId="171" fontId="35" fillId="0" borderId="10" xfId="3" applyNumberFormat="1" applyFont="1" applyBorder="1" applyAlignment="1">
      <alignment horizontal="center" vertical="center"/>
    </xf>
    <xf numFmtId="171" fontId="13" fillId="0" borderId="10" xfId="3" applyNumberFormat="1" applyFont="1" applyBorder="1" applyAlignment="1">
      <alignment horizontal="center" vertical="center"/>
    </xf>
    <xf numFmtId="171" fontId="6" fillId="12" borderId="8" xfId="0" applyNumberFormat="1" applyFont="1" applyFill="1" applyBorder="1" applyAlignment="1">
      <alignment horizontal="center" vertical="center"/>
    </xf>
    <xf numFmtId="171" fontId="0" fillId="0" borderId="10" xfId="0" applyNumberFormat="1" applyBorder="1" applyAlignment="1">
      <alignment horizontal="center" vertical="center"/>
    </xf>
    <xf numFmtId="37" fontId="8" fillId="0" borderId="0" xfId="0" applyNumberFormat="1" applyFont="1" applyAlignment="1">
      <alignment horizontal="center" vertical="center"/>
    </xf>
    <xf numFmtId="37" fontId="0" fillId="0" borderId="3" xfId="0" applyNumberFormat="1" applyBorder="1" applyAlignment="1">
      <alignment horizontal="center" vertical="center"/>
    </xf>
    <xf numFmtId="37" fontId="0" fillId="0" borderId="7" xfId="0" applyNumberFormat="1" applyBorder="1" applyAlignment="1">
      <alignment horizontal="center" vertical="center"/>
    </xf>
    <xf numFmtId="37" fontId="0" fillId="0" borderId="8" xfId="0" applyNumberFormat="1" applyBorder="1" applyAlignment="1">
      <alignment horizontal="center" vertical="center"/>
    </xf>
    <xf numFmtId="0" fontId="0" fillId="0" borderId="2" xfId="0" applyBorder="1" applyAlignment="1">
      <alignment horizontal="left" indent="2"/>
    </xf>
    <xf numFmtId="0" fontId="0" fillId="0" borderId="6" xfId="0" applyBorder="1" applyAlignment="1">
      <alignment horizontal="left" indent="4"/>
    </xf>
    <xf numFmtId="0" fontId="0" fillId="0" borderId="0" xfId="0" applyFill="1" applyBorder="1" applyAlignment="1">
      <alignment horizontal="left"/>
    </xf>
    <xf numFmtId="37" fontId="6" fillId="0" borderId="4" xfId="0" applyNumberFormat="1" applyFont="1" applyBorder="1" applyAlignment="1">
      <alignment horizontal="center" vertical="center"/>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171" fontId="0" fillId="0" borderId="8" xfId="0" applyNumberFormat="1" applyBorder="1" applyAlignment="1">
      <alignment horizontal="center" vertical="center"/>
    </xf>
    <xf numFmtId="37" fontId="6" fillId="0" borderId="7" xfId="0" applyNumberFormat="1" applyFont="1" applyBorder="1" applyAlignment="1">
      <alignment horizontal="center" vertical="center"/>
    </xf>
    <xf numFmtId="0" fontId="8" fillId="0" borderId="0" xfId="0" applyFont="1" applyAlignment="1">
      <alignment horizontal="left" indent="2"/>
    </xf>
    <xf numFmtId="0" fontId="7" fillId="0" borderId="0" xfId="0" applyFont="1" applyAlignment="1">
      <alignment horizontal="left" indent="4"/>
    </xf>
    <xf numFmtId="0" fontId="0" fillId="0" borderId="0" xfId="0" applyFont="1" applyAlignment="1">
      <alignment horizontal="left" indent="6"/>
    </xf>
    <xf numFmtId="37" fontId="14" fillId="4" borderId="0" xfId="6" applyNumberFormat="1" applyFont="1" applyAlignment="1">
      <alignment horizontal="center" vertical="center"/>
    </xf>
    <xf numFmtId="37" fontId="9" fillId="4" borderId="0" xfId="6" applyNumberFormat="1" applyFont="1" applyAlignment="1">
      <alignment horizontal="center" vertical="center"/>
    </xf>
    <xf numFmtId="0" fontId="7" fillId="0" borderId="46" xfId="0" applyFont="1" applyBorder="1" applyAlignment="1">
      <alignment horizontal="left" indent="2"/>
    </xf>
    <xf numFmtId="0" fontId="7" fillId="5" borderId="17" xfId="0" applyFont="1" applyFill="1" applyBorder="1"/>
    <xf numFmtId="171" fontId="24" fillId="5" borderId="17" xfId="0" applyNumberFormat="1" applyFont="1" applyFill="1" applyBorder="1" applyAlignment="1">
      <alignment horizontal="center" vertical="center"/>
    </xf>
    <xf numFmtId="171" fontId="24" fillId="0" borderId="17" xfId="0" applyNumberFormat="1" applyFont="1" applyBorder="1" applyAlignment="1">
      <alignment horizontal="center" vertical="center"/>
    </xf>
    <xf numFmtId="171" fontId="7" fillId="0" borderId="17" xfId="0" applyNumberFormat="1" applyFont="1" applyBorder="1" applyAlignment="1">
      <alignment horizontal="center" vertical="center"/>
    </xf>
    <xf numFmtId="171" fontId="7" fillId="6" borderId="17" xfId="0" applyNumberFormat="1" applyFont="1" applyFill="1" applyBorder="1" applyAlignment="1">
      <alignment horizontal="center" vertical="center"/>
    </xf>
    <xf numFmtId="171" fontId="7" fillId="6" borderId="47" xfId="0" applyNumberFormat="1" applyFont="1" applyFill="1" applyBorder="1" applyAlignment="1">
      <alignment horizontal="center" vertical="center"/>
    </xf>
    <xf numFmtId="0" fontId="0" fillId="5" borderId="17" xfId="0" applyFill="1" applyBorder="1"/>
    <xf numFmtId="171" fontId="0" fillId="0" borderId="17" xfId="0" applyNumberFormat="1" applyBorder="1" applyAlignment="1">
      <alignment horizontal="center" vertical="center"/>
    </xf>
    <xf numFmtId="171" fontId="0" fillId="6" borderId="17" xfId="0" applyNumberFormat="1" applyFill="1" applyBorder="1" applyAlignment="1">
      <alignment horizontal="center" vertical="center"/>
    </xf>
    <xf numFmtId="0" fontId="0" fillId="0" borderId="0" xfId="0" applyAlignment="1">
      <alignment horizontal="left" indent="8"/>
    </xf>
    <xf numFmtId="0" fontId="0" fillId="0" borderId="0" xfId="0" applyFont="1" applyAlignment="1">
      <alignment horizontal="left" indent="8"/>
    </xf>
    <xf numFmtId="0" fontId="7" fillId="6" borderId="17" xfId="0" applyFont="1" applyFill="1" applyBorder="1"/>
    <xf numFmtId="0" fontId="0" fillId="0" borderId="0" xfId="0" applyAlignment="1">
      <alignment horizontal="left" indent="11"/>
    </xf>
    <xf numFmtId="37" fontId="23" fillId="0" borderId="0" xfId="0" applyNumberFormat="1" applyFont="1" applyAlignment="1">
      <alignment horizontal="center" vertical="center"/>
    </xf>
    <xf numFmtId="37" fontId="31" fillId="0" borderId="0" xfId="0" applyNumberFormat="1" applyFont="1" applyAlignment="1">
      <alignment horizontal="center" vertical="center"/>
    </xf>
    <xf numFmtId="37" fontId="9" fillId="0" borderId="10" xfId="0" applyNumberFormat="1" applyFont="1" applyBorder="1" applyAlignment="1">
      <alignment horizontal="center" vertical="center"/>
    </xf>
    <xf numFmtId="37" fontId="24" fillId="6" borderId="0" xfId="0" applyNumberFormat="1" applyFont="1" applyFill="1" applyAlignment="1">
      <alignment horizontal="center" vertical="center"/>
    </xf>
    <xf numFmtId="3" fontId="7" fillId="0" borderId="0" xfId="0" applyNumberFormat="1" applyFont="1" applyBorder="1"/>
    <xf numFmtId="0" fontId="9" fillId="0" borderId="9" xfId="0" applyFont="1" applyBorder="1" applyAlignment="1">
      <alignment horizontal="left"/>
    </xf>
    <xf numFmtId="37" fontId="0" fillId="0" borderId="10" xfId="0" applyNumberFormat="1" applyFont="1" applyBorder="1" applyAlignment="1">
      <alignment horizontal="center" vertical="center"/>
    </xf>
    <xf numFmtId="37" fontId="25" fillId="0" borderId="10" xfId="0" applyNumberFormat="1" applyFont="1" applyBorder="1" applyAlignment="1">
      <alignment horizontal="center" vertical="center"/>
    </xf>
    <xf numFmtId="183" fontId="0" fillId="0" borderId="10" xfId="0" applyNumberFormat="1" applyFont="1" applyBorder="1" applyAlignment="1">
      <alignment horizontal="center"/>
    </xf>
    <xf numFmtId="171" fontId="0" fillId="0" borderId="10" xfId="0" applyNumberFormat="1" applyFont="1" applyBorder="1" applyAlignment="1">
      <alignment horizontal="center" vertical="center"/>
    </xf>
    <xf numFmtId="0" fontId="0" fillId="0" borderId="10" xfId="0" applyFont="1" applyBorder="1"/>
    <xf numFmtId="171" fontId="0" fillId="0" borderId="8" xfId="0" applyNumberFormat="1" applyFont="1" applyBorder="1" applyAlignment="1">
      <alignment horizontal="center" vertical="center"/>
    </xf>
    <xf numFmtId="0" fontId="13" fillId="0" borderId="0" xfId="0" applyFont="1" applyFill="1" applyBorder="1" applyAlignment="1">
      <alignment horizontal="left"/>
    </xf>
    <xf numFmtId="0" fontId="9" fillId="0" borderId="6" xfId="0" applyFont="1" applyBorder="1" applyAlignment="1">
      <alignment horizontal="left" indent="2"/>
    </xf>
    <xf numFmtId="0" fontId="5" fillId="11" borderId="2" xfId="0" applyFont="1" applyFill="1" applyBorder="1" applyAlignment="1">
      <alignment horizontal="center" vertical="center"/>
    </xf>
    <xf numFmtId="0" fontId="5" fillId="11" borderId="4" xfId="0" applyFont="1" applyFill="1" applyBorder="1" applyAlignment="1">
      <alignment horizontal="center" vertical="center"/>
    </xf>
    <xf numFmtId="171" fontId="31" fillId="0" borderId="1" xfId="0" applyNumberFormat="1" applyFont="1" applyBorder="1" applyAlignment="1">
      <alignment horizontal="center" vertical="center"/>
    </xf>
    <xf numFmtId="171" fontId="31" fillId="0" borderId="5" xfId="0" applyNumberFormat="1" applyFont="1" applyBorder="1" applyAlignment="1">
      <alignment horizontal="center" vertical="center"/>
    </xf>
    <xf numFmtId="37" fontId="31" fillId="0" borderId="5" xfId="0" applyNumberFormat="1" applyFont="1" applyBorder="1" applyAlignment="1">
      <alignment horizontal="center" vertical="center"/>
    </xf>
    <xf numFmtId="0" fontId="5" fillId="7" borderId="7" xfId="0" applyFont="1" applyFill="1" applyBorder="1" applyAlignment="1">
      <alignment horizontal="center"/>
    </xf>
    <xf numFmtId="0" fontId="7" fillId="0" borderId="0" xfId="0" applyFont="1" applyBorder="1" applyAlignment="1">
      <alignment horizontal="center" wrapText="1"/>
    </xf>
    <xf numFmtId="180" fontId="6" fillId="0" borderId="0" xfId="3" applyNumberFormat="1" applyFont="1" applyBorder="1" applyAlignment="1">
      <alignment horizontal="center" vertical="center"/>
    </xf>
    <xf numFmtId="37" fontId="6" fillId="4" borderId="0" xfId="6" applyNumberFormat="1" applyFont="1" applyAlignment="1">
      <alignment horizontal="center" vertical="center"/>
    </xf>
    <xf numFmtId="9" fontId="0" fillId="0" borderId="0" xfId="0" applyNumberFormat="1"/>
    <xf numFmtId="37" fontId="22" fillId="0" borderId="37" xfId="2" applyNumberFormat="1" applyFont="1" applyBorder="1" applyAlignment="1">
      <alignment horizontal="center"/>
    </xf>
    <xf numFmtId="37" fontId="22" fillId="0" borderId="5" xfId="2" applyNumberFormat="1" applyFont="1" applyBorder="1" applyAlignment="1">
      <alignment horizontal="center"/>
    </xf>
    <xf numFmtId="171" fontId="77" fillId="0" borderId="0" xfId="0" applyNumberFormat="1" applyFont="1" applyBorder="1" applyAlignment="1">
      <alignment horizontal="center" vertical="center"/>
    </xf>
    <xf numFmtId="171" fontId="77" fillId="6" borderId="0" xfId="0" applyNumberFormat="1" applyFont="1" applyFill="1" applyBorder="1" applyAlignment="1">
      <alignment horizontal="center" vertical="center"/>
    </xf>
    <xf numFmtId="0" fontId="7" fillId="0" borderId="0" xfId="0" applyFont="1" applyAlignment="1">
      <alignment horizontal="left" indent="6"/>
    </xf>
    <xf numFmtId="0" fontId="75" fillId="0" borderId="0" xfId="0" applyFont="1"/>
    <xf numFmtId="0" fontId="75" fillId="0" borderId="0" xfId="0" applyFont="1" applyAlignment="1">
      <alignment horizontal="center"/>
    </xf>
    <xf numFmtId="37" fontId="75" fillId="0" borderId="0" xfId="0" applyNumberFormat="1" applyFont="1" applyAlignment="1">
      <alignment horizontal="center" vertical="center"/>
    </xf>
    <xf numFmtId="37" fontId="2" fillId="2" borderId="10" xfId="4" applyNumberFormat="1" applyBorder="1" applyAlignment="1">
      <alignment horizontal="center" vertical="center"/>
    </xf>
    <xf numFmtId="171" fontId="6" fillId="0" borderId="10" xfId="0" applyNumberFormat="1" applyFont="1" applyBorder="1" applyAlignment="1">
      <alignment horizontal="center" vertical="center"/>
    </xf>
    <xf numFmtId="0" fontId="0" fillId="0" borderId="10" xfId="0" applyBorder="1" applyAlignment="1">
      <alignment horizontal="center" vertical="center"/>
    </xf>
    <xf numFmtId="0" fontId="0" fillId="0" borderId="6" xfId="0" applyBorder="1" applyAlignment="1">
      <alignment horizontal="left"/>
    </xf>
    <xf numFmtId="0" fontId="7" fillId="0" borderId="0" xfId="0" applyFont="1" applyBorder="1" applyAlignment="1">
      <alignment horizontal="left" indent="4"/>
    </xf>
    <xf numFmtId="171" fontId="24" fillId="0" borderId="0" xfId="0" applyNumberFormat="1" applyFont="1" applyFill="1" applyBorder="1" applyAlignment="1">
      <alignment horizontal="center" vertical="center"/>
    </xf>
    <xf numFmtId="195" fontId="14" fillId="12" borderId="8" xfId="0" applyNumberFormat="1" applyFont="1" applyFill="1" applyBorder="1" applyAlignment="1">
      <alignment horizontal="center" vertical="center"/>
    </xf>
    <xf numFmtId="168" fontId="13" fillId="0" borderId="10" xfId="3" applyNumberFormat="1" applyFont="1" applyBorder="1" applyAlignment="1">
      <alignment horizontal="center" vertical="center"/>
    </xf>
    <xf numFmtId="171" fontId="6" fillId="0" borderId="0" xfId="3" applyNumberFormat="1" applyFont="1" applyBorder="1" applyAlignment="1">
      <alignment horizontal="center" vertical="center"/>
    </xf>
    <xf numFmtId="171" fontId="6" fillId="0" borderId="10" xfId="3" applyNumberFormat="1" applyFont="1" applyBorder="1" applyAlignment="1">
      <alignment horizontal="center" vertical="center"/>
    </xf>
    <xf numFmtId="37" fontId="13" fillId="0" borderId="0" xfId="3" quotePrefix="1" applyNumberFormat="1" applyFont="1" applyBorder="1" applyAlignment="1">
      <alignment horizontal="center" vertical="center"/>
    </xf>
    <xf numFmtId="0" fontId="5" fillId="11" borderId="2" xfId="0" applyFont="1" applyFill="1" applyBorder="1" applyAlignment="1">
      <alignment horizontal="left"/>
    </xf>
    <xf numFmtId="0" fontId="5" fillId="11" borderId="3" xfId="0" applyFont="1" applyFill="1" applyBorder="1"/>
    <xf numFmtId="0" fontId="5" fillId="11" borderId="4" xfId="0" applyFont="1" applyFill="1" applyBorder="1" applyAlignment="1">
      <alignment horizontal="center"/>
    </xf>
    <xf numFmtId="6" fontId="0" fillId="0" borderId="10" xfId="0" applyNumberFormat="1" applyBorder="1" applyAlignment="1">
      <alignment horizontal="center"/>
    </xf>
    <xf numFmtId="0" fontId="6" fillId="0" borderId="10" xfId="0" applyFont="1" applyBorder="1" applyAlignment="1">
      <alignment horizontal="center"/>
    </xf>
    <xf numFmtId="37" fontId="0" fillId="0" borderId="9" xfId="0" applyNumberFormat="1" applyBorder="1" applyAlignment="1">
      <alignment horizontal="left" vertical="center"/>
    </xf>
    <xf numFmtId="6" fontId="6" fillId="0" borderId="10" xfId="0" applyNumberFormat="1" applyFont="1" applyBorder="1" applyAlignment="1">
      <alignment horizontal="center"/>
    </xf>
    <xf numFmtId="37" fontId="0" fillId="0" borderId="10" xfId="0" applyNumberFormat="1" applyBorder="1" applyAlignment="1">
      <alignment horizontal="center"/>
    </xf>
    <xf numFmtId="165" fontId="0" fillId="0" borderId="10" xfId="0" applyNumberFormat="1" applyBorder="1" applyAlignment="1">
      <alignment horizontal="center"/>
    </xf>
    <xf numFmtId="9" fontId="6" fillId="0" borderId="10" xfId="0" applyNumberFormat="1" applyFont="1" applyBorder="1" applyAlignment="1">
      <alignment horizontal="center"/>
    </xf>
    <xf numFmtId="165" fontId="0" fillId="0" borderId="8" xfId="0" applyNumberFormat="1" applyBorder="1" applyAlignment="1">
      <alignment horizontal="center"/>
    </xf>
    <xf numFmtId="6" fontId="6" fillId="0" borderId="0" xfId="0" applyNumberFormat="1" applyFont="1" applyAlignment="1">
      <alignment horizontal="left" vertical="top" wrapText="1"/>
    </xf>
    <xf numFmtId="0" fontId="6" fillId="0" borderId="0" xfId="0" applyFont="1" applyAlignment="1">
      <alignment horizontal="left" vertical="top" wrapText="1"/>
    </xf>
    <xf numFmtId="0" fontId="0" fillId="0" borderId="6" xfId="0" applyBorder="1" applyAlignment="1">
      <alignment horizontal="left" vertical="top" indent="2"/>
    </xf>
    <xf numFmtId="171" fontId="0" fillId="0" borderId="8" xfId="0" applyNumberFormat="1" applyBorder="1" applyAlignment="1">
      <alignment horizontal="center" vertical="top"/>
    </xf>
    <xf numFmtId="171" fontId="71" fillId="0" borderId="14" xfId="3" applyNumberFormat="1" applyFont="1" applyBorder="1" applyAlignment="1">
      <alignment horizontal="center" vertical="center"/>
    </xf>
    <xf numFmtId="171" fontId="71" fillId="0" borderId="42" xfId="3" applyNumberFormat="1" applyFont="1" applyBorder="1" applyAlignment="1">
      <alignment horizontal="center" vertical="center"/>
    </xf>
    <xf numFmtId="5" fontId="22" fillId="0" borderId="37" xfId="2" applyNumberFormat="1" applyFont="1" applyBorder="1" applyAlignment="1">
      <alignment horizontal="center"/>
    </xf>
    <xf numFmtId="0" fontId="0" fillId="0" borderId="17" xfId="0" applyFont="1" applyBorder="1" applyAlignment="1">
      <alignment horizontal="left" indent="2"/>
    </xf>
    <xf numFmtId="183" fontId="14" fillId="5" borderId="17" xfId="0" applyNumberFormat="1" applyFont="1" applyFill="1" applyBorder="1" applyAlignment="1">
      <alignment horizontal="center" vertical="center"/>
    </xf>
    <xf numFmtId="183" fontId="14" fillId="0" borderId="17" xfId="0" applyNumberFormat="1" applyFont="1" applyBorder="1" applyAlignment="1">
      <alignment horizontal="center" vertical="center"/>
    </xf>
    <xf numFmtId="183" fontId="9" fillId="0" borderId="17" xfId="0" applyNumberFormat="1" applyFont="1" applyBorder="1" applyAlignment="1">
      <alignment horizontal="center" vertical="center"/>
    </xf>
    <xf numFmtId="183" fontId="9" fillId="6" borderId="17" xfId="0" applyNumberFormat="1" applyFont="1" applyFill="1" applyBorder="1" applyAlignment="1">
      <alignment horizontal="center" vertical="center"/>
    </xf>
  </cellXfs>
  <cellStyles count="11">
    <cellStyle name="Bad" xfId="5" builtinId="27"/>
    <cellStyle name="Bloomberg Pull" xfId="8" xr:uid="{89B26BC8-0F39-45DA-B74C-142BEC9B96AE}"/>
    <cellStyle name="Comma" xfId="1" builtinId="3"/>
    <cellStyle name="Currency" xfId="2" builtinId="4"/>
    <cellStyle name="Currency 9" xfId="10" xr:uid="{00178D2B-9A84-4265-A729-A2124BC2003C}"/>
    <cellStyle name="Good" xfId="4" builtinId="26"/>
    <cellStyle name="Neutral" xfId="6" builtinId="28"/>
    <cellStyle name="Normal" xfId="0" builtinId="0"/>
    <cellStyle name="Normal 2" xfId="7" xr:uid="{21826F48-8C49-4166-890C-5100D66BE8E5}"/>
    <cellStyle name="Normal 3" xfId="9" xr:uid="{0AC51EDE-8911-4EA7-B7B6-F66832281FD6}"/>
    <cellStyle name="Percent" xfId="3" builtinId="5"/>
  </cellStyles>
  <dxfs count="10">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ofaddin.rtdserver">
      <tp t="s">
        <v>#N/A Requesting Data...2242454126</v>
        <stp/>
        <stp>BQL|16800843019728930854</stp>
        <tr r="Z6" s="23"/>
      </tp>
      <tp t="s">
        <v>#N/A N/A</v>
        <stp/>
        <stp>BQL|12490117539136592851</stp>
        <tr r="Z116" s="26"/>
      </tp>
      <tp t="s">
        <v>#N/A Requesting Data...4181028967</v>
        <stp/>
        <stp>BQL|12491280690663575404</stp>
        <tr r="AO6" s="23"/>
      </tp>
      <tp t="s">
        <v>#N/A N/A</v>
        <stp/>
        <stp>BQL|11195788267999923422</stp>
        <tr r="U11" s="23"/>
      </tp>
      <tp t="s">
        <v>#N/A Requesting Data...2207826094</v>
        <stp/>
        <stp>BQL|14909785377171288807</stp>
        <tr r="AI8" s="23"/>
      </tp>
      <tp t="s">
        <v>#N/A N/A</v>
        <stp/>
        <stp>BQL|16522479590612709431</stp>
        <tr r="AD100" s="26"/>
      </tp>
      <tp t="s">
        <v>#N/A N/A</v>
        <stp/>
        <stp>BQL|15230975327695704656</stp>
        <tr r="AH116" s="26"/>
      </tp>
      <tp t="s">
        <v>#N/A N/A</v>
        <stp/>
        <stp>BQL|13730953723525079027</stp>
        <tr r="AI100" s="26"/>
      </tp>
      <tp t="s">
        <v>#N/A N/A</v>
        <stp/>
        <stp>BQL|11455563705548839121</stp>
        <tr r="R116" s="26"/>
      </tp>
      <tp t="s">
        <v>#N/A N/A</v>
        <stp/>
        <stp>BQL|16708897572763445712</stp>
        <tr r="AD11" s="23"/>
      </tp>
      <tp t="s">
        <v>#N/A N/A</v>
        <stp/>
        <stp>BQL|12904163002987475917</stp>
        <tr r="P11" s="23"/>
      </tp>
      <tp t="s">
        <v>#N/A N/A</v>
        <stp/>
        <stp>BQL|13804909337416665234</stp>
        <tr r="X11" s="23"/>
      </tp>
      <tp t="s">
        <v>#N/A N/A</v>
        <stp/>
        <stp>BQL|13235372228648946643</stp>
        <tr r="N11" s="23"/>
      </tp>
      <tp t="s">
        <v>#N/A N/A</v>
        <stp/>
        <stp>BQL|10457640615793051887</stp>
        <tr r="S11" s="23"/>
      </tp>
      <tp t="s">
        <v>#N/A N/A</v>
        <stp/>
        <stp>BQL|12424869041041587390</stp>
        <tr r="AB11" s="23"/>
      </tp>
      <tp t="s">
        <v>#N/A N/A</v>
        <stp/>
        <stp>BQL|18374174659078162820</stp>
        <tr r="Z11" s="23"/>
      </tp>
      <tp t="s">
        <v>#N/A N/A</v>
        <stp/>
        <stp>BQL|10798421698253597231</stp>
        <tr r="AC11" s="23"/>
      </tp>
      <tp t="s">
        <v>#N/A Requesting Data...3082039412</v>
        <stp/>
        <stp>BQL|11272915800535151188</stp>
        <tr r="N8" s="23"/>
      </tp>
      <tp t="s">
        <v>#N/A Requesting Data...2006076088</v>
        <stp/>
        <stp>BQL|15977105452908404554</stp>
        <tr r="AJ6" s="23"/>
      </tp>
      <tp t="s">
        <v>#N/A Requesting Data...3535787237</v>
        <stp/>
        <stp>BQL|16302312537815425852</stp>
        <tr r="AQ8" s="23"/>
      </tp>
      <tp t="s">
        <v>#N/A N/A</v>
        <stp/>
        <stp>BQL|17118359624129732535</stp>
        <tr r="AK100" s="26"/>
      </tp>
      <tp t="s">
        <v>#N/A N/A</v>
        <stp/>
        <stp>BQL|12408475519205979850</stp>
        <tr r="M116" s="26"/>
      </tp>
      <tp t="s">
        <v>#N/A Requesting Data...2604724739</v>
        <stp/>
        <stp>BQL|13809500692470139531</stp>
        <tr r="J6" s="23"/>
      </tp>
      <tp t="s">
        <v>#N/A N/A</v>
        <stp/>
        <stp>BQL|14675018084565783032</stp>
        <tr r="AP100" s="26"/>
      </tp>
      <tp t="s">
        <v>#N/A Requesting Data...2157850227</v>
        <stp/>
        <stp>BQL|14625667355266078832</stp>
        <tr r="AJ8" s="23"/>
      </tp>
      <tp t="s">
        <v>#N/A N/A</v>
        <stp/>
        <stp>BQL|11302262100932005896</stp>
        <tr r="K100" s="26"/>
      </tp>
      <tp t="s">
        <v>#N/A Requesting Data...2117849451</v>
        <stp/>
        <stp>BQL|13828672237628005719</stp>
        <tr r="AH8" s="23"/>
      </tp>
      <tp t="s">
        <v>#N/A Requesting Data...3977385613</v>
        <stp/>
        <stp>BQL|16801425925830323949</stp>
        <tr r="AQ6" s="23"/>
      </tp>
      <tp t="s">
        <v>#N/A N/A</v>
        <stp/>
        <stp>BQL|11250614469991386920</stp>
        <tr r="Y100" s="26"/>
      </tp>
      <tp t="s">
        <v>#N/A Requesting Data...2067812628</v>
        <stp/>
        <stp>BQL|18323951471626797860</stp>
        <tr r="AE8" s="23"/>
      </tp>
      <tp t="s">
        <v>#N/A N/A</v>
        <stp/>
        <stp>BQL|12121062331637135128</stp>
        <tr r="R11" s="23"/>
      </tp>
      <tp t="s">
        <v>#N/A N/A</v>
        <stp/>
        <stp>BQL|10420170410412213538</stp>
        <tr r="AI116" s="26"/>
      </tp>
      <tp t="s">
        <v>#N/A N/A</v>
        <stp/>
        <stp>BQL|11662878782637804194</stp>
        <tr r="Z100" s="26"/>
      </tp>
      <tp t="s">
        <v>#N/A Requesting Data...2353538451</v>
        <stp/>
        <stp>BQL|15271653605692972669</stp>
        <tr r="E6" s="23"/>
      </tp>
      <tp t="s">
        <v>#N/A Requesting Data...2771962161</v>
        <stp/>
        <stp>BQL|16611958069237266959</stp>
        <tr r="AC8" s="23"/>
      </tp>
      <tp t="s">
        <v>#N/A N/A</v>
        <stp/>
        <stp>BQL|14035578326206406293</stp>
        <tr r="Y116" s="26"/>
      </tp>
      <tp t="s">
        <v>#N/A Requesting Data...1945133208</v>
        <stp/>
        <stp>BQL|10637444379770481469</stp>
        <tr r="S6" s="23"/>
      </tp>
      <tp t="s">
        <v>#N/A N/A</v>
        <stp/>
        <stp>BQL|12705276328767663255</stp>
        <tr r="AJ11" s="23"/>
      </tp>
      <tp t="s">
        <v>#N/A Requesting Data...2043703042</v>
        <stp/>
        <stp>BQL|13647932652128954045</stp>
        <tr r="AM6" s="23"/>
      </tp>
      <tp t="s">
        <v>#N/A N/A</v>
        <stp/>
        <stp>BQL|16431607560282454279</stp>
        <tr r="U116" s="26"/>
      </tp>
      <tp t="s">
        <v>#N/A Requesting Data...2611801405</v>
        <stp/>
        <stp>BQL|18128403430029660070</stp>
        <tr r="I8" s="23"/>
      </tp>
      <tp t="s">
        <v>#N/A N/A</v>
        <stp/>
        <stp>BQL|15211886432118810026</stp>
        <tr r="AA100" s="26"/>
      </tp>
      <tp t="s">
        <v>#N/A Requesting Data...2832406375</v>
        <stp/>
        <stp>BQL|13229524612549777870</stp>
        <tr r="P6" s="23"/>
      </tp>
      <tp t="s">
        <v>#N/A N/A</v>
        <stp/>
        <stp>BQL|12366296954520544333</stp>
        <tr r="O100" s="26"/>
      </tp>
      <tp t="s">
        <v>#N/A Requesting Data...2970766165</v>
        <stp/>
        <stp>BQL|16748122074041480418</stp>
        <tr r="S8" s="23"/>
      </tp>
      <tp t="s">
        <v>#N/A N/A</v>
        <stp/>
        <stp>BQL|11903231991577443896</stp>
        <tr r="N116" s="26"/>
      </tp>
      <tp t="s">
        <v>#N/A Requesting Data...1714760318</v>
        <stp/>
        <stp>BQL|17803528008420498770</stp>
        <tr r="AC6" s="23"/>
      </tp>
      <tp t="s">
        <v>#N/A N/A</v>
        <stp/>
        <stp>BQL|14070550771203280067</stp>
        <tr r="D11" s="23"/>
      </tp>
      <tp t="s">
        <v>#N/A N/A</v>
        <stp/>
        <stp>BQL|14418160735122558037</stp>
        <tr r="K11" s="23"/>
      </tp>
      <tp t="s">
        <v>#N/A N/A</v>
        <stp/>
        <stp>BQL|11056083055845596584</stp>
        <tr r="L116" s="26"/>
      </tp>
      <tp t="s">
        <v>#N/A Requesting Data...3193902900</v>
        <stp/>
        <stp>BQL|11783923409149901565</stp>
        <tr r="Y8" s="23"/>
      </tp>
      <tp t="s">
        <v>#N/A Requesting Data...2108418810</v>
        <stp/>
        <stp>BQL|18368679122118956060</stp>
        <tr r="N6" s="23"/>
      </tp>
      <tp t="s">
        <v>#N/A N/A</v>
        <stp/>
        <stp>BQL|18178549155672771942</stp>
        <tr r="W116" s="26"/>
      </tp>
      <tp t="s">
        <v>#N/A Requesting Data...2117376409</v>
        <stp/>
        <stp>BQL|10170576365699293996</stp>
        <tr r="F8" s="23"/>
      </tp>
      <tp t="s">
        <v>#N/A N/A</v>
        <stp/>
        <stp>BQL|17861166895395587969</stp>
        <tr r="AP116" s="26"/>
      </tp>
      <tp t="s">
        <v>#N/A N/A</v>
        <stp/>
        <stp>BQL|12744837609981253859</stp>
        <tr r="F11" s="23"/>
      </tp>
      <tp t="s">
        <v>#N/A Requesting Data...2684975096</v>
        <stp/>
        <stp>BQL|13556215114215466702</stp>
        <tr r="AI6" s="23"/>
      </tp>
      <tp t="s">
        <v>#N/A Requesting Data...2109550093</v>
        <stp/>
        <stp>BQL|11337170723908280829</stp>
        <tr r="U6" s="23"/>
      </tp>
      <tp t="s">
        <v>#N/A Requesting Data...2156891177</v>
        <stp/>
        <stp>BQL|10219062650065091226</stp>
        <tr r="T6" s="23"/>
      </tp>
      <tp t="s">
        <v>#N/A N/A</v>
        <stp/>
        <stp>BQL|13304307322439621912</stp>
        <tr r="R100" s="26"/>
      </tp>
      <tp t="s">
        <v>#N/A N/A</v>
        <stp/>
        <stp>BQL|13236382253420926716</stp>
        <tr r="U100" s="26"/>
      </tp>
      <tp t="s">
        <v>#N/A N/A</v>
        <stp/>
        <stp>BQL|14327190309403138426</stp>
        <tr r="AO116" s="26"/>
      </tp>
      <tp t="s">
        <v>#N/A N/A</v>
        <stp/>
        <stp>BQL|16703684270057967261</stp>
        <tr r="AC116" s="26"/>
      </tp>
      <tp t="s">
        <v>#N/A Requesting Data...1880869672</v>
        <stp/>
        <stp>BQL|10341513720960099508</stp>
        <tr r="AL8" s="23"/>
      </tp>
      <tp t="s">
        <v>#N/A Requesting Data...3318320795</v>
        <stp/>
        <stp>BQL|15411603164712405593</stp>
        <tr r="P8" s="23"/>
      </tp>
      <tp t="s">
        <v>#N/A Requesting Data...3077046731</v>
        <stp/>
        <stp>BQL|13801613807232703560</stp>
        <tr r="J8" s="23"/>
      </tp>
      <tp t="s">
        <v>#N/A N/A</v>
        <stp/>
        <stp>BQL|14454856177159116098</stp>
        <tr r="S100" s="26"/>
      </tp>
      <tp t="s">
        <v>#N/A N/A</v>
        <stp/>
        <stp>BQL|12893673384209947443</stp>
        <tr r="P100" s="26"/>
      </tp>
      <tp t="s">
        <v>#N/A N/A</v>
        <stp/>
        <stp>BQL|17631522801041728214</stp>
        <tr r="L100" s="26"/>
      </tp>
      <tp t="s">
        <v>#N/A N/A</v>
        <stp/>
        <stp>BQL|14151440207828556988</stp>
        <tr r="AM100" s="26"/>
      </tp>
      <tp t="s">
        <v>#N/A Requesting Data...3871298198</v>
        <stp/>
        <stp>BQL|13046106692962943857</stp>
        <tr r="E8" s="23"/>
      </tp>
      <tp t="s">
        <v>#N/A Requesting Data...2590416706</v>
        <stp/>
        <stp>BQL|14122002508503279655</stp>
        <tr r="AO8" s="23"/>
      </tp>
      <tp t="s">
        <v>#N/A N/A</v>
        <stp/>
        <stp>BQL|13865299112524930460</stp>
        <tr r="AN116" s="26"/>
      </tp>
      <tp t="s">
        <v>#N/A Requesting Data...2467244579</v>
        <stp/>
        <stp>BQL|18209233248909497712</stp>
        <tr r="H8" s="23"/>
      </tp>
      <tp t="s">
        <v>#N/A N/A</v>
        <stp/>
        <stp>BQL|14397979919765348925</stp>
        <tr r="O116" s="26"/>
      </tp>
      <tp t="s">
        <v>#N/A Requesting Data...3610682397</v>
        <stp/>
        <stp>BQL|11073494547341634012</stp>
        <tr r="M8" s="23"/>
      </tp>
    </main>
    <main first="bofaddin.rtdserver">
      <tp t="s">
        <v>#N/A N/A</v>
        <stp/>
        <stp>BQL.QUERY|799409755763328491</stp>
        <tr r="AF425" s="2"/>
      </tp>
      <tp t="s">
        <v>#N/A N/A</v>
        <stp/>
        <stp>BQL.QUERY|134897020829646527</stp>
        <tr r="W422" s="2"/>
      </tp>
      <tp t="s">
        <v>#N/A Requesting Data...3844839784</v>
        <stp/>
        <stp>BDP|14547163089032692558</stp>
        <tr r="AL14" s="5"/>
      </tp>
      <tp t="s">
        <v>#N/A Requesting Data...2981987937</v>
        <stp/>
        <stp>BDP|15852140952792444930</stp>
        <tr r="BC13" s="5"/>
      </tp>
      <tp t="s">
        <v>#N/A Requesting Data...2366723001</v>
        <stp/>
        <stp>BDP|16234984566454249752</stp>
        <tr r="CA11" s="5"/>
      </tp>
      <tp t="s">
        <v>#N/A Requesting Data...4051434417</v>
        <stp/>
        <stp>BDP|18287932998951608358</stp>
        <tr r="F10" s="5"/>
      </tp>
      <tp t="s">
        <v>#N/A Requesting Data...2991801133</v>
        <stp/>
        <stp>BDP|17344388023984067858</stp>
        <tr r="CW13" s="5"/>
      </tp>
      <tp t="s">
        <v>#N/A Requesting Data...2281196223</v>
        <stp/>
        <stp>BDP|18215651421794256288</stp>
        <tr r="AU12" s="5"/>
      </tp>
      <tp t="s">
        <v>#N/A N/A</v>
        <stp/>
        <stp>BDP|12393836811812675345</stp>
        <tr r="AG14" s="5"/>
      </tp>
      <tp t="s">
        <v>#N/A Requesting Data...3251420598</v>
        <stp/>
        <stp>BDP|13233809136612737045</stp>
        <tr r="F9" s="5"/>
      </tp>
    </main>
    <main first="bofaddin.rtdserver">
      <tp t="s">
        <v>#N/A N/A</v>
        <stp/>
        <stp>BDH|16042644361309786543</stp>
        <tr r="X9" s="2"/>
      </tp>
    </main>
    <main first="bofaddin.rtdserver">
      <tp t="s">
        <v>#N/A N/A</v>
        <stp/>
        <stp>BDH|18420042076257956237</stp>
        <tr r="AB10" s="2"/>
      </tp>
    </main>
    <main first="bofaddin.rtdserver">
      <tp t="s">
        <v>#N/A N/A</v>
        <stp/>
        <stp>BQL.QUERY|128221261553523015</stp>
        <tr r="P373" s="2"/>
      </tp>
      <tp t="s">
        <v>#N/A N/A</v>
        <stp/>
        <stp>BQL.QUERY|751508636470881106</stp>
        <tr r="G366" s="2"/>
      </tp>
      <tp t="s">
        <v>#N/A Requesting Data...3224088662</v>
        <stp/>
        <stp>BDP|13959456590310684527</stp>
        <tr r="CA13" s="5"/>
      </tp>
      <tp t="s">
        <v>#N/A Requesting Data...2665623309</v>
        <stp/>
        <stp>BDP|10167575907937917958</stp>
        <tr r="BO11" s="5"/>
      </tp>
      <tp t="s">
        <v>#N/A Requesting Data...3003443797</v>
        <stp/>
        <stp>BDP|10472411608988230730</stp>
        <tr r="AL13" s="5"/>
      </tp>
      <tp t="s">
        <v>#N/A Requesting Data...2843919921</v>
        <stp/>
        <stp>BDP|12393159629519588356</stp>
        <tr r="AU6" s="5"/>
        <tr r="AU7" s="5"/>
      </tp>
      <tp t="s">
        <v>#N/A Requesting Data...3176474665</v>
        <stp/>
        <stp>BDP|17015041669629585378</stp>
        <tr r="DA12" s="5"/>
      </tp>
      <tp t="s">
        <v>#N/A Requesting Data...2338309842</v>
        <stp/>
        <stp>BDP|10603031986243561078</stp>
        <tr r="BO13" s="5"/>
      </tp>
      <tp t="s">
        <v>#N/A Requesting Data...4259367242</v>
        <stp/>
        <stp>BDP|14425748693576242708</stp>
        <tr r="CQ6" s="5"/>
        <tr r="CQ7" s="5"/>
      </tp>
      <tp t="s">
        <v>#N/A Requesting Data...3104333327</v>
        <stp/>
        <stp>BDP|18152508592349369640</stp>
        <tr r="AA6" s="2"/>
      </tp>
      <tp t="s">
        <v>#N/A Requesting Data...2513496308</v>
        <stp/>
        <stp>BDP|15656420116898287368</stp>
        <tr r="BY6" s="5"/>
        <tr r="BY7" s="5"/>
      </tp>
      <tp t="s">
        <v>#N/A Requesting Data...3241612684</v>
        <stp/>
        <stp>BDP|15372477793587969482</stp>
        <tr r="CO6" s="5"/>
        <tr r="CO7" s="5"/>
      </tp>
    </main>
    <main first="bofaddin.rtdserver">
      <tp t="s">
        <v>#N/A N/A</v>
        <stp/>
        <stp>BQL.QUERY|700747307442089102</stp>
        <tr r="R425" s="2"/>
      </tp>
      <tp t="s">
        <v>#N/A N/A</v>
        <stp/>
        <stp>BQL.QUERY|990581139752171004</stp>
        <tr r="X419" s="2"/>
      </tp>
      <tp t="s">
        <v>#N/A Requesting Data...4232566177</v>
        <stp/>
        <stp>BDP|14842864223424994296</stp>
        <tr r="BG14" s="5"/>
      </tp>
      <tp t="s">
        <v>#N/A Requesting Data...2080661097</v>
        <stp/>
        <stp>BDP|11230785424145020925</stp>
        <tr r="BQ13" s="5"/>
      </tp>
      <tp t="s">
        <v>#N/A N/A</v>
        <stp/>
        <stp>BDP|11249888747301952453</stp>
        <tr r="AG9" s="5"/>
      </tp>
      <tp t="s">
        <v>#N/A Requesting Data...2750808289</v>
        <stp/>
        <stp>BDP|17600722893775715414</stp>
        <tr r="AN6" s="5"/>
        <tr r="AN7" s="5"/>
      </tp>
      <tp t="s">
        <v>#N/A Requesting Data...4184294299</v>
        <stp/>
        <stp>BDP|15944366731885903842</stp>
        <tr r="BE10" s="5"/>
      </tp>
      <tp t="s">
        <v>#N/A Requesting Data...3434967627</v>
        <stp/>
        <stp>BDP|16332728503419121017</stp>
        <tr r="CC13" s="5"/>
      </tp>
      <tp t="s">
        <v>#N/A Requesting Data...4229518857</v>
        <stp/>
        <stp>BDP|17611392343398920077</stp>
        <tr r="CA14" s="5"/>
      </tp>
      <tp t="s">
        <v>#N/A Requesting Data...2671299234</v>
        <stp/>
        <stp>BDP|11384071870317121905</stp>
        <tr r="BK13" s="5"/>
      </tp>
      <tp t="s">
        <v>#N/A Requesting Data...2283004232</v>
        <stp/>
        <stp>BDP|16346384791460696480</stp>
        <tr r="AS14" s="5"/>
      </tp>
      <tp t="s">
        <v>#N/A Requesting Data...3917239598</v>
        <stp/>
        <stp>BDP|18328682489186472826</stp>
        <tr r="AN14" s="5"/>
      </tp>
    </main>
    <main first="bofaddin.rtdserver">
      <tp t="s">
        <v>#N/A N/A</v>
        <stp/>
        <stp>BDH|15391120811685170882</stp>
        <tr r="Q9" s="2"/>
      </tp>
    </main>
    <main first="bofaddin.rtdserver">
      <tp t="s">
        <v>#N/A N/A</v>
        <stp/>
        <stp>BQL.QUERY|261761123431433127</stp>
        <tr r="Q385" s="2"/>
      </tp>
      <tp t="s">
        <v>#N/A N/A</v>
        <stp/>
        <stp>BQL.QUERY|331376640195134763</stp>
        <tr r="X422" s="2"/>
      </tp>
      <tp t="s">
        <v>#N/A N/A</v>
        <stp/>
        <stp>BQL.QUERY|205026020574229384</stp>
        <tr r="AA411" s="2"/>
      </tp>
      <tp t="s">
        <v>#N/A N/A</v>
        <stp/>
        <stp>BQL.QUERY|382812669173382839</stp>
        <tr r="N407" s="2"/>
      </tp>
      <tp t="s">
        <v>#N/A Requesting Data...3891418565</v>
        <stp/>
        <stp>BDP|12677197874325745874</stp>
        <tr r="AN12" s="5"/>
      </tp>
      <tp t="s">
        <v>#N/A Requesting Data...2417877137</v>
        <stp/>
        <stp>BDP|16111885025924591132</stp>
        <tr r="AY9" s="5"/>
      </tp>
      <tp t="s">
        <v>#N/A Requesting Data...3760819065</v>
        <stp/>
        <stp>BDP|15952266773831243832</stp>
        <tr r="DA6" s="5"/>
        <tr r="DA7" s="5"/>
      </tp>
      <tp t="s">
        <v>#N/A Requesting Data...2359106475</v>
        <stp/>
        <stp>BDP|11243297782032561003</stp>
        <tr r="BM10" s="5"/>
      </tp>
      <tp t="s">
        <v>#N/A Requesting Data...3425188387</v>
        <stp/>
        <stp>BDP|16136942732957071288</stp>
        <tr r="CW12" s="5"/>
      </tp>
      <tp t="s">
        <v>#N/A Requesting Data...2458785188</v>
        <stp/>
        <stp>BDP|17392370375653670997</stp>
        <tr r="V5" s="2"/>
      </tp>
      <tp t="s">
        <v>#N/A Requesting Data...3284489522</v>
        <stp/>
        <stp>BDP|17716847606702594407</stp>
        <tr r="AS13" s="5"/>
      </tp>
      <tp t="s">
        <v>#N/A Requesting Data...2227716914</v>
        <stp/>
        <stp>BDP|16250961223546265206</stp>
        <tr r="BQ14" s="5"/>
      </tp>
      <tp t="s">
        <v>#N/A Requesting Data...3083847400</v>
        <stp/>
        <stp>BDP|15464418887080360065</stp>
        <tr r="C29" s="3"/>
      </tp>
    </main>
    <main first="bofaddin.rtdserver">
      <tp t="s">
        <v>#N/A N/A</v>
        <stp/>
        <stp>BDH|12969894400655055670</stp>
        <tr r="AB9" s="2"/>
      </tp>
    </main>
    <main first="bofaddin.rtdserver">
      <tp t="s">
        <v>#N/A N/A</v>
        <stp/>
        <stp>BQL.QUERY|529357163011767676</stp>
        <tr r="H341" s="2"/>
      </tp>
      <tp t="s">
        <v>#N/A N/A</v>
        <stp/>
        <stp>BQL.QUERY|181138317114741672</stp>
        <tr r="M401" s="2"/>
      </tp>
      <tp t="s">
        <v>#N/A Requesting Data...4207481729</v>
        <stp/>
        <stp>BDP|15913094611379342388</stp>
        <tr r="AP13" s="5"/>
      </tp>
      <tp t="s">
        <v>#N/A Requesting Data...2340401089</v>
        <stp/>
        <stp>BDP|15283702992711751496</stp>
        <tr r="CQ13" s="5"/>
      </tp>
      <tp t="s">
        <v>#N/A Requesting Data...3166679074</v>
        <stp/>
        <stp>BDP|11050212174029821339</stp>
        <tr r="BM9" s="5"/>
      </tp>
      <tp t="s">
        <v>#N/A Requesting Data...2336820840</v>
        <stp/>
        <stp>BDP|10432537889117779483</stp>
        <tr r="F7" s="5"/>
      </tp>
      <tp t="s">
        <v>#N/A Requesting Data...3721084795</v>
        <stp/>
        <stp>BDP|14705909725631759056</stp>
        <tr r="BK6" s="5"/>
        <tr r="BK7" s="5"/>
      </tp>
      <tp t="s">
        <v>#N/A Requesting Data...4228148906</v>
        <stp/>
        <stp>BDP|15035855014916941488</stp>
        <tr r="CG6" s="5"/>
        <tr r="CG7" s="5"/>
      </tp>
      <tp t="s">
        <v>#N/A Requesting Data...2852399963</v>
        <stp/>
        <stp>BDP|14483967244712619538</stp>
        <tr r="CU12" s="5"/>
      </tp>
      <tp t="s">
        <v>#N/A Requesting Data...3368893359</v>
        <stp/>
        <stp>BDP|14163135772614016846</stp>
        <tr r="CM11" s="5"/>
      </tp>
      <tp t="s">
        <v>#N/A Requesting Data...3818059435</v>
        <stp/>
        <stp>BDP|15711401000328518748</stp>
        <tr r="BS10" s="5"/>
      </tp>
    </main>
    <main first="bofaddin.rtdserver">
      <tp t="s">
        <v>#N/A N/A</v>
        <stp/>
        <stp>BQL.QUERY|937847487460985377</stp>
        <tr r="AE401" s="2"/>
      </tp>
      <tp t="s">
        <v>#N/A Requesting Data...3182281734</v>
        <stp/>
        <stp>BDP|16325984160294765250</stp>
        <tr r="BY13" s="5"/>
      </tp>
      <tp t="s">
        <v>#N/A Requesting Data...3397416704</v>
        <stp/>
        <stp>BDP|11926508305889751234</stp>
        <tr r="CG11" s="5"/>
      </tp>
      <tp t="s">
        <v>#N/A Requesting Data...3003465375</v>
        <stp/>
        <stp>BDP|11294044185681981706</stp>
        <tr r="CQ12" s="5"/>
      </tp>
      <tp t="s">
        <v>#N/A Requesting Data...2800726023</v>
        <stp/>
        <stp>BDP|17609608493013922413</stp>
        <tr r="AN11" s="5"/>
      </tp>
      <tp t="s">
        <v>#N/A Requesting Data...4178770824</v>
        <stp/>
        <stp>BDP|16783494761909093222</stp>
        <tr r="AJ10" s="5"/>
      </tp>
      <tp t="s">
        <v>#N/A Requesting Data...2851643819</v>
        <stp/>
        <stp>BDP|16785869220754889763</stp>
        <tr r="AR10" s="5"/>
      </tp>
      <tp t="s">
        <v>#N/A Requesting Data...2290524316</v>
        <stp/>
        <stp>BDP|11183314890053031718</stp>
        <tr r="C9" s="3"/>
      </tp>
      <tp t="s">
        <v>#N/A Requesting Data...2337137481</v>
        <stp/>
        <stp>BDP|11448767247279302454</stp>
        <tr r="BU9" s="5"/>
      </tp>
      <tp t="s">
        <v>#N/A Requesting Data...2265991637</v>
        <stp/>
        <stp>BDP|12613529555088732532</stp>
        <tr r="BM12" s="5"/>
      </tp>
    </main>
    <main first="bofaddin.rtdserver">
      <tp t="s">
        <v>#N/A N/A</v>
        <stp/>
        <stp>BQL.QUERY|407120799231498983</stp>
        <tr r="L401" s="2"/>
      </tp>
      <tp t="s">
        <v>#N/A N/A</v>
        <stp/>
        <stp>BQL.QUERY|948291541850556610</stp>
        <tr r="AD425" s="2"/>
      </tp>
      <tp t="s">
        <v>#N/A N/A</v>
        <stp/>
        <stp>BQL.QUERY|305259325884134443</stp>
        <tr r="AC381" s="2"/>
      </tp>
      <tp t="s">
        <v>#N/A Requesting Data...2920840975</v>
        <stp/>
        <stp>BDP|10069689684574467637</stp>
        <tr r="BE9" s="5"/>
      </tp>
      <tp t="s">
        <v>#N/A Requesting Data...4252359487</v>
        <stp/>
        <stp>BDP|11982557007391479946</stp>
        <tr r="X5" s="2"/>
      </tp>
      <tp t="s">
        <v>#N/A Requesting Data...4063107811</v>
        <stp/>
        <stp>BDP|15871732618037740890</stp>
        <tr r="CG10" s="5"/>
      </tp>
      <tp t="s">
        <v>#N/A Requesting Data...3966169169</v>
        <stp/>
        <stp>BDP|14006662687900555683</stp>
        <tr r="CK12" s="5"/>
      </tp>
      <tp t="s">
        <v>#N/A Requesting Data...3256259746</v>
        <stp/>
        <stp>BDP|10687064159529026057</stp>
        <tr r="AU13" s="5"/>
      </tp>
      <tp t="s">
        <v>#N/A Requesting Data...2825478638</v>
        <stp/>
        <stp>BDP|15284276740028215747</stp>
        <tr r="F11" s="5"/>
      </tp>
      <tp t="s">
        <v>#N/A Requesting Data...3058188704</v>
        <stp/>
        <stp>BDP|12728604393152011374</stp>
        <tr r="BY12" s="5"/>
      </tp>
      <tp t="s">
        <v>#N/A Requesting Data...2560945340</v>
        <stp/>
        <stp>BDP|16290842277452473715</stp>
        <tr r="AY11" s="5"/>
      </tp>
      <tp t="s">
        <v>#N/A Requesting Data...2493074153</v>
        <stp/>
        <stp>BDP|14377861023732611042</stp>
        <tr r="AN10" s="5"/>
      </tp>
      <tp t="s">
        <v>#N/A Requesting Data...2882266821</v>
        <stp/>
        <stp>BDP|11178591454869805408</stp>
        <tr r="DA10" s="5"/>
      </tp>
      <tp t="s">
        <v>#N/A Requesting Data...2834385273</v>
        <stp/>
        <stp>BDP|10562768677304310805</stp>
        <tr r="AS10" s="5"/>
      </tp>
      <tp t="s">
        <v>#N/A Requesting Data...2497991451</v>
        <stp/>
        <stp>BDP|12831944651585204796</stp>
        <tr r="CW11" s="5"/>
      </tp>
    </main>
    <main first="bofaddin.rtdserver">
      <tp t="s">
        <v>#N/A N/A</v>
        <stp/>
        <stp>BDH|17763460839344558889</stp>
        <tr r="P9" s="2"/>
      </tp>
    </main>
    <main first="bofaddin.rtdserver">
      <tp t="s">
        <v>#N/A N/A</v>
        <stp/>
        <stp>BQL.QUERY|461400926175165240</stp>
        <tr r="AA381" s="2"/>
      </tp>
      <tp t="s">
        <v>#N/A N/A</v>
        <stp/>
        <stp>BQL.QUERY|768202524463492285</stp>
        <tr r="W353" s="2"/>
      </tp>
      <tp t="s">
        <v>#N/A Requesting Data...2931437546</v>
        <stp/>
        <stp>BDP|11399376697317961122</stp>
        <tr r="AY10" s="5"/>
      </tp>
      <tp t="s">
        <v>#N/A Requesting Data...3863364777</v>
        <stp/>
        <stp>BDP|15565069440138819410</stp>
        <tr r="CE14" s="5"/>
      </tp>
      <tp t="s">
        <v>#N/A Requesting Data...3224153007</v>
        <stp/>
        <stp>BDP|14074458695737331323</stp>
        <tr r="AR14" s="5"/>
      </tp>
      <tp t="s">
        <v>#N/A Requesting Data...3301221043</v>
        <stp/>
        <stp>BDP|15087927606956706729</stp>
        <tr r="CC11" s="5"/>
      </tp>
      <tp t="s">
        <v>#N/A Requesting Data...3255745330</v>
        <stp/>
        <stp>BDP|14426892067116839117</stp>
        <tr r="CO10" s="5"/>
      </tp>
      <tp t="s">
        <v>#N/A Requesting Data...3972552749</v>
        <stp/>
        <stp>BDP|11977517288811329071</stp>
        <tr r="BO12" s="5"/>
      </tp>
      <tp t="s">
        <v>#N/A Requesting Data...2938665298</v>
        <stp/>
        <stp>BDP|12610422285114489720</stp>
        <tr r="Q5" s="2"/>
      </tp>
    </main>
    <main first="bofaddin.rtdserver">
      <tp t="s">
        <v>#N/A N/A</v>
        <stp/>
        <stp>BQL.QUERY|192617197341097074</stp>
        <tr r="M370" s="2"/>
      </tp>
      <tp t="s">
        <v>#N/A Requesting Data...3792095450</v>
        <stp/>
        <stp>BDP|10647708840111814072</stp>
        <tr r="AP12" s="5"/>
      </tp>
      <tp t="s">
        <v>#N/A Requesting Data...4166424431</v>
        <stp/>
        <stp>BDP|14586599445362115559</stp>
        <tr r="C35" s="3"/>
      </tp>
      <tp t="s">
        <v>#N/A Requesting Data...2537874236</v>
        <stp/>
        <stp>BDP|13618945345234324874</stp>
        <tr r="BM13" s="5"/>
      </tp>
      <tp t="s">
        <v>#N/A Requesting Data...4074675151</v>
        <stp/>
        <stp>BDP|11932011653156922014</stp>
        <tr r="BI9" s="5"/>
      </tp>
      <tp t="s">
        <v>#N/A Requesting Data...3527485235</v>
        <stp/>
        <stp>BDP|16253917798823046791</stp>
        <tr r="BI10" s="5"/>
      </tp>
      <tp t="s">
        <v>#N/A Requesting Data...2485352619</v>
        <stp/>
        <stp>BDP|16749505251642386607</stp>
        <tr r="CQ9" s="5"/>
      </tp>
      <tp t="s">
        <v>#N/A Requesting Data...3210554628</v>
        <stp/>
        <stp>BDP|11669860802698315356</stp>
        <tr r="BA11" s="5"/>
      </tp>
    </main>
    <main first="bofaddin.rtdserver">
      <tp t="s">
        <v>#N/A N/A</v>
        <stp/>
        <stp>BDH|11520726629714641289</stp>
        <tr r="P10" s="2"/>
      </tp>
    </main>
    <main first="bofaddin.rtdserver">
      <tp t="s">
        <v>#N/A N/A</v>
        <stp/>
        <stp>BDH|11915879242988204716</stp>
        <tr r="AA9" s="2"/>
      </tp>
    </main>
    <main first="bofaddin.rtdserver">
      <tp t="s">
        <v>#N/A Requesting Data...4126627549</v>
        <stp/>
        <stp>BDP|10768507234926252396</stp>
        <tr r="AN11" s="5"/>
      </tp>
      <tp t="s">
        <v>#N/A Requesting Data...4177754384</v>
        <stp/>
        <stp>BDP|14367573171412683790</stp>
        <tr r="AY13" s="5"/>
      </tp>
      <tp t="s">
        <v>#N/A N/A</v>
        <stp/>
        <stp>BDP|14509707508620885084</stp>
        <tr r="AG6" s="5"/>
        <tr r="AG7" s="5"/>
      </tp>
      <tp t="s">
        <v>#N/A Requesting Data...2797814394</v>
        <stp/>
        <stp>BDP|10426208480831681823</stp>
        <tr r="CY12" s="5"/>
      </tp>
      <tp t="s">
        <v>#N/A Requesting Data...3767172818</v>
        <stp/>
        <stp>BDP|15017452020918177845</stp>
        <tr r="BA10" s="5"/>
      </tp>
      <tp t="s">
        <v>#N/A Requesting Data...3480153310</v>
        <stp/>
        <stp>BDP|14272246782149036440</stp>
        <tr r="AI6" s="5"/>
        <tr r="AI7" s="5"/>
      </tp>
      <tp t="s">
        <v>#N/A Requesting Data...3695354672</v>
        <stp/>
        <stp>BDP|13492269982389211314</stp>
        <tr r="AJ6" s="5"/>
        <tr r="AJ7" s="5"/>
      </tp>
      <tp t="s">
        <v>#N/A Requesting Data...3237156940</v>
        <stp/>
        <stp>BDP|11556171226114525542</stp>
        <tr r="AU11" s="5"/>
      </tp>
      <tp t="s">
        <v>#N/A Requesting Data...4098902798</v>
        <stp/>
        <stp>BDP|12597976689568885867</stp>
        <tr r="AL11" s="5"/>
      </tp>
      <tp t="s">
        <v>#N/A Requesting Data...3071817449</v>
        <stp/>
        <stp>BDP|10155521546750681273</stp>
        <tr r="CG9" s="5"/>
      </tp>
      <tp t="s">
        <v>#N/A N/A</v>
        <stp/>
        <stp>BDP|11818458308484178208</stp>
        <tr r="AG13" s="5"/>
      </tp>
      <tp t="s">
        <v>#N/A Requesting Data...4062203768</v>
        <stp/>
        <stp>BDP|14513237961083060035</stp>
        <tr r="AY14" s="5"/>
      </tp>
      <tp t="s">
        <v>#N/A N/A</v>
        <stp/>
        <stp>BDP|14147093064390807129</stp>
        <tr r="AG10" s="5"/>
      </tp>
    </main>
    <main first="bofaddin.rtdserver">
      <tp t="s">
        <v>#N/A N/A</v>
        <stp/>
        <stp>BQL.QUERY|188942779563567176</stp>
        <tr r="Z377" s="2"/>
      </tp>
      <tp t="s">
        <v>#N/A Requesting Data...3626045728</v>
        <stp/>
        <stp>BDP|10124603321987938304</stp>
        <tr r="BI13" s="5"/>
      </tp>
      <tp t="s">
        <v>#N/A Requesting Data...3929204924</v>
        <stp/>
        <stp>BDP|11390184901562140204</stp>
        <tr r="CS12" s="5"/>
      </tp>
      <tp t="s">
        <v>#N/A Requesting Data...3924287296</v>
        <stp/>
        <stp>BDP|13999075074567741374</stp>
        <tr r="CY11" s="5"/>
      </tp>
      <tp t="s">
        <v>#N/A Requesting Data...4233236309</v>
        <stp/>
        <stp>BDP|15404992201558099400</stp>
        <tr r="CI10" s="5"/>
      </tp>
      <tp t="s">
        <v>#N/A Requesting Data...3283319165</v>
        <stp/>
        <stp>BDP|15090960558228013113</stp>
        <tr r="AW14" s="5"/>
      </tp>
      <tp t="s">
        <v>#N/A Requesting Data...3437623313</v>
        <stp/>
        <stp>BDP|17478332492265325886</stp>
        <tr r="AJ14" s="5"/>
      </tp>
      <tp t="s">
        <v>#N/A N/A</v>
        <stp/>
        <stp>BDP|13864884931368383015</stp>
        <tr r="C21" s="28"/>
        <tr r="C21" s="29"/>
      </tp>
      <tp t="s">
        <v>#N/A Requesting Data...3340366781</v>
        <stp/>
        <stp>BDP|14172274096676660911</stp>
        <tr r="BU7" s="5"/>
      </tp>
    </main>
    <main first="bofaddin.rtdserver">
      <tp t="s">
        <v>#N/A Requesting Data...3952877475</v>
        <stp/>
        <stp>BDP|10257295794339483330</stp>
        <tr r="AU9" s="5"/>
      </tp>
      <tp t="s">
        <v>#N/A Requesting Data...3227537275</v>
        <stp/>
        <stp>BDP|12689721631255871250</stp>
        <tr r="AI11" s="5"/>
      </tp>
      <tp t="s">
        <v>#N/A Requesting Data...3635039209</v>
        <stp/>
        <stp>BDP|17730918931508435480</stp>
        <tr r="AW9" s="5"/>
      </tp>
      <tp t="s">
        <v>#N/A Requesting Data...4190332061</v>
        <stp/>
        <stp>BDP|14566182304567544377</stp>
        <tr r="AB5" s="2"/>
      </tp>
      <tp t="s">
        <v>#N/A Requesting Data...3413769409</v>
        <stp/>
        <stp>BDP|14054792514161772203</stp>
        <tr r="CS14" s="5"/>
      </tp>
      <tp t="s">
        <v>#N/A Requesting Data...3153092420</v>
        <stp/>
        <stp>BDP|12966406911851306760</stp>
        <tr r="CM9" s="5"/>
      </tp>
      <tp t="s">
        <v>#N/A Requesting Data...3726814836</v>
        <stp/>
        <stp>BDP|11038944692946263698</stp>
        <tr r="AR11" s="5"/>
      </tp>
      <tp t="s">
        <v>#N/A Requesting Data...3212043860</v>
        <stp/>
        <stp>BDP|13025719125304054386</stp>
        <tr r="CS9" s="5"/>
      </tp>
      <tp t="s">
        <v>#N/A Requesting Data...4253455351</v>
        <stp/>
        <stp>BDP|18382218988777409420</stp>
        <tr r="AW11" s="5"/>
      </tp>
      <tp t="s">
        <v>#N/A Requesting Data...3886058209</v>
        <stp/>
        <stp>BDP|10673687509251033680</stp>
        <tr r="BC10" s="5"/>
      </tp>
      <tp t="s">
        <v>#N/A Requesting Data...3911308751</v>
        <stp/>
        <stp>BDP|11261378038222322200</stp>
        <tr r="BY14" s="5"/>
      </tp>
      <tp t="s">
        <v>#N/A Requesting Data...3783766021</v>
        <stp/>
        <stp>BDP|13873968505579953215</stp>
        <tr r="C34" s="3"/>
      </tp>
      <tp t="s">
        <v>#N/A Requesting Data...3676537486</v>
        <stp/>
        <stp>BDP|17381045734731310436</stp>
        <tr r="CG13" s="5"/>
      </tp>
      <tp t="s">
        <v>#N/A Requesting Data...3985948204</v>
        <stp/>
        <stp>BDP|15990754624985849446</stp>
        <tr r="CQ14" s="5"/>
      </tp>
      <tp t="s">
        <v>#N/A Requesting Data...4169627303</v>
        <stp/>
        <stp>BDP|12219286619839666933</stp>
        <tr r="AN10" s="5"/>
      </tp>
    </main>
    <main first="bofaddin.rtdserver">
      <tp t="s">
        <v>#N/A N/A</v>
        <stp/>
        <stp>BDH|14778651978616050207</stp>
        <tr r="N10" s="2"/>
      </tp>
    </main>
    <main first="bofaddin.rtdserver">
      <tp t="s">
        <v>#N/A N/A</v>
        <stp/>
        <stp>BQL.QUERY|183597357523962932</stp>
        <tr r="L404" s="2"/>
      </tp>
      <tp t="s">
        <v>#N/A Requesting Data...3790899089</v>
        <stp/>
        <stp>BDP|10050090419650845731</stp>
        <tr r="AR12" s="5"/>
      </tp>
      <tp t="s">
        <v>#N/A Requesting Data...3892090328</v>
        <stp/>
        <stp>BDP|11501385846789152953</stp>
        <tr r="X6" s="2"/>
      </tp>
      <tp t="s">
        <v>#N/A Requesting Data...4257292435</v>
        <stp/>
        <stp>BDP|16646378662594304119</stp>
        <tr r="S6" s="2"/>
      </tp>
      <tp t="s">
        <v>#N/A Requesting Data...3894191588</v>
        <stp/>
        <stp>BDP|17674348859352903526</stp>
        <tr r="CO12" s="5"/>
      </tp>
      <tp t="s">
        <v>#N/A Requesting Data...4113290214</v>
        <stp/>
        <stp>BDP|13543415856327685343</stp>
        <tr r="BE6" s="5"/>
        <tr r="BE7" s="5"/>
      </tp>
      <tp t="s">
        <v>#N/A Requesting Data...4014195712</v>
        <stp/>
        <stp>BDP|13471604730058012868</stp>
        <tr r="CC7" s="5"/>
      </tp>
      <tp t="s">
        <v>#N/A Requesting Data...4194913371</v>
        <stp/>
        <stp>BDP|10674956192285117323</stp>
        <tr r="CA9" s="5"/>
      </tp>
      <tp t="s">
        <v>#N/A Requesting Data...3825363056</v>
        <stp/>
        <stp>BDP|14532654902982315667</stp>
        <tr r="BE11" s="5"/>
      </tp>
      <tp t="s">
        <v>#N/A Requesting Data...3895593523</v>
        <stp/>
        <stp>BDP|11088710919079702889</stp>
        <tr r="CM13" s="5"/>
      </tp>
      <tp t="s">
        <v>#N/A Requesting Data...3942596810</v>
        <stp/>
        <stp>BDP|12745601780779614367</stp>
        <tr r="M6" s="2"/>
      </tp>
    </main>
    <main first="bofaddin.rtdserver">
      <tp t="s">
        <v>#N/A N/A</v>
        <stp/>
        <stp>BQL.QUERY|918649952990800877</stp>
        <tr r="P414" s="2"/>
      </tp>
      <tp t="s">
        <v>#N/A N/A</v>
        <stp/>
        <stp>BQL.QUERY|267185124681293993</stp>
        <tr r="AB377" s="2"/>
      </tp>
      <tp t="s">
        <v>#N/A Requesting Data...3935994432</v>
        <stp/>
        <stp>BDP|13150797190193017907</stp>
        <tr r="CE12" s="5"/>
      </tp>
      <tp t="s">
        <v>#N/A Requesting Data...4215360706</v>
        <stp/>
        <stp>BDP|14971541738700979577</stp>
        <tr r="AR7" s="5"/>
      </tp>
      <tp t="s">
        <v>#N/A Requesting Data...4280023330</v>
        <stp/>
        <stp>BDP|17647718029585229009</stp>
        <tr r="BA12" s="5"/>
      </tp>
      <tp t="s">
        <v>#N/A Requesting Data...4267045058</v>
        <stp/>
        <stp>BDP|13093364619047049105</stp>
        <tr r="AA5" s="2"/>
      </tp>
      <tp t="s">
        <v>#N/A Requesting Data...4213371597</v>
        <stp/>
        <stp>BDP|18337339697696320358</stp>
        <tr r="AB6" s="2"/>
      </tp>
      <tp t="s">
        <v>#N/A Requesting Data...3996431542</v>
        <stp/>
        <stp>BDP|11881120289208303707</stp>
        <tr r="BA14" s="5"/>
      </tp>
      <tp t="s">
        <v>#N/A Requesting Data...4016119055</v>
        <stp/>
        <stp>BDP|15476368834662295016</stp>
        <tr r="W5" s="2"/>
      </tp>
      <tp t="s">
        <v>#N/A Requesting Data...4046021136</v>
        <stp/>
        <stp>BDP|13118534072491713718</stp>
        <tr r="CC14" s="5"/>
      </tp>
      <tp t="s">
        <v>#N/A Requesting Data...3956249079</v>
        <stp/>
        <stp>BDP|10299398156752829336</stp>
        <tr r="C26" s="6"/>
        <tr r="C26" s="28"/>
        <tr r="C26" s="29"/>
        <tr r="C26" s="31"/>
      </tp>
    </main>
    <main first="bofaddin.rtdserver">
      <tp t="s">
        <v>#N/A Requesting Data...3953190009</v>
        <stp/>
        <stp>BDP|17504057687598609395</stp>
        <tr r="CW14" s="5"/>
      </tp>
      <tp t="s">
        <v>#N/A Requesting Data...4130779793</v>
        <stp/>
        <stp>BDP|16315025709871507371</stp>
        <tr r="DA13" s="5"/>
      </tp>
      <tp t="s">
        <v>#N/A Requesting Data...4119660593</v>
        <stp/>
        <stp>BDP|11873711805680354257</stp>
        <tr r="BM11" s="5"/>
      </tp>
      <tp t="s">
        <v>#N/A Requesting Data...4176255781</v>
        <stp/>
        <stp>BDP|14724593054817507739</stp>
        <tr r="BI12" s="5"/>
      </tp>
      <tp t="s">
        <v>#N/A Requesting Data...4043003168</v>
        <stp/>
        <stp>BDP|16975046332061088000</stp>
        <tr r="M5" s="2"/>
      </tp>
      <tp t="s">
        <v>#N/A Requesting Data...3960898722</v>
        <stp/>
        <stp>BDP|10102509775313949585</stp>
        <tr r="Q6" s="2"/>
      </tp>
      <tp t="s">
        <v>#N/A Requesting Data...4143595882</v>
        <stp/>
        <stp>BDP|17450564175792531345</stp>
        <tr r="BI11" s="5"/>
      </tp>
    </main>
    <main first="bofaddin.rtdserver">
      <tp t="s">
        <v>#N/A Requesting Data...4229666894</v>
        <stp/>
        <stp>BDP|10888562251241069461</stp>
        <tr r="CE10" s="5"/>
      </tp>
      <tp t="s">
        <v>#N/A Requesting Data...4173334440</v>
        <stp/>
        <stp>BDP|15854411957565241454</stp>
        <tr r="BA9" s="5"/>
      </tp>
      <tp t="s">
        <v>#N/A Requesting Data...4100992640</v>
        <stp/>
        <stp>BDP|11107683085812281844</stp>
        <tr r="AS12" s="5"/>
      </tp>
      <tp t="s">
        <v>#N/A Requesting Data...4230861298</v>
        <stp/>
        <stp>BDP|12233700707093971362</stp>
        <tr r="AL10" s="5"/>
      </tp>
      <tp t="s">
        <v>#N/A Requesting Data...3993368013</v>
        <stp/>
        <stp>BDP|12566207091495967909</stp>
        <tr r="BU12" s="5"/>
      </tp>
      <tp t="s">
        <v>#N/A Requesting Data...4181550256</v>
        <stp/>
        <stp>BDP|10740956134668934725</stp>
        <tr r="CK13" s="5"/>
      </tp>
      <tp t="s">
        <v>#N/A Requesting Data...4074503510</v>
        <stp/>
        <stp>BDP|17965602553275456432</stp>
        <tr r="AI9" s="5"/>
      </tp>
      <tp t="s">
        <v>#N/A Requesting Data...4269586615</v>
        <stp/>
        <stp>BDP|13879288021494976245</stp>
        <tr r="AR9" s="5"/>
      </tp>
      <tp t="s">
        <v>#N/A Requesting Data...4105021604</v>
        <stp/>
        <stp>BDP|16114649140589962829</stp>
        <tr r="CS11" s="5"/>
      </tp>
      <tp t="s">
        <v>#N/A Requesting Data...3975587066</v>
        <stp/>
        <stp>BDP|11157395927397558241</stp>
        <tr r="BG13" s="5"/>
      </tp>
      <tp t="s">
        <v>#N/A Requesting Data...4061562430</v>
        <stp/>
        <stp>BDP|10868714269537922387</stp>
        <tr r="DA9" s="5"/>
      </tp>
      <tp t="s">
        <v>#N/A Requesting Data...4062116083</v>
        <stp/>
        <stp>BDP|16615616467980381305</stp>
        <tr r="CO13" s="5"/>
      </tp>
      <tp t="s">
        <v>#N/A Requesting Data...4160922035</v>
        <stp/>
        <stp>BDP|13207972100379698673</stp>
        <tr r="BW11" s="5"/>
      </tp>
      <tp t="s">
        <v>#N/A Requesting Data...4080195439</v>
        <stp/>
        <stp>BDP|14911213131997925747</stp>
        <tr r="AP10" s="5"/>
      </tp>
      <tp t="s">
        <v>#N/A Requesting Data...4193293387</v>
        <stp/>
        <stp>BDP|14514349226650410056</stp>
        <tr r="CA6" s="5"/>
        <tr r="CA7" s="5"/>
      </tp>
      <tp t="s">
        <v>#N/A N/A</v>
        <stp/>
        <stp>BDH|10709217310591810749</stp>
        <tr r="N9" s="2"/>
      </tp>
    </main>
    <main first="bofaddin.rtdserver">
      <tp t="s">
        <v>#N/A N/A</v>
        <stp/>
        <stp>BQL.QUERY|9140991006854534457</stp>
        <tr r="Y381" s="2"/>
      </tp>
      <tp t="s">
        <v>#N/A N/A</v>
        <stp/>
        <stp>BQL.QUERY|9909083690939787991</stp>
        <tr r="R341" s="2"/>
      </tp>
      <tp t="s">
        <v>#N/A N/A</v>
        <stp/>
        <stp>BQL.QUERY|3319267690990946809</stp>
        <tr r="W373" s="2"/>
      </tp>
      <tp t="s">
        <v>#N/A N/A</v>
        <stp/>
        <stp>BQL.QUERY|3208523593658936719</stp>
        <tr r="U414" s="2"/>
      </tp>
      <tp t="s">
        <v>#N/A N/A</v>
        <stp/>
        <stp>BQL.QUERY|5455843787190719584</stp>
        <tr r="Y349" s="2"/>
      </tp>
      <tp t="s">
        <v>#N/A N/A</v>
        <stp/>
        <stp>BQL.QUERY|1471853858659262537</stp>
        <tr r="R381" s="2"/>
      </tp>
      <tp t="s">
        <v>#N/A N/A</v>
        <stp/>
        <stp>BQL.QUERY|4289748932590814049</stp>
        <tr r="P381" s="2"/>
      </tp>
      <tp t="s">
        <v>#N/A N/A</v>
        <stp/>
        <stp>BQL.QUERY|5223934786606691292</stp>
        <tr r="AA401" s="2"/>
      </tp>
      <tp t="s">
        <v>#N/A N/A</v>
        <stp/>
        <stp>BQL.QUERY|1282185178115226266</stp>
        <tr r="H377" s="2"/>
      </tp>
      <tp t="s">
        <v>#N/A N/A</v>
        <stp/>
        <stp>BQL.QUERY|3705000461171576470</stp>
        <tr r="M361" s="2"/>
      </tp>
      <tp t="s">
        <v>#N/A N/A</v>
        <stp/>
        <stp>BQL.QUERY|6694172928704562188</stp>
        <tr r="AE381" s="2"/>
      </tp>
      <tp t="s">
        <v>#N/A N/A</v>
        <stp/>
        <stp>BQL.QUERY|1293074537321605307</stp>
        <tr r="I381" s="2"/>
      </tp>
      <tp t="s">
        <v>#N/A N/A</v>
        <stp/>
        <stp>BQL.QUERY|5903013411644938053</stp>
        <tr r="AA414" s="2"/>
      </tp>
      <tp t="s">
        <v>#N/A N/A</v>
        <stp/>
        <stp>BQL.QUERY|9629847045891318411</stp>
        <tr r="Z357" s="2"/>
      </tp>
      <tp t="s">
        <v>#N/A N/A</v>
        <stp/>
        <stp>BQL.QUERY|4205061200201024560</stp>
        <tr r="U377" s="2"/>
      </tp>
      <tp t="s">
        <v>#N/A N/A</v>
        <stp/>
        <stp>BQL.QUERY|7623911292425500224</stp>
        <tr r="X414" s="2"/>
      </tp>
      <tp t="s">
        <v>#N/A N/A</v>
        <stp/>
        <stp>BQL.QUERY|2328141247440268709</stp>
        <tr r="U370" s="2"/>
      </tp>
      <tp t="s">
        <v>#N/A N/A</v>
        <stp/>
        <stp>BQL.QUERY|9188350491913191060</stp>
        <tr r="X349" s="2"/>
      </tp>
      <tp t="s">
        <v>#N/A N/A</v>
        <stp/>
        <stp>BQL.QUERY|8786013240885121949</stp>
        <tr r="R377" s="2"/>
      </tp>
      <tp t="s">
        <v>#N/A N/A</v>
        <stp/>
        <stp>BQL.QUERY|4004078994888660554</stp>
        <tr r="M345" s="2"/>
      </tp>
      <tp t="s">
        <v>#N/A N/A</v>
        <stp/>
        <stp>BQL.QUERY|4323765347817829148</stp>
        <tr r="N341" s="2"/>
      </tp>
      <tp t="s">
        <v>#N/A N/A</v>
        <stp/>
        <stp>BQL.QUERY|9709310041408164793</stp>
        <tr r="AC370" s="2"/>
      </tp>
      <tp t="s">
        <v>#N/A N/A</v>
        <stp/>
        <stp>BQL.QUERY|4182381141907753552</stp>
        <tr r="P385" s="2"/>
      </tp>
      <tp t="s">
        <v>#N/A N/A</v>
        <stp/>
        <stp>BQL.QUERY|8892838480859611078</stp>
        <tr r="X425" s="2"/>
      </tp>
      <tp t="s">
        <v>#N/A N/A</v>
        <stp/>
        <stp>BQL.QUERY|2986719965884108679</stp>
        <tr r="U425" s="2"/>
      </tp>
      <tp t="s">
        <v>#N/A N/A</v>
        <stp/>
        <stp>BQL.QUERY|9945213846097629938</stp>
        <tr r="H349" s="2"/>
      </tp>
      <tp t="s">
        <v>#N/A N/A</v>
        <stp/>
        <stp>BQL.QUERY|2366032307821506293</stp>
        <tr r="S414" s="2"/>
      </tp>
      <tp t="s">
        <v>#N/A N/A</v>
        <stp/>
        <stp>BQL.QUERY|8856373588181745377</stp>
        <tr r="AD377" s="2"/>
      </tp>
      <tp t="s">
        <v>#N/A N/A</v>
        <stp/>
        <stp>BQL.QUERY|8545980774412742597</stp>
        <tr r="S337" s="2"/>
      </tp>
      <tp t="s">
        <v>#N/A N/A</v>
        <stp/>
        <stp>BQL.QUERY|3655233150227628273</stp>
        <tr r="P353" s="2"/>
      </tp>
      <tp t="s">
        <v>#N/A N/A</v>
        <stp/>
        <stp>BQL.QUERY|8493020500839636048</stp>
        <tr r="R357" s="2"/>
      </tp>
      <tp t="s">
        <v>#N/A N/A</v>
        <stp/>
        <stp>BQL.QUERY|1338013189951928975</stp>
        <tr r="H373" s="2"/>
      </tp>
      <tp t="s">
        <v>#N/A N/A</v>
        <stp/>
        <stp>BQL.QUERY|2995428419591018700</stp>
        <tr r="W361" s="2"/>
      </tp>
      <tp t="s">
        <v>#N/A N/A</v>
        <stp/>
        <stp>BQL.QUERY|4952480855032607602</stp>
        <tr r="G414" s="2"/>
      </tp>
      <tp t="s">
        <v>#N/A N/A</v>
        <stp/>
        <stp>BQL.QUERY|8205936075021685605</stp>
        <tr r="Y422" s="2"/>
      </tp>
      <tp t="s">
        <v>#N/A N/A</v>
        <stp/>
        <stp>BQL.QUERY|7698747967257433019</stp>
        <tr r="AB385" s="2"/>
      </tp>
      <tp t="s">
        <v>#N/A N/A</v>
        <stp/>
        <stp>BQL.QUERY|5367533981531999881</stp>
        <tr r="AB349" s="2"/>
      </tp>
      <tp t="s">
        <v>#N/A N/A</v>
        <stp/>
        <stp>BQL.QUERY|7988460896948149393</stp>
        <tr r="V404" s="2"/>
      </tp>
      <tp t="s">
        <v>#N/A N/A</v>
        <stp/>
        <stp>BQL.QUERY|7269465458475225103</stp>
        <tr r="Y377" s="2"/>
      </tp>
      <tp t="s">
        <v>#N/A N/A</v>
        <stp/>
        <stp>BQL.QUERY|4734423649805147321</stp>
        <tr r="AB366" s="2"/>
      </tp>
      <tp t="s">
        <v>#N/A N/A</v>
        <stp/>
        <stp>BQL.QUERY|7103692365537010278</stp>
        <tr r="N411" s="2"/>
      </tp>
      <tp t="s">
        <v>#N/A N/A</v>
        <stp/>
        <stp>BQL.QUERY|8920866652734689308</stp>
        <tr r="AB373" s="2"/>
      </tp>
      <tp t="s">
        <v>#N/A N/A</v>
        <stp/>
        <stp>BQL.QUERY|6163438749536449245</stp>
        <tr r="H381" s="2"/>
      </tp>
      <tp t="s">
        <v>#N/A N/A</v>
        <stp/>
        <stp>BQL.QUERY|3285211304796703568</stp>
        <tr r="X357" s="2"/>
      </tp>
      <tp t="s">
        <v>#N/A N/A</v>
        <stp/>
        <stp>BQL.QUERY|5690439258405897332</stp>
        <tr r="N373" s="2"/>
      </tp>
      <tp t="s">
        <v>#N/A N/A</v>
        <stp/>
        <stp>BQL.QUERY|3581856795163105301</stp>
        <tr r="Z385" s="2"/>
      </tp>
      <tp t="s">
        <v>#N/A N/A</v>
        <stp/>
        <stp>BQL.QUERY|2952192048167200287</stp>
        <tr r="L422" s="2"/>
      </tp>
      <tp t="s">
        <v>#N/A N/A</v>
        <stp/>
        <stp>BQL.QUERY|9265403560059641070</stp>
        <tr r="M425" s="2"/>
      </tp>
      <tp t="s">
        <v>#N/A N/A</v>
        <stp/>
        <stp>BQL.QUERY|3327988251688872517</stp>
        <tr r="AA404" s="2"/>
      </tp>
      <tp t="s">
        <v>#N/A N/A</v>
        <stp/>
        <stp>BQL.QUERY|4963584437022411223</stp>
        <tr r="I373" s="2"/>
      </tp>
      <tp t="s">
        <v>#N/A N/A</v>
        <stp/>
        <stp>BQL.QUERY|2384325578207705205</stp>
        <tr r="W345" s="2"/>
      </tp>
      <tp t="s">
        <v>#N/A N/A</v>
        <stp/>
        <stp>BQL.QUERY|9038624188734695031</stp>
        <tr r="Q425" s="2"/>
      </tp>
      <tp t="s">
        <v>#N/A N/A</v>
        <stp/>
        <stp>BQL.QUERY|5843278454635751400</stp>
        <tr r="AB404" s="2"/>
      </tp>
      <tp t="s">
        <v>#N/A N/A</v>
        <stp/>
        <stp>BQL.QUERY|2433325099488724331</stp>
        <tr r="Y395" s="2"/>
      </tp>
      <tp t="s">
        <v>#N/A N/A</v>
        <stp/>
        <stp>BQL.QUERY|7646423552521860456</stp>
        <tr r="T391" s="2"/>
      </tp>
      <tp t="s">
        <v>#N/A N/A</v>
        <stp/>
        <stp>BQL.QUERY|9492291482601345141</stp>
        <tr r="AC404" s="2"/>
      </tp>
      <tp t="s">
        <v>#N/A N/A</v>
        <stp/>
        <stp>BQL.QUERY|4512202681049949445</stp>
        <tr r="Z414" s="2"/>
      </tp>
      <tp t="s">
        <v>#N/A N/A</v>
        <stp/>
        <stp>BQL.QUERY|3458638934195347097</stp>
        <tr r="N361" s="2"/>
      </tp>
      <tp t="s">
        <v>#N/A N/A</v>
        <stp/>
        <stp>BQL.QUERY|6939669932876964622</stp>
        <tr r="AD407" s="2"/>
      </tp>
      <tp t="s">
        <v>#N/A N/A</v>
        <stp/>
        <stp>BQL.QUERY|6405210124255501031</stp>
        <tr r="AG353" s="2"/>
      </tp>
      <tp t="s">
        <v>#N/A N/A</v>
        <stp/>
        <stp>BQL.QUERY|8155252899943812322</stp>
        <tr r="S401" s="2"/>
      </tp>
      <tp t="s">
        <v>#N/A N/A</v>
        <stp/>
        <stp>BQL.QUERY|3101569397409445504</stp>
        <tr r="AB337" s="2"/>
      </tp>
      <tp t="s">
        <v>#N/A N/A</v>
        <stp/>
        <stp>BQL.QUERY|9606733306275233837</stp>
        <tr r="AC353" s="2"/>
      </tp>
      <tp t="s">
        <v>#N/A N/A</v>
        <stp/>
        <stp>BQL.QUERY|6020283736455452183</stp>
        <tr r="AB401" s="2"/>
      </tp>
      <tp t="s">
        <v>#N/A N/A</v>
        <stp/>
        <stp>BQL.QUERY|5530914486853898495</stp>
        <tr r="H422" s="2"/>
      </tp>
      <tp t="s">
        <v>#N/A N/A</v>
        <stp/>
        <stp>BQL.QUERY|5707479961216522247</stp>
        <tr r="Q345" s="2"/>
      </tp>
      <tp t="s">
        <v>#N/A N/A</v>
        <stp/>
        <stp>BQL.QUERY|4308095874365663590</stp>
        <tr r="T357" s="2"/>
      </tp>
      <tp t="s">
        <v>#N/A N/A</v>
        <stp/>
        <stp>BQL.QUERY|9651993455250471133</stp>
        <tr r="AE407" s="2"/>
      </tp>
      <tp t="s">
        <v>#N/A N/A</v>
        <stp/>
        <stp>BQL.QUERY|1204950274772090989</stp>
        <tr r="AB425" s="2"/>
      </tp>
      <tp t="s">
        <v>#N/A N/A</v>
        <stp/>
        <stp>BQL.QUERY|2988348114092298608</stp>
        <tr r="AB357" s="2"/>
      </tp>
      <tp t="s">
        <v>#N/A N/A</v>
        <stp/>
        <stp>BQL.QUERY|2044932716448998675</stp>
        <tr r="AF422" s="2"/>
      </tp>
      <tp t="s">
        <v>#N/A N/A</v>
        <stp/>
        <stp>BQL.QUERY|1993781364906095233</stp>
        <tr r="R366" s="2"/>
      </tp>
      <tp t="s">
        <v>#N/A N/A</v>
        <stp/>
        <stp>BQL.QUERY|2407861196972511566</stp>
        <tr r="S370" s="2"/>
      </tp>
      <tp t="s">
        <v>#N/A N/A</v>
        <stp/>
        <stp>BQL.QUERY|9965440392519308981</stp>
        <tr r="AC349" s="2"/>
      </tp>
      <tp t="s">
        <v>#N/A N/A</v>
        <stp/>
        <stp>BQL.QUERY|9153865235015384354</stp>
        <tr r="I370" s="2"/>
      </tp>
      <tp t="s">
        <v>#N/A N/A</v>
        <stp/>
        <stp>BQL.QUERY|2577541796222271875</stp>
        <tr r="S422" s="2"/>
      </tp>
      <tp t="s">
        <v>#N/A N/A</v>
        <stp/>
        <stp>BQL.QUERY|9004156030687371861</stp>
        <tr r="T353" s="2"/>
      </tp>
      <tp t="s">
        <v>#N/A N/A</v>
        <stp/>
        <stp>BQL.QUERY|3126521342763637492</stp>
        <tr r="Z419" s="2"/>
      </tp>
      <tp t="s">
        <v>#N/A N/A</v>
        <stp/>
        <stp>BQL.QUERY|9960500078396879871</stp>
        <tr r="N385" s="2"/>
      </tp>
      <tp t="s">
        <v>#N/A N/A</v>
        <stp/>
        <stp>BQL.QUERY|2563766612012539380</stp>
        <tr r="N401" s="2"/>
      </tp>
      <tp t="s">
        <v>#N/A N/A</v>
        <stp/>
        <stp>BQL.QUERY|2042362877757899439</stp>
        <tr r="V422" s="2"/>
      </tp>
      <tp t="s">
        <v>#N/A N/A</v>
        <stp/>
        <stp>BQL.QUERY|1184112821722089592</stp>
        <tr r="R411" s="2"/>
      </tp>
      <tp t="s">
        <v>#N/A N/A</v>
        <stp/>
        <stp>BQL.QUERY|9951460186355663567</stp>
        <tr r="G377" s="2"/>
      </tp>
      <tp t="s">
        <v>#N/A N/A</v>
        <stp/>
        <stp>BQL.QUERY|5123679351153715097</stp>
        <tr r="G370" s="2"/>
      </tp>
      <tp t="s">
        <v>#N/A N/A</v>
        <stp/>
        <stp>BQL.QUERY|8825323786175823327</stp>
        <tr r="H345" s="2"/>
      </tp>
      <tp t="s">
        <v>#N/A N/A</v>
        <stp/>
        <stp>BQL.QUERY|8760336952669781270</stp>
        <tr r="AE419" s="2"/>
      </tp>
      <tp t="s">
        <v>#N/A N/A</v>
        <stp/>
        <stp>BQL.QUERY|6127627141206406716</stp>
        <tr r="AG345" s="2"/>
      </tp>
      <tp t="s">
        <v>#N/A N/A</v>
        <stp/>
        <stp>BQL.QUERY|8726612115079120363</stp>
        <tr r="AG366" s="2"/>
      </tp>
      <tp t="s">
        <v>#N/A N/A</v>
        <stp/>
        <stp>BQL.QUERY|3251565401566378531</stp>
        <tr r="S411" s="2"/>
      </tp>
      <tp t="s">
        <v>#N/A N/A</v>
        <stp/>
        <stp>BQL.QUERY|3453844685660722679</stp>
        <tr r="W381" s="2"/>
      </tp>
      <tp t="s">
        <v>#N/A N/A</v>
        <stp/>
        <stp>BQL.QUERY|7794334808707793697</stp>
        <tr r="AC385" s="2"/>
      </tp>
      <tp t="s">
        <v>#N/A N/A</v>
        <stp/>
        <stp>BQL.QUERY|1763891668299428307</stp>
        <tr r="Q341" s="2"/>
      </tp>
      <tp t="s">
        <v>#N/A N/A</v>
        <stp/>
        <stp>BQL.QUERY|6541507914895345204</stp>
        <tr r="AF361" s="2"/>
      </tp>
      <tp t="s">
        <v>#N/A N/A</v>
        <stp/>
        <stp>BQL.QUERY|7657154824722017364</stp>
        <tr r="W341" s="2"/>
      </tp>
      <tp t="s">
        <v>#N/A N/A</v>
        <stp/>
        <stp>BQL.QUERY|5319019282559657172</stp>
        <tr r="S357" s="2"/>
      </tp>
      <tp t="s">
        <v>#N/A N/A</v>
        <stp/>
        <stp>BQL.QUERY|2363533074287026181</stp>
        <tr r="Z373" s="2"/>
      </tp>
      <tp t="s">
        <v>#N/A N/A</v>
        <stp/>
        <stp>BQL.QUERY|8923906978740848055</stp>
        <tr r="W419" s="2"/>
      </tp>
      <tp t="s">
        <v>#N/A N/A</v>
        <stp/>
        <stp>BQL.QUERY|7336233043124751389</stp>
        <tr r="Q422" s="2"/>
      </tp>
      <tp t="s">
        <v>#N/A N/A</v>
        <stp/>
        <stp>BQL.QUERY|3481200589848976796</stp>
        <tr r="AG370" s="2"/>
      </tp>
      <tp t="s">
        <v>#N/A N/A</v>
        <stp/>
        <stp>BQL.QUERY|2659396370875702523</stp>
        <tr r="N370" s="2"/>
      </tp>
      <tp t="s">
        <v>#N/A N/A</v>
        <stp/>
        <stp>BQL.QUERY|4368580419157032193</stp>
        <tr r="AC357" s="2"/>
      </tp>
      <tp t="s">
        <v>#N/A N/A</v>
        <stp/>
        <stp>BQL.QUERY|1046613319937335707</stp>
        <tr r="AC377" s="2"/>
      </tp>
      <tp t="s">
        <v>#N/A N/A</v>
        <stp/>
        <stp>BQL.QUERY|4305218060727662123</stp>
        <tr r="G381" s="2"/>
      </tp>
      <tp t="s">
        <v>#N/A N/A</v>
        <stp/>
        <stp>BQL.QUERY|2307189560504423795</stp>
        <tr r="V366" s="2"/>
      </tp>
      <tp t="s">
        <v>#N/A N/A</v>
        <stp/>
        <stp>BQL.QUERY|4677576916557769174</stp>
        <tr r="P425" s="2"/>
      </tp>
      <tp t="s">
        <v>#N/A N/A</v>
        <stp/>
        <stp>BQL.QUERY|7599321262852745667</stp>
        <tr r="I411" s="2"/>
      </tp>
      <tp t="s">
        <v>#N/A N/A</v>
        <stp/>
        <stp>BQL.QUERY|2884102158399264974</stp>
        <tr r="M357" s="2"/>
      </tp>
      <tp t="s">
        <v>#N/A N/A</v>
        <stp/>
        <stp>BQL.QUERY|7246701249875857710</stp>
        <tr r="Z361" s="2"/>
      </tp>
      <tp t="s">
        <v>#N/A N/A</v>
        <stp/>
        <stp>BQL.QUERY|7343557761800409211</stp>
        <tr r="AA366" s="2"/>
      </tp>
      <tp t="s">
        <v>#N/A N/A</v>
        <stp/>
        <stp>BQL.QUERY|9958788252058390530</stp>
        <tr r="Y370" s="2"/>
      </tp>
      <tp t="s">
        <v>#N/A N/A</v>
        <stp/>
        <stp>BQL.QUERY|9482431249266608983</stp>
        <tr r="L381" s="2"/>
      </tp>
      <tp t="s">
        <v>#N/A N/A</v>
        <stp/>
        <stp>BQL.QUERY|6666110354437177335</stp>
        <tr r="U366" s="2"/>
      </tp>
      <tp t="s">
        <v>#N/A N/A</v>
        <stp/>
        <stp>BQL.QUERY|2288416813595074415</stp>
        <tr r="M373" s="2"/>
      </tp>
      <tp t="s">
        <v>#N/A N/A</v>
        <stp/>
        <stp>BQL.QUERY|5569252246311941503</stp>
        <tr r="S349" s="2"/>
      </tp>
      <tp t="s">
        <v>#N/A N/A</v>
        <stp/>
        <stp>BQL.QUERY|6823759652761473244</stp>
        <tr r="AF411" s="2"/>
      </tp>
      <tp t="s">
        <v>#N/A N/A</v>
        <stp/>
        <stp>BQL.QUERY|3972036068257692582</stp>
        <tr r="AD353" s="2"/>
      </tp>
      <tp t="s">
        <v>#N/A N/A</v>
        <stp/>
        <stp>BQL.QUERY|4310133126552877229</stp>
        <tr r="AF357" s="2"/>
      </tp>
      <tp t="s">
        <v>#N/A N/A</v>
        <stp/>
        <stp>BQL.QUERY|8006516371574536986</stp>
        <tr r="X337" s="2"/>
      </tp>
      <tp t="s">
        <v>#N/A N/A</v>
        <stp/>
        <stp>BQL.QUERY|3821526275042201404</stp>
        <tr r="H366" s="2"/>
      </tp>
      <tp t="s">
        <v>#N/A N/A</v>
        <stp/>
        <stp>BQL.QUERY|8544518158429323625</stp>
        <tr r="AD422" s="2"/>
      </tp>
      <tp t="s">
        <v>#N/A N/A</v>
        <stp/>
        <stp>BQL.QUERY|3258196888989861413</stp>
        <tr r="Q381" s="2"/>
      </tp>
      <tp t="s">
        <v>#N/A N/A</v>
        <stp/>
        <stp>BQL.QUERY|5287744372431679398</stp>
        <tr r="AC425" s="2"/>
      </tp>
      <tp t="s">
        <v>#N/A N/A</v>
        <stp/>
        <stp>BQL.QUERY|3906912044920509912</stp>
        <tr r="AB411" s="2"/>
      </tp>
      <tp t="s">
        <v>#N/A N/A</v>
        <stp/>
        <stp>BQL.QUERY|9842968841862771114</stp>
        <tr r="M366" s="2"/>
      </tp>
      <tp t="s">
        <v>#N/A N/A</v>
        <stp/>
        <stp>BQL.QUERY|8059821065882067306</stp>
        <tr r="M419" s="2"/>
      </tp>
      <tp t="s">
        <v>#N/A N/A</v>
        <stp/>
        <stp>BQL.QUERY|3292785848837610067</stp>
        <tr r="AF381" s="2"/>
      </tp>
      <tp t="s">
        <v>#N/A N/A</v>
        <stp/>
        <stp>BQL.QUERY|4697410358012926048</stp>
        <tr r="U404" s="2"/>
      </tp>
      <tp t="s">
        <v>#N/A N/A</v>
        <stp/>
        <stp>BQL.QUERY|9338502591950356236</stp>
        <tr r="AD373" s="2"/>
      </tp>
      <tp t="s">
        <v>#N/A N/A</v>
        <stp/>
        <stp>BQL.QUERY|5865215939961515268</stp>
        <tr r="M407" s="2"/>
      </tp>
      <tp t="s">
        <v>#N/A N/A</v>
        <stp/>
        <stp>BQL.QUERY|6909677308731148648</stp>
        <tr r="G337" s="2"/>
      </tp>
      <tp t="s">
        <v>#N/A N/A</v>
        <stp/>
        <stp>BQL.QUERY|5870026912817040480</stp>
        <tr r="AF341" s="2"/>
      </tp>
      <tp t="s">
        <v>#N/A N/A</v>
        <stp/>
        <stp>BQL.QUERY|5241288138167304417</stp>
        <tr r="AE361" s="2"/>
      </tp>
      <tp t="s">
        <v>#N/A N/A</v>
        <stp/>
        <stp>BQL.QUERY|2152076600437256253</stp>
        <tr r="N425" s="2"/>
      </tp>
      <tp t="s">
        <v>#N/A N/A</v>
        <stp/>
        <stp>BQL.QUERY|3996278047115773800</stp>
        <tr r="Z341" s="2"/>
      </tp>
      <tp t="s">
        <v>#N/A N/A</v>
        <stp/>
        <stp>BQL.QUERY|3611933115970842348</stp>
        <tr r="S404" s="2"/>
      </tp>
      <tp t="s">
        <v>#N/A N/A</v>
        <stp/>
        <stp>BQL.QUERY|9896629367058517941</stp>
        <tr r="M414" s="2"/>
      </tp>
      <tp t="s">
        <v>#N/A N/A</v>
        <stp/>
        <stp>BQL.QUERY|4033963858555070555</stp>
        <tr r="X341" s="2"/>
      </tp>
      <tp t="s">
        <v>#N/A N/A</v>
        <stp/>
        <stp>BQL.QUERY|5664340046582606893</stp>
        <tr r="AE385" s="2"/>
      </tp>
      <tp t="s">
        <v>#N/A N/A</v>
        <stp/>
        <stp>BQL.QUERY|6289837451413864031</stp>
        <tr r="H357" s="2"/>
      </tp>
      <tp t="s">
        <v>#N/A N/A</v>
        <stp/>
        <stp>BQL.QUERY|7826871782986284976</stp>
        <tr r="L414" s="2"/>
      </tp>
      <tp t="s">
        <v>#N/A N/A</v>
        <stp/>
        <stp>BQL.QUERY|4394781415058314254</stp>
        <tr r="W414" s="2"/>
      </tp>
      <tp t="s">
        <v>#N/A N/A</v>
        <stp/>
        <stp>BQL.QUERY|5083791561778954486</stp>
        <tr r="P401" s="2"/>
      </tp>
      <tp t="s">
        <v>#N/A N/A</v>
        <stp/>
        <stp>BQL.QUERY|3642469583251155641</stp>
        <tr r="P370" s="2"/>
      </tp>
      <tp t="s">
        <v>#N/A N/A</v>
        <stp/>
        <stp>BQL.QUERY|3435374650175580819</stp>
        <tr r="Y407" s="2"/>
      </tp>
      <tp t="s">
        <v>#N/A N/A</v>
        <stp/>
        <stp>BQL.QUERY|1286192392259621884</stp>
        <tr r="U349" s="2"/>
      </tp>
      <tp t="s">
        <v>#N/A N/A</v>
        <stp/>
        <stp>BQL.QUERY|3996900799248703301</stp>
        <tr r="S341" s="2"/>
      </tp>
      <tp t="s">
        <v>#N/A N/A</v>
        <stp/>
        <stp>BQL.QUERY|1269078054808060442</stp>
        <tr r="AB381" s="2"/>
      </tp>
      <tp t="s">
        <v>#N/A N/A</v>
        <stp/>
        <stp>BQL.QUERY|5536803019773824719</stp>
        <tr r="AA361" s="2"/>
      </tp>
      <tp t="s">
        <v>#N/A N/A</v>
        <stp/>
        <stp>BQL.QUERY|1350326720838364071</stp>
        <tr r="AG381" s="2"/>
      </tp>
      <tp t="s">
        <v>#N/A N/A</v>
        <stp/>
        <stp>BQL.QUERY|4659928593598472413</stp>
        <tr r="M385" s="2"/>
      </tp>
      <tp t="s">
        <v>#N/A N/A</v>
        <stp/>
        <stp>BQL.QUERY|2872370514491076999</stp>
        <tr r="L361" s="2"/>
      </tp>
      <tp t="s">
        <v>#N/A N/A</v>
        <stp/>
        <stp>BQL.QUERY|4016745793783555116</stp>
        <tr r="R373" s="2"/>
      </tp>
      <tp t="s">
        <v>#N/A N/A</v>
        <stp/>
        <stp>BQL.QUERY|3231872864807012208</stp>
        <tr r="V407" s="2"/>
      </tp>
      <tp t="s">
        <v>#N/A N/A</v>
        <stp/>
        <stp>BQL.QUERY|4013258505067705895</stp>
        <tr r="AA353" s="2"/>
      </tp>
      <tp t="s">
        <v>#N/A N/A</v>
        <stp/>
        <stp>BQL.QUERY|2538666391822898665</stp>
        <tr r="AD391" s="2"/>
      </tp>
      <tp t="s">
        <v>#N/A N/A</v>
        <stp/>
        <stp>BQL.QUERY|1208158698346156630</stp>
        <tr r="W411" s="2"/>
      </tp>
      <tp t="s">
        <v>#N/A N/A</v>
        <stp/>
        <stp>BQL.QUERY|8081385234610133102</stp>
        <tr r="X381" s="2"/>
      </tp>
      <tp t="s">
        <v>#N/A N/A</v>
        <stp/>
        <stp>BQL.QUERY|2664929935758336994</stp>
        <tr r="M411" s="2"/>
      </tp>
      <tp t="s">
        <v>#N/A N/A</v>
        <stp/>
        <stp>BQL.QUERY|6383975414645385274</stp>
        <tr r="L419" s="2"/>
      </tp>
      <tp t="s">
        <v>#N/A N/A</v>
        <stp/>
        <stp>BQL.QUERY|2715354454808052534</stp>
        <tr r="Z407" s="2"/>
      </tp>
      <tp t="s">
        <v>#N/A N/A</v>
        <stp/>
        <stp>BQL.QUERY|4617789970415971857</stp>
        <tr r="T373" s="2"/>
      </tp>
      <tp t="s">
        <v>#N/A N/A</v>
        <stp/>
        <stp>BQL.QUERY|2817846034028182891</stp>
        <tr r="AE422" s="2"/>
      </tp>
      <tp t="s">
        <v>#N/A N/A</v>
        <stp/>
        <stp>BQL.QUERY|9162821215711690802</stp>
        <tr r="S425" s="2"/>
      </tp>
      <tp t="s">
        <v>#N/A N/A</v>
        <stp/>
        <stp>BQL.QUERY|5615924618184281300</stp>
        <tr r="H419" s="2"/>
      </tp>
      <tp t="s">
        <v>#N/A N/A</v>
        <stp/>
        <stp>BQL.QUERY|6975222694241315630</stp>
        <tr r="Z370" s="2"/>
      </tp>
      <tp t="s">
        <v>#N/A N/A</v>
        <stp/>
        <stp>BQL.QUERY|5875977837483207657</stp>
        <tr r="V361" s="2"/>
      </tp>
      <tp t="s">
        <v>#N/A N/A</v>
        <stp/>
        <stp>BQL.QUERY|6249216928849665523</stp>
        <tr r="T361" s="2"/>
      </tp>
      <tp t="s">
        <v>#N/A N/A</v>
        <stp/>
        <stp>BQL.QUERY|4432899514575779236</stp>
        <tr r="P357" s="2"/>
      </tp>
      <tp t="s">
        <v>#N/A N/A</v>
        <stp/>
        <stp>BQL.QUERY|3022052110569677186</stp>
        <tr r="AA407" s="2"/>
      </tp>
      <tp t="s">
        <v>#N/A N/A</v>
        <stp/>
        <stp>BQL.QUERY|8218426853360345366</stp>
        <tr r="U353" s="2"/>
      </tp>
      <tp t="s">
        <v>#N/A N/A</v>
        <stp/>
        <stp>BQL.QUERY|9678049017006049434</stp>
        <tr r="G341" s="2"/>
      </tp>
      <tp t="s">
        <v>#N/A N/A</v>
        <stp/>
        <stp>BQL.QUERY|7703802325950010755</stp>
        <tr r="U373" s="2"/>
      </tp>
      <tp t="s">
        <v>#N/A N/A</v>
        <stp/>
        <stp>BQL.QUERY|4308263484602799620</stp>
        <tr r="Q373" s="2"/>
      </tp>
      <tp t="s">
        <v>#N/A N/A</v>
        <stp/>
        <stp>BQL.QUERY|8004903997114745649</stp>
        <tr r="R385" s="2"/>
      </tp>
      <tp t="s">
        <v>#N/A N/A</v>
        <stp/>
        <stp>BQL.QUERY|8843626850190813115</stp>
        <tr r="AA422" s="2"/>
      </tp>
      <tp t="s">
        <v>#N/A N/A</v>
        <stp/>
        <stp>BQL.QUERY|1051040103443350877</stp>
        <tr r="P345" s="2"/>
      </tp>
      <tp t="s">
        <v>#N/A N/A</v>
        <stp/>
        <stp>BQL.QUERY|7722185854850837904</stp>
        <tr r="S345" s="2"/>
      </tp>
      <tp t="s">
        <v>#N/A N/A</v>
        <stp/>
        <stp>BQL.QUERY|5642982917312059591</stp>
        <tr r="L357" s="2"/>
      </tp>
      <tp t="s">
        <v>#N/A N/A</v>
        <stp/>
        <stp>BQL.QUERY|9793861886050089361</stp>
        <tr r="H385" s="2"/>
      </tp>
      <tp t="s">
        <v>#N/A N/A</v>
        <stp/>
        <stp>BQL.QUERY|9604627346859834949</stp>
        <tr r="N357" s="2"/>
      </tp>
      <tp t="s">
        <v>#N/A N/A</v>
        <stp/>
        <stp>BQL.QUERY|1070770288894264124</stp>
        <tr r="S373" s="2"/>
      </tp>
      <tp t="s">
        <v>#N/A N/A</v>
        <stp/>
        <stp>BQL.QUERY|4185126249519245343</stp>
        <tr r="Y373" s="2"/>
      </tp>
      <tp t="s">
        <v>#N/A N/A</v>
        <stp/>
        <stp>BQL.QUERY|6354796281666673477</stp>
        <tr r="N419" s="2"/>
      </tp>
      <tp t="s">
        <v>#N/A N/A</v>
        <stp/>
        <stp>BQL.QUERY|2337040164848178798</stp>
        <tr r="AC361" s="2"/>
      </tp>
      <tp t="s">
        <v>#N/A N/A</v>
        <stp/>
        <stp>BQL.QUERY|9841172561747455225</stp>
        <tr r="Q337" s="2"/>
      </tp>
      <tp t="s">
        <v>#N/A N/A</v>
        <stp/>
        <stp>BQL.QUERY|1131263556929191467</stp>
        <tr r="P419" s="2"/>
      </tp>
      <tp t="s">
        <v>#N/A N/A</v>
        <stp/>
        <stp>BQL.QUERY|2861096484700446151</stp>
        <tr r="N422" s="2"/>
      </tp>
      <tp t="s">
        <v>#N/A N/A</v>
        <stp/>
        <stp>BQL.QUERY|9679337263213230416</stp>
        <tr r="H411" s="2"/>
      </tp>
      <tp t="s">
        <v>#N/A N/A</v>
        <stp/>
        <stp>BQL.QUERY|7539226210638425731</stp>
        <tr r="Z337" s="2"/>
      </tp>
      <tp t="s">
        <v>#N/A N/A</v>
        <stp/>
        <stp>BQL.QUERY|8245070887392472971</stp>
        <tr r="G404" s="2"/>
      </tp>
      <tp t="s">
        <v>#N/A N/A</v>
        <stp/>
        <stp>BQL.QUERY|4660360183072479180</stp>
        <tr r="T414" s="2"/>
      </tp>
      <tp t="s">
        <v>#N/A N/A</v>
        <stp/>
        <stp>BQL.QUERY|6194713891344746090</stp>
        <tr r="T341" s="2"/>
      </tp>
      <tp t="s">
        <v>#N/A N/A</v>
        <stp/>
        <stp>BQL.QUERY|6885500586213137407</stp>
        <tr r="AD345" s="2"/>
      </tp>
      <tp t="s">
        <v>#N/A N/A</v>
        <stp/>
        <stp>BQL.QUERY|9683633447650081780</stp>
        <tr r="Q353" s="2"/>
      </tp>
      <tp t="s">
        <v>#N/A N/A</v>
        <stp/>
        <stp>BQL.QUERY|3228792494181371064</stp>
        <tr r="I414" s="2"/>
      </tp>
      <tp t="s">
        <v>#N/A N/A</v>
        <stp/>
        <stp>BQL.QUERY|1235415525049831260</stp>
        <tr r="AG341" s="2"/>
      </tp>
      <tp t="s">
        <v>#N/A N/A</v>
        <stp/>
        <stp>BQL.QUERY|1380756302232489881</stp>
        <tr r="Z381" s="2"/>
      </tp>
      <tp t="s">
        <v>#N/A N/A</v>
        <stp/>
        <stp>BQL.QUERY|3814740320263138957</stp>
        <tr r="H425" s="2"/>
      </tp>
      <tp t="s">
        <v>#N/A N/A</v>
        <stp/>
        <stp>BQL.QUERY|8859812886100591423</stp>
        <tr r="AB414" s="2"/>
      </tp>
      <tp t="s">
        <v>#N/A N/A</v>
        <stp/>
        <stp>BQL.QUERY|5204168782112302237</stp>
        <tr r="AF353" s="2"/>
      </tp>
      <tp t="s">
        <v>#N/A N/A</v>
        <stp/>
        <stp>BQL.QUERY|5103273080181688272</stp>
        <tr r="Y414" s="2"/>
      </tp>
      <tp t="s">
        <v>#N/A N/A</v>
        <stp/>
        <stp>BQL.QUERY|6947079395995569698</stp>
        <tr r="AE345" s="2"/>
      </tp>
      <tp t="s">
        <v>#N/A N/A</v>
        <stp/>
        <stp>BQL.QUERY|3720286010129985528</stp>
        <tr r="AC419" s="2"/>
      </tp>
      <tp t="s">
        <v>#N/A N/A</v>
        <stp/>
        <stp>BQL.QUERY|6870430298080558731</stp>
        <tr r="M337" s="2"/>
      </tp>
      <tp t="s">
        <v>#N/A N/A</v>
        <stp/>
        <stp>BQL.QUERY|6576338700588665152</stp>
        <tr r="N349" s="2"/>
      </tp>
      <tp t="s">
        <v>#N/A N/A</v>
        <stp/>
        <stp>BQL.QUERY|9959038272333149194</stp>
        <tr r="W385" s="2"/>
      </tp>
      <tp t="s">
        <v>#N/A N/A</v>
        <stp/>
        <stp>BQL.QUERY|2011003358308513220</stp>
        <tr r="AB341" s="2"/>
      </tp>
      <tp t="s">
        <v>#N/A N/A</v>
        <stp/>
        <stp>BQL.QUERY|6153408737275014991</stp>
        <tr r="AC337" s="2"/>
      </tp>
      <tp t="s">
        <v>#N/A N/A</v>
        <stp/>
        <stp>BQL.QUERY|3070771211501305991</stp>
        <tr r="L353" s="2"/>
      </tp>
      <tp t="s">
        <v>#N/A N/A</v>
        <stp/>
        <stp>BQL.QUERY|3114954939610920491</stp>
        <tr r="S385" s="2"/>
      </tp>
      <tp t="s">
        <v>#N/A N/A</v>
        <stp/>
        <stp>BQL.QUERY|8027083357459415918</stp>
        <tr r="AF414" s="2"/>
      </tp>
      <tp t="s">
        <v>#N/A N/A</v>
        <stp/>
        <stp>BQL.QUERY|4210030796773318326</stp>
        <tr r="L377" s="2"/>
      </tp>
      <tp t="s">
        <v>#N/A N/A</v>
        <stp/>
        <stp>BQL.QUERY|1611289697334803371</stp>
        <tr r="S361" s="2"/>
      </tp>
      <tp t="s">
        <v>#N/A N/A</v>
        <stp/>
        <stp>BQL.QUERY|9034449680551216918</stp>
        <tr r="X377" s="2"/>
      </tp>
      <tp t="s">
        <v>#N/A N/A</v>
        <stp/>
        <stp>BQL.QUERY|7751276137398205328</stp>
        <tr r="L370" s="2"/>
      </tp>
      <tp t="s">
        <v>#N/A N/A</v>
        <stp/>
        <stp>BQL.QUERY|8323511560820101617</stp>
        <tr r="G373" s="2"/>
      </tp>
      <tp t="s">
        <v>#N/A N/A</v>
        <stp/>
        <stp>BQL.QUERY|1294741213753100972</stp>
        <tr r="P407" s="2"/>
      </tp>
      <tp t="s">
        <v>#N/A N/A</v>
        <stp/>
        <stp>BQL.QUERY|9548586964195842219</stp>
        <tr r="X366" s="2"/>
      </tp>
      <tp t="s">
        <v>#N/A N/A</v>
        <stp/>
        <stp>BQL.QUERY|8428716932739686812</stp>
        <tr r="AE373" s="2"/>
      </tp>
      <tp t="s">
        <v>#N/A N/A</v>
        <stp/>
        <stp>BQL.QUERY|5325835100300812094</stp>
        <tr r="AA337" s="2"/>
      </tp>
      <tp t="s">
        <v>#N/A N/A</v>
        <stp/>
        <stp>BQL.QUERY|8314443973143034553</stp>
        <tr r="Q366" s="2"/>
      </tp>
      <tp t="s">
        <v>#N/A N/A</v>
        <stp/>
        <stp>BQL.QUERY|2372815129921267480</stp>
        <tr r="V353" s="2"/>
      </tp>
      <tp t="s">
        <v>#N/A N/A</v>
        <stp/>
        <stp>BQL.QUERY|3546955930834722066</stp>
        <tr r="Q411" s="2"/>
      </tp>
      <tp t="s">
        <v>#N/A N/A</v>
        <stp/>
        <stp>BQL.QUERY|3708136886642546696</stp>
        <tr r="S419" s="2"/>
      </tp>
      <tp t="s">
        <v>#N/A N/A</v>
        <stp/>
        <stp>BQL.QUERY|7997508022006560847</stp>
        <tr r="AB419" s="2"/>
      </tp>
      <tp t="s">
        <v>#N/A N/A</v>
        <stp/>
        <stp>BQL.QUERY|8501585404213619056</stp>
        <tr r="I361" s="2"/>
      </tp>
      <tp t="s">
        <v>#N/A N/A</v>
        <stp/>
        <stp>BQL.QUERY|6404874765440659696</stp>
        <tr r="AD395" s="2"/>
      </tp>
      <tp t="s">
        <v>#N/A N/A</v>
        <stp/>
        <stp>BQL.QUERY|9126005146252882164</stp>
        <tr r="N353" s="2"/>
      </tp>
      <tp t="s">
        <v>#N/A N/A</v>
        <stp/>
        <stp>BQL.QUERY|8478452506516601441</stp>
        <tr r="AB353" s="2"/>
      </tp>
      <tp t="s">
        <v>#N/A N/A</v>
        <stp/>
        <stp>BQL.QUERY|7099219880661391273</stp>
        <tr r="I337" s="2"/>
      </tp>
      <tp t="s">
        <v>#N/A N/A</v>
        <stp/>
        <stp>BQL.QUERY|8207619241677813394</stp>
        <tr r="L411" s="2"/>
      </tp>
      <tp t="s">
        <v>#N/A N/A</v>
        <stp/>
        <stp>BQL.QUERY|1925193836549543437</stp>
        <tr r="V425" s="2"/>
      </tp>
      <tp t="s">
        <v>#N/A N/A</v>
        <stp/>
        <stp>BQL.QUERY|6514224001008106274</stp>
        <tr r="N404" s="2"/>
      </tp>
      <tp t="s">
        <v>#N/A N/A</v>
        <stp/>
        <stp>BQL.QUERY|4838562559479411339</stp>
        <tr r="AC373" s="2"/>
      </tp>
      <tp t="s">
        <v>#N/A N/A</v>
        <stp/>
        <stp>BQL.QUERY|6523868448020375499</stp>
        <tr r="T422" s="2"/>
      </tp>
      <tp t="s">
        <v>#N/A N/A</v>
        <stp/>
        <stp>BQL.QUERY|4417892769232337661</stp>
        <tr r="AF419" s="2"/>
      </tp>
      <tp t="s">
        <v>#N/A N/A</v>
        <stp/>
        <stp>BQL.QUERY|2979056542060072945</stp>
        <tr r="AG373" s="2"/>
      </tp>
      <tp t="s">
        <v>#N/A N/A</v>
        <stp/>
        <stp>BQL.QUERY|2650138158201701819</stp>
        <tr r="T349" s="2"/>
      </tp>
      <tp t="s">
        <v>#N/A N/A</v>
        <stp/>
        <stp>BQL.QUERY|8424455079096307231</stp>
        <tr r="Q370" s="2"/>
      </tp>
      <tp t="s">
        <v>#N/A N/A</v>
        <stp/>
        <stp>BQL.QUERY|9064951176770291894</stp>
        <tr r="L425" s="2"/>
      </tp>
      <tp t="s">
        <v>#N/A N/A</v>
        <stp/>
        <stp>BQL.QUERY|8404414161347007220</stp>
        <tr r="AF401" s="2"/>
      </tp>
      <tp t="s">
        <v>#N/A N/A</v>
        <stp/>
        <stp>BQL.QUERY|9333022537882566758</stp>
        <tr r="V349" s="2"/>
      </tp>
      <tp t="s">
        <v>#N/A N/A</v>
        <stp/>
        <stp>BQL.QUERY|2544351075329573049</stp>
        <tr r="AA425" s="2"/>
      </tp>
      <tp t="s">
        <v>#N/A N/A</v>
        <stp/>
        <stp>BQL.QUERY|7340186269607315838</stp>
        <tr r="AG349" s="2"/>
      </tp>
      <tp t="s">
        <v>#N/A Requesting Data...2302346621</v>
        <stp/>
        <stp>BQL|7295958186322954826</stp>
        <tr r="AM8" s="23"/>
      </tp>
      <tp t="s">
        <v>#N/A N/A</v>
        <stp/>
        <stp>BQL|7962201915981122988</stp>
        <tr r="AE100" s="26"/>
      </tp>
      <tp t="s">
        <v>#N/A N/A</v>
        <stp/>
        <stp>BQL|7795963015647343438</stp>
        <tr r="J11" s="23"/>
      </tp>
      <tp t="s">
        <v>#N/A Requesting Data...4134805146</v>
        <stp/>
        <stp>BDP|5859412043389071010</stp>
        <tr r="CY14" s="5"/>
      </tp>
      <tp t="s">
        <v>#N/A Requesting Data...2780822397</v>
        <stp/>
        <stp>BDP|4386441791561591480</stp>
        <tr r="AU10" s="5"/>
      </tp>
      <tp t="s">
        <v>#N/A Requesting Data...3354112278</v>
        <stp/>
        <stp>BDP|2563530717288584286</stp>
        <tr r="CE6" s="5"/>
        <tr r="CE7" s="5"/>
      </tp>
      <tp t="s">
        <v>#N/A Requesting Data...4277418394</v>
        <stp/>
        <stp>BDP|7851946185323387981</stp>
        <tr r="CC10" s="5"/>
      </tp>
      <tp t="s">
        <v>#N/A Requesting Data...3928259478</v>
        <stp/>
        <stp>BDP|4785726915086163860</stp>
        <tr r="BW14" s="5"/>
      </tp>
    </main>
    <main first="bofaddin.rtdserver">
      <tp t="s">
        <v>#N/A N/A</v>
        <stp/>
        <stp>BQL|9635228260033973354</stp>
        <tr r="M11" s="23"/>
      </tp>
      <tp t="s">
        <v>#N/A Requesting Data...2839312413</v>
        <stp/>
        <stp>BQL|2778957730225000062</stp>
        <tr r="U8" s="23"/>
      </tp>
      <tp t="s">
        <v>#N/A N/A</v>
        <stp/>
        <stp>BQL|4970268240468381781</stp>
        <tr r="H11" s="23"/>
      </tp>
      <tp t="s">
        <v>#N/A N/A</v>
        <stp/>
        <stp>BQL|6670959941084231221</stp>
        <tr r="S116" s="26"/>
      </tp>
      <tp t="s">
        <v>#N/A Requesting Data...4196454558</v>
        <stp/>
        <stp>BDP|1406955874015894776</stp>
        <tr r="AI14" s="5"/>
      </tp>
      <tp t="s">
        <v>#N/A Requesting Data...3626632592</v>
        <stp/>
        <stp>BDP|3773224968158398255</stp>
        <tr r="BM7" s="5"/>
      </tp>
      <tp t="s">
        <v>#N/A Requesting Data...3920694099</v>
        <stp/>
        <stp>BDP|4601634051943417981</stp>
        <tr r="U6" s="2"/>
      </tp>
      <tp t="s">
        <v>#N/A Requesting Data...2407252509</v>
        <stp/>
        <stp>BDP|8091623379961687556</stp>
        <tr r="BC11" s="5"/>
      </tp>
      <tp t="s">
        <v>#N/A Requesting Data...3139354780</v>
        <stp/>
        <stp>BDP|5380488093727938281</stp>
        <tr r="C14" s="3"/>
      </tp>
      <tp t="s">
        <v>#N/A Requesting Data...2515589339</v>
        <stp/>
        <stp>BDP|9264545937721994358</stp>
        <tr r="BS6" s="5"/>
        <tr r="BS7" s="5"/>
      </tp>
      <tp t="s">
        <v>#N/A Requesting Data...3675704197</v>
        <stp/>
        <stp>BDP|9116692153507830017</stp>
        <tr r="BC6" s="5"/>
        <tr r="BC7" s="5"/>
      </tp>
      <tp t="s">
        <v>#N/A N/A</v>
        <stp/>
        <stp>BDH|2669602247569204437</stp>
        <tr r="R9" s="2"/>
        <tr r="U9" s="2"/>
        <tr r="V9" s="2"/>
      </tp>
      <tp t="s">
        <v>#N/A N/A</v>
        <stp/>
        <stp>BDH|2170132685217281102</stp>
        <tr r="W10" s="2"/>
      </tp>
    </main>
    <main first="bofaddin.rtdserver">
      <tp t="s">
        <v>#N/A Requesting Data...4165630165</v>
        <stp/>
        <stp>BQL|7408695783994939386</stp>
        <tr r="Z8" s="23"/>
      </tp>
      <tp t="s">
        <v>#N/A Requesting Data...4006474659</v>
        <stp/>
        <stp>BQL|8829489957691923601</stp>
        <tr r="F6" s="23"/>
      </tp>
      <tp t="s">
        <v>#N/A Requesting Data...3607817450</v>
        <stp/>
        <stp>BQL|3627359653592626951</stp>
        <tr r="K6" s="23"/>
      </tp>
      <tp t="s">
        <v>#N/A Requesting Data...2549183745</v>
        <stp/>
        <stp>BQL|1796953232314334100</stp>
        <tr r="H6" s="23"/>
      </tp>
      <tp t="s">
        <v>#N/A Requesting Data...3060067249</v>
        <stp/>
        <stp>BQL|4303824551677370011</stp>
        <tr r="AL6" s="23"/>
      </tp>
      <tp t="s">
        <v>#N/A Requesting Data...3255567966</v>
        <stp/>
        <stp>BQL|2184557357405703968</stp>
        <tr r="W6" s="23"/>
      </tp>
      <tp t="s">
        <v>#N/A Requesting Data...2785470643</v>
        <stp/>
        <stp>BDP|1290385180752154615</stp>
        <tr r="CY10" s="5"/>
      </tp>
      <tp t="s">
        <v>#N/A Requesting Data...2306176865</v>
        <stp/>
        <stp>BDP|5789675785734606195</stp>
        <tr r="BG6" s="5"/>
        <tr r="BG7" s="5"/>
      </tp>
      <tp t="s">
        <v>#N/A Requesting Data...3157395147</v>
        <stp/>
        <stp>BDP|9139061910791489788</stp>
        <tr r="AP11" s="5"/>
      </tp>
      <tp t="s">
        <v>#N/A Requesting Data...2137974659</v>
        <stp/>
        <stp>BDP|9047220988368092527</stp>
        <tr r="BU13" s="5"/>
      </tp>
      <tp t="s">
        <v>#N/A Requesting Data...3877522674</v>
        <stp/>
        <stp>BDP|4402134005842387991</stp>
        <tr r="AL6" s="5"/>
        <tr r="AL7" s="5"/>
      </tp>
      <tp t="s">
        <v>#N/A Requesting Data...2365867868</v>
        <stp/>
        <stp>BDP|4279640708584222809</stp>
        <tr r="AN6" s="5"/>
        <tr r="AN7" s="5"/>
      </tp>
      <tp t="s">
        <v>#N/A Requesting Data...4102066073</v>
        <stp/>
        <stp>BDP|2996692594486725533</stp>
        <tr r="CS13" s="5"/>
      </tp>
      <tp t="s">
        <v>#N/A Requesting Data...4252411975</v>
        <stp/>
        <stp>BDP|2608425690832787332</stp>
        <tr r="AP14" s="5"/>
      </tp>
      <tp t="s">
        <v>#N/A Requesting Data...3192139583</v>
        <stp/>
        <stp>BDP|6490574992453059776</stp>
        <tr r="AI13" s="5"/>
      </tp>
      <tp t="s">
        <v>#N/A Requesting Data...2117689088</v>
        <stp/>
        <stp>BDP|8716738370140703655</stp>
        <tr r="CU11" s="5"/>
      </tp>
      <tp t="s">
        <v>#N/A Requesting Data...3078742806</v>
        <stp/>
        <stp>BDP|1332794681305558581</stp>
        <tr r="BU10" s="5"/>
      </tp>
      <tp t="s">
        <v>#N/A Requesting Data...3085089317</v>
        <stp/>
        <stp>BDP|5015280938492018860</stp>
        <tr r="CS6" s="5"/>
        <tr r="CS7" s="5"/>
      </tp>
      <tp t="s">
        <v>#N/A Requesting Data...4250251846</v>
        <stp/>
        <stp>BDP|7022153333829891295</stp>
        <tr r="CS10" s="5"/>
      </tp>
      <tp t="s">
        <v>#N/A Requesting Data...4076618374</v>
        <stp/>
        <stp>BDP|3359514704870361803</stp>
        <tr r="BS11" s="5"/>
      </tp>
      <tp t="s">
        <v>#N/A Requesting Data...2887517094</v>
        <stp/>
        <stp>BDP|1309069599462914408</stp>
        <tr r="AI10" s="5"/>
      </tp>
    </main>
    <main first="bofaddin.rtdserver">
      <tp t="s">
        <v>#N/A Requesting Data...2651213889</v>
        <stp/>
        <stp>BQL|6530996854732632715</stp>
        <tr r="AG6" s="23"/>
      </tp>
      <tp t="s">
        <v>#N/A Requesting Data...2747216637</v>
        <stp/>
        <stp>BQL|7153614426988729461</stp>
        <tr r="AB8" s="23"/>
      </tp>
      <tp t="s">
        <v>#N/A N/A</v>
        <stp/>
        <stp>BQL|8406638473203688565</stp>
        <tr r="T100" s="26"/>
      </tp>
      <tp t="s">
        <v>#N/A N/A</v>
        <stp/>
        <stp>BQL|4138482682196001186</stp>
        <tr r="Y11" s="23"/>
      </tp>
      <tp t="s">
        <v>#N/A Requesting Data...3004877418</v>
        <stp/>
        <stp>BDP|9154629508930623064</stp>
        <tr r="BY11" s="5"/>
      </tp>
      <tp t="s">
        <v>#N/A N/A</v>
        <stp/>
        <stp>BDH|6665864803204984525</stp>
        <tr r="Q10" s="2"/>
      </tp>
      <tp t="s">
        <v>#N/A Requesting Data...3795768781</v>
        <stp/>
        <stp>BDP|2991787688700641264</stp>
        <tr r="BI14" s="5"/>
      </tp>
      <tp t="s">
        <v>#N/A Requesting Data...2241016802</v>
        <stp/>
        <stp>BDP|2823218495953007557</stp>
        <tr r="AI12" s="5"/>
      </tp>
      <tp t="s">
        <v>#N/A Requesting Data...3907869738</v>
        <stp/>
        <stp>BDP|6101162559958923596</stp>
        <tr r="R6" s="2"/>
      </tp>
      <tp t="s">
        <v>#N/A Requesting Data...3312419946</v>
        <stp/>
        <stp>BDP|7527062681122312238</stp>
        <tr r="CU13" s="5"/>
      </tp>
      <tp t="s">
        <v>#N/A Requesting Data...3657934054</v>
        <stp/>
        <stp>BDP|7186317429398217184</stp>
        <tr r="AW10" s="5"/>
      </tp>
      <tp t="s">
        <v>#N/A Requesting Data...4010770857</v>
        <stp/>
        <stp>BDP|8067703661493794577</stp>
        <tr r="F14" s="5"/>
      </tp>
      <tp t="s">
        <v>#N/A Requesting Data...4235096652</v>
        <stp/>
        <stp>BDP|7141168794874490404</stp>
        <tr r="AS11" s="5"/>
      </tp>
      <tp t="s">
        <v>#N/A Requesting Data...2716856752</v>
        <stp/>
        <stp>BDP|5646179361315637817</stp>
        <tr r="C32" s="3"/>
      </tp>
      <tp t="s">
        <v>#N/A Requesting Data...3206501817</v>
        <stp/>
        <stp>BDP|5110979913013144130</stp>
        <tr r="AJ12" s="5"/>
      </tp>
      <tp t="s">
        <v>#N/A Requesting Data...3168436283</v>
        <stp/>
        <stp>BDP|3274815766687148503</stp>
        <tr r="BC12" s="5"/>
      </tp>
    </main>
    <main first="bofaddin.rtdserver">
      <tp t="s">
        <v>#N/A N/A</v>
        <stp/>
        <stp>BQL|3231203086607255691</stp>
        <tr r="Q116" s="26"/>
      </tp>
      <tp t="s">
        <v>#N/A N/A</v>
        <stp/>
        <stp>BQL|5320289906626489969</stp>
        <tr r="V100" s="26"/>
      </tp>
      <tp t="s">
        <v>#N/A N/A</v>
        <stp/>
        <stp>BQL|2518850400160814247</stp>
        <tr r="AJ100" s="26"/>
      </tp>
      <tp t="s">
        <v>#N/A N/A</v>
        <stp/>
        <stp>BQL|1193984174410777792</stp>
        <tr r="AC100" s="26"/>
      </tp>
      <tp t="s">
        <v>#N/A N/A</v>
        <stp/>
        <stp>BQL|6427602950005267845</stp>
        <tr r="I11" s="23"/>
      </tp>
      <tp t="s">
        <v>#N/A N/A</v>
        <stp/>
        <stp>BQL|7174371189516695292</stp>
        <tr r="Q100" s="26"/>
      </tp>
      <tp t="s">
        <v>#N/A Requesting Data...3513465701</v>
        <stp/>
        <stp>BDP|8965053316274546555</stp>
        <tr r="CO9" s="5"/>
      </tp>
      <tp t="s">
        <v>#N/A Requesting Data...2792724316</v>
        <stp/>
        <stp>BDP|6326355662219846278</stp>
        <tr r="BS9" s="5"/>
      </tp>
      <tp t="s">
        <v>#N/A Requesting Data...3858694213</v>
        <stp/>
        <stp>BDP|3830966528889988976</stp>
        <tr r="BE14" s="5"/>
      </tp>
      <tp t="s">
        <v>#N/A Requesting Data...3620580766</v>
        <stp/>
        <stp>BDP|3614458819419533768</stp>
        <tr r="CU6" s="5"/>
        <tr r="CU7" s="5"/>
      </tp>
      <tp t="s">
        <v>#N/A Requesting Data...2514706185</v>
        <stp/>
        <stp>BDP|1335981003775056571</stp>
        <tr r="W6" s="2"/>
      </tp>
      <tp t="s">
        <v>#N/A N/A</v>
        <stp/>
        <stp>BDP|4114946256563475359</stp>
        <tr r="AG11" s="5"/>
      </tp>
      <tp t="s">
        <v>#N/A Requesting Data...2934259138</v>
        <stp/>
        <stp>BDP|1199841592580277864</stp>
        <tr r="CI11" s="5"/>
      </tp>
    </main>
    <main first="bofaddin.rtdserver">
      <tp t="s">
        <v>#N/A N/A</v>
        <stp/>
        <stp>BQL|2942888148184329344</stp>
        <tr r="P116" s="26"/>
      </tp>
      <tp t="s">
        <v>#N/A N/A</v>
        <stp/>
        <stp>BQL|1100676496467230039</stp>
        <tr r="AH100" s="26"/>
      </tp>
      <tp t="s">
        <v>#N/A Requesting Data...4028593610</v>
        <stp/>
        <stp>BDP|2810502300446174832</stp>
        <tr r="AP6" s="5"/>
        <tr r="AP7" s="5"/>
      </tp>
      <tp t="s">
        <v>#N/A N/A</v>
        <stp/>
        <stp>BDH|1018201597626945567</stp>
        <tr r="AA10" s="2"/>
      </tp>
      <tp t="s">
        <v>#N/A Requesting Data...2896362291</v>
        <stp/>
        <stp>BDP|2106267117579087192</stp>
        <tr r="CW6" s="5"/>
        <tr r="CW7" s="5"/>
      </tp>
      <tp t="s">
        <v>#N/A Requesting Data...2814189377</v>
        <stp/>
        <stp>BDP|5205926918844734011</stp>
        <tr r="P6" s="2"/>
      </tp>
      <tp t="s">
        <v>#N/A N/A</v>
        <stp/>
        <stp>BDH|6937953257834236794</stp>
        <tr r="Z10" s="2"/>
      </tp>
      <tp t="s">
        <v>#N/A Requesting Data...2919310082</v>
        <stp/>
        <stp>BDP|9880560675292943032</stp>
        <tr r="BQ9" s="5"/>
      </tp>
      <tp t="s">
        <v>#N/A Requesting Data...3530729223</v>
        <stp/>
        <stp>BDP|5225924357796097667</stp>
        <tr r="BY9" s="5"/>
      </tp>
      <tp t="s">
        <v>#N/A Requesting Data...3752756323</v>
        <stp/>
        <stp>BDP|1995969239031573370</stp>
        <tr r="G4" s="3"/>
        <tr r="C11" s="28"/>
        <tr r="C11" s="29"/>
      </tp>
    </main>
    <main first="bofaddin.rtdserver">
      <tp t="s">
        <v>#N/A Requesting Data...3779790867</v>
        <stp/>
        <stp>BQL|3919134173228075745</stp>
        <tr r="R6" s="23"/>
      </tp>
      <tp t="s">
        <v>#N/A N/A</v>
        <stp/>
        <stp>BQL|1721337241349822512</stp>
        <tr r="AN100" s="26"/>
      </tp>
      <tp t="s">
        <v>#N/A N/A</v>
        <stp/>
        <stp>BQL|4810238548139634115</stp>
        <tr r="X100" s="26"/>
      </tp>
      <tp t="s">
        <v>#N/A Requesting Data...4233781761</v>
        <stp/>
        <stp>BQL|5823984597006386964</stp>
        <tr r="O6" s="23"/>
      </tp>
      <tp t="s">
        <v>#N/A Requesting Data...3697938583</v>
        <stp/>
        <stp>BQL|2936838069217334120</stp>
        <tr r="K8" s="23"/>
      </tp>
      <tp t="s">
        <v>#N/A Requesting Data...4126770789</v>
        <stp/>
        <stp>BDP|7767267657168936259</stp>
        <tr r="AW13" s="5"/>
      </tp>
      <tp t="s">
        <v>#N/A Requesting Data...3098941436</v>
        <stp/>
        <stp>BDP|8430528058915115750</stp>
        <tr r="CW9" s="5"/>
      </tp>
      <tp t="s">
        <v>#N/A Requesting Data...2914291729</v>
        <stp/>
        <stp>BDP|9144589556396039510</stp>
        <tr r="C24" s="31"/>
        <tr r="C24" s="6"/>
        <tr r="C24" s="28"/>
        <tr r="C24" s="29"/>
      </tp>
      <tp t="s">
        <v>#N/A Requesting Data...3793260364</v>
        <stp/>
        <stp>BDP|4864118528989892467</stp>
        <tr r="CI9" s="5"/>
      </tp>
      <tp t="s">
        <v>#N/A Requesting Data...4019623458</v>
        <stp/>
        <stp>BDP|5898586105098251282</stp>
        <tr r="AL12" s="5"/>
      </tp>
      <tp t="s">
        <v>#N/A N/A</v>
        <stp/>
        <stp>BDH|2912669134864231945</stp>
        <tr r="S10" s="2"/>
      </tp>
      <tp t="s">
        <v>#N/A Requesting Data...3400584146</v>
        <stp/>
        <stp>BDP|9075530425430393471</stp>
        <tr r="P5" s="2"/>
      </tp>
      <tp t="s">
        <v>#N/A Requesting Data...3795002765</v>
        <stp/>
        <stp>BDP|7167109081315356159</stp>
        <tr r="CM12" s="5"/>
      </tp>
      <tp t="s">
        <v>#N/A Requesting Data...3099721515</v>
        <stp/>
        <stp>BDP|1969558703407868923</stp>
        <tr r="CK11" s="5"/>
      </tp>
    </main>
    <main first="bofaddin.rtdserver">
      <tp t="s">
        <v>#N/A N/A</v>
        <stp/>
        <stp>BQL|6188333122534886846</stp>
        <tr r="T11" s="23"/>
      </tp>
      <tp t="s">
        <v>#N/A Requesting Data...3192456213</v>
        <stp/>
        <stp>BQL|5143299710654275911</stp>
        <tr r="AG8" s="23"/>
      </tp>
      <tp t="s">
        <v>#N/A Requesting Data...2955526035</v>
        <stp/>
        <stp>BQL|4610136231074616998</stp>
        <tr r="AD8" s="23"/>
      </tp>
      <tp t="s">
        <v>#N/A Requesting Data...3522589882</v>
        <stp/>
        <stp>BQL|1938307695723912330</stp>
        <tr r="AN8" s="23"/>
      </tp>
      <tp t="s">
        <v>#N/A N/A</v>
        <stp/>
        <stp>BQL|7134275213878187712</stp>
        <tr r="AH11" s="23"/>
      </tp>
      <tp t="s">
        <v>#N/A N/A</v>
        <stp/>
        <stp>BQL|9671731948747901602</stp>
        <tr r="J116" s="26"/>
      </tp>
      <tp t="s">
        <v>#N/A N/A</v>
        <stp/>
        <stp>BQL|6621067121757511864</stp>
        <tr r="C6" s="23"/>
      </tp>
      <tp t="s">
        <v>#N/A N/A</v>
        <stp/>
        <stp>BQL|7899553659444574819</stp>
        <tr r="AL11" s="23"/>
      </tp>
      <tp t="s">
        <v>#N/A N/A</v>
        <stp/>
        <stp>BDH|6949979172173651028</stp>
        <tr r="W9" s="2"/>
      </tp>
      <tp t="s">
        <v>#N/A Requesting Data...2784572986</v>
        <stp/>
        <stp>BDP|3078493504589795567</stp>
        <tr r="BQ11" s="5"/>
      </tp>
      <tp t="s">
        <v>#N/A Requesting Data...4086439399</v>
        <stp/>
        <stp>BDP|5239251256900940954</stp>
        <tr r="BK12" s="5"/>
      </tp>
      <tp t="s">
        <v>#N/A Requesting Data...3608018405</v>
        <stp/>
        <stp>BDP|8128995698193912042</stp>
        <tr r="CI13" s="5"/>
      </tp>
      <tp t="s">
        <v>#N/A Requesting Data...4100157651</v>
        <stp/>
        <stp>BDP|7167575956479981549</stp>
        <tr r="BS12" s="5"/>
      </tp>
      <tp t="s">
        <v>#N/A N/A</v>
        <stp/>
        <stp>BDP|3132970661840154705</stp>
        <tr r="AG12" s="5"/>
      </tp>
    </main>
    <main first="bofaddin.rtdserver">
      <tp t="s">
        <v>#N/A N/A</v>
        <stp/>
        <stp>BQL|4397051559891524448</stp>
        <tr r="AN11" s="23"/>
      </tp>
      <tp t="s">
        <v>#N/A N/A</v>
        <stp/>
        <stp>BQL|6373573489637592841</stp>
        <tr r="W11" s="23"/>
      </tp>
      <tp t="s">
        <v>#N/A N/A</v>
        <stp/>
        <stp>BQL|9224524337143738825</stp>
        <tr r="T116" s="26"/>
      </tp>
      <tp t="s">
        <v>#N/A Requesting Data...2691463654</v>
        <stp/>
        <stp>BDP|4416704354973956136</stp>
        <tr r="Z5" s="2"/>
      </tp>
      <tp t="s">
        <v>#N/A Requesting Data...3853056161</v>
        <stp/>
        <stp>BDP|7192217753982225681</stp>
        <tr r="CY6" s="5"/>
        <tr r="CY7" s="5"/>
      </tp>
      <tp t="s">
        <v>#N/A Requesting Data...2785121752</v>
        <stp/>
        <stp>BDP|9173859276465668759</stp>
        <tr r="CC12" s="5"/>
      </tp>
      <tp t="s">
        <v>#N/A Requesting Data...3390187920</v>
        <stp/>
        <stp>BDP|2606561294829440363</stp>
        <tr r="BA13" s="5"/>
      </tp>
    </main>
    <main first="bofaddin.rtdserver">
      <tp t="s">
        <v>#N/A Requesting Data...4040220420</v>
        <stp/>
        <stp>BQL|1268318926462095797</stp>
        <tr r="X8" s="23"/>
      </tp>
      <tp t="s">
        <v>#N/A N/A</v>
        <stp/>
        <stp>BQL|3723411843540182682</stp>
        <tr r="AM11" s="23"/>
      </tp>
      <tp t="s">
        <v>#N/A Requesting Data...3769612094</v>
        <stp/>
        <stp>BQL|5942475911543300673</stp>
        <tr r="I6" s="23"/>
      </tp>
      <tp t="s">
        <v>#N/A N/A</v>
        <stp/>
        <stp>BQL|2891179775603414254</stp>
        <tr r="AO100" s="26"/>
      </tp>
      <tp t="s">
        <v>#N/A N/A</v>
        <stp/>
        <stp>BQL|4379577431252706583</stp>
        <tr r="C11" s="23"/>
      </tp>
      <tp t="s">
        <v>#N/A Requesting Data...4149029443</v>
        <stp/>
        <stp>BQL|9192638857816555999</stp>
        <tr r="D6" s="23"/>
      </tp>
      <tp t="s">
        <v>#N/A N/A</v>
        <stp/>
        <stp>BQL|5955685958594337732</stp>
        <tr r="AE116" s="26"/>
      </tp>
      <tp t="s">
        <v>#N/A Requesting Data...3459509070</v>
        <stp/>
        <stp>BQL|8770403580411607020</stp>
        <tr r="W8" s="23"/>
      </tp>
      <tp t="s">
        <v>#N/A Requesting Data...2992496306</v>
        <stp/>
        <stp>BDP|2974076713325073357</stp>
        <tr r="CI14" s="5"/>
      </tp>
      <tp t="s">
        <v>#N/A Requesting Data...3302193253</v>
        <stp/>
        <stp>BDP|1590253639761386431</stp>
        <tr r="BE13" s="5"/>
      </tp>
      <tp t="s">
        <v>#N/A Requesting Data...2774205291</v>
        <stp/>
        <stp>BDP|5824728374116388632</stp>
        <tr r="AU14" s="5"/>
      </tp>
      <tp t="s">
        <v>#N/A Requesting Data...3961107136</v>
        <stp/>
        <stp>BDP|5159755796656795893</stp>
        <tr r="N5" s="2"/>
      </tp>
      <tp t="s">
        <v>#N/A Requesting Data...2867069392</v>
        <stp/>
        <stp>BDP|2382961288746920008</stp>
        <tr r="R5" s="2"/>
      </tp>
    </main>
    <main first="bofaddin.rtdserver">
      <tp t="s">
        <v>#N/A N/A</v>
        <stp/>
        <stp>BQL|1391475743576854103</stp>
        <tr r="O11" s="23"/>
      </tp>
      <tp t="s">
        <v>#N/A N/A</v>
        <stp/>
        <stp>BQL|5552182367110561413</stp>
        <tr r="AG11" s="23"/>
      </tp>
      <tp t="s">
        <v>#N/A N/A</v>
        <stp/>
        <stp>BQL|5448154126714569454</stp>
        <tr r="AD116" s="26"/>
      </tp>
      <tp t="s">
        <v>#N/A Requesting Data...4229524860</v>
        <stp/>
        <stp>BQL|5355006169536839303</stp>
        <tr r="Y6" s="23"/>
      </tp>
      <tp t="s">
        <v>#N/A N/A</v>
        <stp/>
        <stp>BQL|6295579474387074507</stp>
        <tr r="AO11" s="23"/>
      </tp>
      <tp t="s">
        <v>#N/A Requesting Data...3101406268</v>
        <stp/>
        <stp>BDP|9801762822168564223</stp>
        <tr r="AN13" s="5"/>
      </tp>
      <tp t="s">
        <v>#N/A Requesting Data...3720872871</v>
        <stp/>
        <stp>BDP|1945217617764151074</stp>
        <tr r="N6" s="2"/>
      </tp>
      <tp t="s">
        <v>#N/A Requesting Data...3271573214</v>
        <stp/>
        <stp>BDP|2344194782984678908</stp>
        <tr r="BW6" s="5"/>
        <tr r="BW7" s="5"/>
      </tp>
      <tp t="s">
        <v>#N/A Requesting Data...3299187943</v>
        <stp/>
        <stp>BDP|8598985781789099630</stp>
        <tr r="AL9" s="5"/>
      </tp>
      <tp t="s">
        <v>#N/A Requesting Data...3232960686</v>
        <stp/>
        <stp>BDP|4881266500491527161</stp>
        <tr r="CA10" s="5"/>
      </tp>
      <tp t="s">
        <v>#N/A Requesting Data...3763671103</v>
        <stp/>
        <stp>BDP|1110190628690779456</stp>
        <tr r="CG14" s="5"/>
      </tp>
      <tp t="s">
        <v>#N/A Requesting Data...3716446214</v>
        <stp/>
        <stp>BDP|7878196928604653690</stp>
        <tr r="BW12" s="5"/>
      </tp>
      <tp t="s">
        <v>#N/A Requesting Data...4070180718</v>
        <stp/>
        <stp>BDP|9578483833291057997</stp>
        <tr r="BO14" s="5"/>
      </tp>
      <tp t="s">
        <v>#N/A Requesting Data...3305352627</v>
        <stp/>
        <stp>BDP|7517173827301720378</stp>
        <tr r="CU14" s="5"/>
      </tp>
    </main>
    <main first="bofaddin.rtdserver">
      <tp t="s">
        <v>#N/A N/A</v>
        <stp/>
        <stp>BQL|1405432736359262853</stp>
        <tr r="AJ116" s="26"/>
      </tp>
      <tp t="s">
        <v>#N/A N/A</v>
        <stp/>
        <stp>BQL|7071854586684615456</stp>
        <tr r="AK116" s="26"/>
      </tp>
      <tp t="s">
        <v>#N/A Requesting Data...3154552782</v>
        <stp/>
        <stp>BQL|8241654931588744219</stp>
        <tr r="AH6" s="23"/>
      </tp>
      <tp t="s">
        <v>#N/A Requesting Data...3996706613</v>
        <stp/>
        <stp>BDP|5225334099498586030</stp>
        <tr r="CU10" s="5"/>
      </tp>
      <tp t="s">
        <v>#N/A Requesting Data...3846717438</v>
        <stp/>
        <stp>BDP|6526585561691530364</stp>
        <tr r="BU11" s="5"/>
      </tp>
      <tp t="s">
        <v>#N/A Requesting Data...3878071127</v>
        <stp/>
        <stp>BDP|7780816580720381093</stp>
        <tr r="CO11" s="5"/>
      </tp>
      <tp t="s">
        <v>#N/A Requesting Data...3670594611</v>
        <stp/>
        <stp>BDP|9671949958123171160</stp>
        <tr r="AY6" s="5"/>
        <tr r="AY7" s="5"/>
      </tp>
      <tp t="s">
        <v>#N/A Requesting Data...3635083439</v>
        <stp/>
        <stp>BDP|1061130031692053600</stp>
        <tr r="CK6" s="5"/>
        <tr r="CK7" s="5"/>
      </tp>
      <tp t="s">
        <v>#N/A Requesting Data...3506211337</v>
        <stp/>
        <stp>BDP|9906796217351424939</stp>
        <tr r="AN12" s="5"/>
      </tp>
      <tp t="s">
        <v>#N/A Requesting Data...3544720408</v>
        <stp/>
        <stp>BDP|1029731203519902893</stp>
        <tr r="BG11" s="5"/>
      </tp>
      <tp t="s">
        <v>#N/A Requesting Data...3174292134</v>
        <stp/>
        <stp>BDP|9422582588027437417</stp>
        <tr r="U5" s="2"/>
      </tp>
      <tp t="s">
        <v>#N/A Requesting Data...3825439725</v>
        <stp/>
        <stp>BDP|8055765551885871880</stp>
        <tr r="BE12" s="5"/>
      </tp>
      <tp t="s">
        <v>#N/A N/A</v>
        <stp/>
        <stp>BDH|9851793802660508917</stp>
        <tr r="Z9" s="2"/>
      </tp>
      <tp t="s">
        <v>#N/A Requesting Data...3109799712</v>
        <stp/>
        <stp>BDP|6064250800852232133</stp>
        <tr r="BO10" s="5"/>
      </tp>
      <tp t="s">
        <v>#N/A Requesting Data...3161067349</v>
        <stp/>
        <stp>BDP|9739881724176666284</stp>
        <tr r="DA14" s="5"/>
      </tp>
    </main>
    <main first="bofaddin.rtdserver">
      <tp t="s">
        <v>#N/A Requesting Data...3358660626</v>
        <stp/>
        <stp>BQL|4780210776818984962</stp>
        <tr r="AB6" s="23"/>
      </tp>
      <tp t="s">
        <v>#N/A Requesting Data...3578440232</v>
        <stp/>
        <stp>BQL|1475022958843641732</stp>
        <tr r="X6" s="23"/>
      </tp>
      <tp t="s">
        <v>#N/A N/A</v>
        <stp/>
        <stp>BQL|5427044649422647392</stp>
        <tr r="AF100" s="26"/>
      </tp>
      <tp t="s">
        <v>#N/A N/A</v>
        <stp/>
        <stp>BQL|6060537231089084949</stp>
        <tr r="V116" s="26"/>
      </tp>
      <tp t="s">
        <v>#N/A Requesting Data...3006005375</v>
        <stp/>
        <stp>BQL|5862459073287834121</stp>
        <tr r="AN6" s="23"/>
      </tp>
      <tp t="s">
        <v>#N/A N/A</v>
        <stp/>
        <stp>BQL|2567860785182651024</stp>
        <tr r="K116" s="26"/>
      </tp>
      <tp t="s">
        <v>#N/A N/A</v>
        <stp/>
        <stp>BQL|4634331511105442329</stp>
        <tr r="X116" s="26"/>
      </tp>
      <tp t="s">
        <v>#N/A Requesting Data...3296627569</v>
        <stp/>
        <stp>BDP|1083336738684294539</stp>
        <tr r="BG10" s="5"/>
      </tp>
      <tp t="s">
        <v>#N/A Requesting Data...3233722132</v>
        <stp/>
        <stp>BDP|4908759919031804374</stp>
        <tr r="BO6" s="5"/>
        <tr r="BO7" s="5"/>
      </tp>
      <tp t="s">
        <v>#N/A Requesting Data...3506183878</v>
        <stp/>
        <stp>BDP|9914356294841601240</stp>
        <tr r="BW13" s="5"/>
      </tp>
      <tp t="s">
        <v>#N/A N/A</v>
        <stp/>
        <stp>BDH|3954307972576270132</stp>
        <tr r="R10" s="2"/>
        <tr r="U10" s="2"/>
        <tr r="V10" s="2"/>
      </tp>
      <tp t="s">
        <v>#N/A Requesting Data...3239434168</v>
        <stp/>
        <stp>BDP|8626801951175758085</stp>
        <tr r="BK10" s="5"/>
      </tp>
      <tp t="s">
        <v>#N/A Requesting Data...3605714581</v>
        <stp/>
        <stp>BDP|7776577930938769987</stp>
        <tr r="AR13" s="5"/>
      </tp>
      <tp t="s">
        <v>#N/A Requesting Data...3377868250</v>
        <stp/>
        <stp>BDP|9149986186689590155</stp>
        <tr r="CM10" s="5"/>
      </tp>
      <tp t="s">
        <v>#N/A Requesting Data...3018307086</v>
        <stp/>
        <stp>BDP|7149296260462068144</stp>
        <tr r="AW6" s="5"/>
        <tr r="AW7" s="5"/>
      </tp>
      <tp t="s">
        <v>#N/A Requesting Data...3616646062</v>
        <stp/>
        <stp>BDP|3905064159675251380</stp>
        <tr r="BG9" s="5"/>
      </tp>
      <tp t="s">
        <v>#N/A Requesting Data...3521765313</v>
        <stp/>
        <stp>BDP|2248281123907701535</stp>
        <tr r="BS14" s="5"/>
      </tp>
      <tp t="s">
        <v>#N/A Requesting Data...3953771040</v>
        <stp/>
        <stp>BDP|9704771971911269807</stp>
        <tr r="BW10" s="5"/>
      </tp>
      <tp t="s">
        <v>#N/A Requesting Data...3582151506</v>
        <stp/>
        <stp>BDP|8527909441774525107</stp>
        <tr r="CE11" s="5"/>
      </tp>
      <tp t="s">
        <v>#N/A Requesting Data...3326046787</v>
        <stp/>
        <stp>BDP|7674277974632097030</stp>
        <tr r="AN9" s="5"/>
      </tp>
      <tp t="s">
        <v>#N/A Requesting Data...3085335248</v>
        <stp/>
        <stp>BDP|3020319854606658342</stp>
        <tr r="AJ9" s="5"/>
      </tp>
      <tp t="s">
        <v>#N/A Requesting Data...4185437886</v>
        <stp/>
        <stp>BDP|4607369319281457795</stp>
        <tr r="AJ11" s="5"/>
      </tp>
      <tp t="s">
        <v>#N/A Requesting Data...4184787632</v>
        <stp/>
        <stp>BDP|5537521432941903281</stp>
        <tr r="BK11" s="5"/>
      </tp>
      <tp t="s">
        <v>#N/A Requesting Data...3688073941</v>
        <stp/>
        <stp>BDP|2515664366600755269</stp>
        <tr r="CY9" s="5"/>
      </tp>
      <tp t="s">
        <v>#N/A N/A</v>
        <stp/>
        <stp>BDH|3248312670024321351</stp>
        <tr r="X10" s="2"/>
      </tp>
    </main>
    <main first="bofaddin.rtdserver">
      <tp t="s">
        <v>#N/A Requesting Data...3673886627</v>
        <stp/>
        <stp>BQL|8026389726301006916</stp>
        <tr r="AD6" s="23"/>
      </tp>
      <tp t="s">
        <v>#N/A Requesting Data...3558775065</v>
        <stp/>
        <stp>BQL|8835774060490602878</stp>
        <tr r="O8" s="23"/>
      </tp>
      <tp t="s">
        <v>#N/A N/A</v>
        <stp/>
        <stp>BQL|1280803525992651889</stp>
        <tr r="AE11" s="23"/>
      </tp>
      <tp t="s">
        <v>#N/A N/A</v>
        <stp/>
        <stp>BQL|7845906042948578373</stp>
        <tr r="E11" s="23"/>
      </tp>
      <tp t="s">
        <v>#N/A N/A</v>
        <stp/>
        <stp>BQL|2369671077096064465</stp>
        <tr r="J100" s="26"/>
      </tp>
      <tp t="s">
        <v>#N/A N/A</v>
        <stp/>
        <stp>BQL|4812165364615384792</stp>
        <tr r="AM116" s="26"/>
      </tp>
      <tp t="s">
        <v>#N/A Requesting Data...3860710025</v>
        <stp/>
        <stp>BDP|2886346108930433094</stp>
        <tr r="BS13" s="5"/>
      </tp>
      <tp t="s">
        <v>#N/A Requesting Data...4223307690</v>
        <stp/>
        <stp>BDP|8601011175247881956</stp>
        <tr r="BK14" s="5"/>
      </tp>
      <tp t="s">
        <v>#N/A Requesting Data...4289015852</v>
        <stp/>
        <stp>BDP|2703148258672090567</stp>
        <tr r="C12" s="6"/>
        <tr r="C12" s="28"/>
        <tr r="C12" s="29"/>
        <tr r="C12" s="31"/>
        <tr r="G2" s="3"/>
      </tp>
      <tp t="s">
        <v>#N/A Requesting Data...3869356369</v>
        <stp/>
        <stp>BDP|8065302394345294647</stp>
        <tr r="CW10" s="5"/>
      </tp>
      <tp t="s">
        <v>#N/A Requesting Data...3042344714</v>
        <stp/>
        <stp>BDP|4898268344480990305</stp>
        <tr r="BM14" s="5"/>
      </tp>
      <tp t="s">
        <v>#N/A Requesting Data...3321111102</v>
        <stp/>
        <stp>BDP|4967791776843559603</stp>
        <tr r="V6" s="2"/>
      </tp>
      <tp t="s">
        <v>#N/A Requesting Data...3254990492</v>
        <stp/>
        <stp>BDP|6499124650466089554</stp>
        <tr r="BQ6" s="5"/>
        <tr r="BQ7" s="5"/>
      </tp>
      <tp t="s">
        <v>#N/A Requesting Data...3641033539</v>
        <stp/>
        <stp>BDP|3842746272346921468</stp>
        <tr r="C33" s="3"/>
      </tp>
      <tp t="s">
        <v>#N/A Requesting Data...4291986587</v>
        <stp/>
        <stp>BDP|7761537424066399723</stp>
        <tr r="CY13" s="5"/>
      </tp>
      <tp t="s">
        <v>#N/A Requesting Data...3704082721</v>
        <stp/>
        <stp>BDP|1129327005230959388</stp>
        <tr r="CK14" s="5"/>
      </tp>
    </main>
    <main first="bofaddin.rtdserver">
      <tp t="s">
        <v>#N/A N/A</v>
        <stp/>
        <stp>BQL|6299493819015611492</stp>
        <tr r="AF116" s="26"/>
      </tp>
      <tp t="s">
        <v>#N/A N/A</v>
        <stp/>
        <stp>BQL|8332950944387058085</stp>
        <tr r="AA116" s="26"/>
      </tp>
      <tp t="s">
        <v>#N/A Requesting Data...3798273781</v>
        <stp/>
        <stp>BQL|8211235403358858008</stp>
        <tr r="AE6" s="23"/>
      </tp>
      <tp t="s">
        <v>#N/A N/A</v>
        <stp/>
        <stp>BQL|7009489066333908404</stp>
        <tr r="AI11" s="23"/>
      </tp>
      <tp t="s">
        <v>#N/A Requesting Data...3795541602</v>
        <stp/>
        <stp>BQL|7859777294799023299</stp>
        <tr r="R8" s="23"/>
      </tp>
      <tp t="s">
        <v>#N/A Requesting Data...3350758309</v>
        <stp/>
        <stp>BQL|6311940193213553707</stp>
        <tr r="T8" s="23"/>
      </tp>
      <tp t="s">
        <v>#N/A Requesting Data...3812932186</v>
        <stp/>
        <stp>BDP|1715341081368937000</stp>
        <tr r="CE13" s="5"/>
      </tp>
      <tp t="s">
        <v>#N/A Requesting Data...3956511982</v>
        <stp/>
        <stp>BDP|5318683907895723428</stp>
        <tr r="AY12" s="5"/>
      </tp>
      <tp t="s">
        <v>#N/A Requesting Data...3292909193</v>
        <stp/>
        <stp>BDP|2223138201340975108</stp>
        <tr r="S5" s="2"/>
      </tp>
      <tp t="s">
        <v>#N/A Requesting Data...4216286705</v>
        <stp/>
        <stp>BDP|4037731803601899041</stp>
        <tr r="BC14" s="5"/>
      </tp>
      <tp t="s">
        <v>#N/A Requesting Data...3973632770</v>
        <stp/>
        <stp>BDP|5765785762291538740</stp>
        <tr r="CQ10" s="5"/>
      </tp>
      <tp t="s">
        <v>#N/A Requesting Data...3163148741</v>
        <stp/>
        <stp>BDP|2700238708600374227</stp>
        <tr r="BQ12" s="5"/>
      </tp>
      <tp t="s">
        <v>#N/A Requesting Data...4249837210</v>
        <stp/>
        <stp>BDP|8284632637179250677</stp>
        <tr r="CK10" s="5"/>
      </tp>
      <tp t="s">
        <v>#N/A Requesting Data...3330731868</v>
        <stp/>
        <stp>BDP|2605039283998179046</stp>
        <tr r="CG12" s="5"/>
      </tp>
      <tp t="s">
        <v>#N/A Requesting Data...3684048801</v>
        <stp/>
        <stp>BDP|1972116941207874122</stp>
        <tr r="DA11" s="5"/>
      </tp>
      <tp t="s">
        <v>#N/A Requesting Data...3753581446</v>
        <stp/>
        <stp>BDP|3606180147382936603</stp>
        <tr r="CK9" s="5"/>
      </tp>
      <tp t="s">
        <v>#N/A Requesting Data...3132521839</v>
        <stp/>
        <stp>BDP|4879192724677057251</stp>
        <tr r="CO14" s="5"/>
      </tp>
      <tp t="s">
        <v>#N/A Requesting Data...3327899951</v>
        <stp/>
        <stp>BDP|1860168191303168881</stp>
        <tr r="AN13" s="5"/>
      </tp>
      <tp t="s">
        <v>#N/A Requesting Data...4134026623</v>
        <stp/>
        <stp>BDP|2972503276131185391</stp>
        <tr r="CI6" s="5"/>
        <tr r="CI7" s="5"/>
      </tp>
      <tp t="s">
        <v>#N/A Requesting Data...4063692895</v>
        <stp/>
        <stp>BDP|6596069356252033314</stp>
        <tr r="AW12" s="5"/>
      </tp>
    </main>
    <main first="bofaddin.rtdserver">
      <tp t="s">
        <v>#N/A Requesting Data...3295400341</v>
        <stp/>
        <stp>BQL|4975302569993248100</stp>
        <tr r="D8" s="23"/>
      </tp>
      <tp t="s">
        <v>#N/A N/A</v>
        <stp/>
        <stp>BQL|5881284141058106811</stp>
        <tr r="W100" s="26"/>
      </tp>
      <tp t="s">
        <v>#N/A Requesting Data...3283379577</v>
        <stp/>
        <stp>BDP|8112087657768793638</stp>
        <tr r="CM6" s="5"/>
        <tr r="CM7" s="5"/>
      </tp>
      <tp t="s">
        <v>#N/A Requesting Data...4283010635</v>
        <stp/>
        <stp>BDP|4478665367116521199</stp>
        <tr r="BI6" s="5"/>
        <tr r="BI7" s="5"/>
      </tp>
      <tp t="s">
        <v>#N/A Requesting Data...3156817265</v>
        <stp/>
        <stp>BDP|5205976633008886473</stp>
        <tr r="BK9" s="5"/>
      </tp>
      <tp t="s">
        <v>#N/A Requesting Data...3873331557</v>
        <stp/>
        <stp>BDP|9989907475502395664</stp>
        <tr r="BC9" s="5"/>
      </tp>
      <tp t="s">
        <v>#N/A Requesting Data...4244642647</v>
        <stp/>
        <stp>BDP|2333060690271985904</stp>
        <tr r="AS9" s="5"/>
      </tp>
      <tp t="s">
        <v>#N/A Requesting Data...4041849709</v>
        <stp/>
        <stp>BDP|9555154837151866931</stp>
        <tr r="BY10" s="5"/>
      </tp>
      <tp t="s">
        <v>#N/A Requesting Data...3865576207</v>
        <stp/>
        <stp>BDP|8344395699338769961</stp>
        <tr r="Z6" s="2"/>
      </tp>
      <tp t="s">
        <v>#N/A Requesting Data...4199700187</v>
        <stp/>
        <stp>BDP|2062612537770038450</stp>
        <tr r="CU9" s="5"/>
      </tp>
      <tp t="s">
        <v>#N/A Requesting Data...3971976824</v>
        <stp/>
        <stp>BDP|3049790060234048580</stp>
        <tr r="BW9" s="5"/>
      </tp>
      <tp t="s">
        <v>#N/A Requesting Data...4214446855</v>
        <stp/>
        <stp>BDP|1997469436432893766</stp>
        <tr r="CM14" s="5"/>
      </tp>
      <tp t="s">
        <v>#N/A Requesting Data...4230935363</v>
        <stp/>
        <stp>BDP|4270221659985946552</stp>
        <tr r="AP9" s="5"/>
      </tp>
      <tp t="s">
        <v>#N/A Requesting Data...3961529886</v>
        <stp/>
        <stp>BDP|9587335779318276686</stp>
        <tr r="BQ10" s="5"/>
      </tp>
    </main>
    <main first="bofaddin.rtdserver">
      <tp t="s">
        <v>#N/A N/A</v>
        <stp/>
        <stp>BQL.QUERY|10511111672662435966</stp>
        <tr r="AC422" s="2"/>
      </tp>
      <tp t="s">
        <v>#N/A N/A</v>
        <stp/>
        <stp>BQL.QUERY|17072924940665234262</stp>
        <tr r="I366" s="2"/>
      </tp>
      <tp t="s">
        <v>#N/A N/A</v>
        <stp/>
        <stp>BQL.QUERY|14368523144658203018</stp>
        <tr r="R407" s="2"/>
      </tp>
      <tp t="s">
        <v>#N/A N/A</v>
        <stp/>
        <stp>BQL.QUERY|18117044690554314816</stp>
        <tr r="R419" s="2"/>
      </tp>
      <tp t="s">
        <v>#N/A N/A</v>
        <stp/>
        <stp>BQL.QUERY|17744868260281595535</stp>
        <tr r="V381" s="2"/>
      </tp>
      <tp t="s">
        <v>#N/A N/A</v>
        <stp/>
        <stp>BQL.QUERY|12249713495286643772</stp>
        <tr r="Q419" s="2"/>
      </tp>
      <tp t="s">
        <v>#N/A N/A</v>
        <stp/>
        <stp>BQL.QUERY|17421775642131690876</stp>
        <tr r="W370" s="2"/>
      </tp>
      <tp t="s">
        <v>#N/A N/A</v>
        <stp/>
        <stp>BQL.QUERY|18269379638445556096</stp>
        <tr r="P411" s="2"/>
      </tp>
      <tp t="s">
        <v>#N/A N/A</v>
        <stp/>
        <stp>BQL.QUERY|13546364928508152787</stp>
        <tr r="N345" s="2"/>
      </tp>
      <tp t="s">
        <v>#N/A N/A</v>
        <stp/>
        <stp>BQL.QUERY|11664682183650568256</stp>
        <tr r="R414" s="2"/>
      </tp>
      <tp t="s">
        <v>#N/A N/A</v>
        <stp/>
        <stp>BQL.QUERY|10993352171628064108</stp>
        <tr r="V337" s="2"/>
      </tp>
      <tp t="s">
        <v>#N/A N/A</v>
        <stp/>
        <stp>BQL.QUERY|10852465347378673516</stp>
        <tr r="L373" s="2"/>
      </tp>
      <tp t="s">
        <v>#N/A N/A</v>
        <stp/>
        <stp>BQL.QUERY|11446821348232141271</stp>
        <tr r="AD341" s="2"/>
      </tp>
      <tp t="s">
        <v>#N/A N/A</v>
        <stp/>
        <stp>BQL.QUERY|15627185726938683377</stp>
        <tr r="U341" s="2"/>
      </tp>
      <tp t="s">
        <v>#N/A N/A</v>
        <stp/>
        <stp>BQL.QUERY|16186309363836329882</stp>
        <tr r="U337" s="2"/>
      </tp>
      <tp t="s">
        <v>#N/A N/A</v>
        <stp/>
        <stp>BQL.QUERY|15759235789237249543</stp>
        <tr r="P404" s="2"/>
      </tp>
      <tp t="s">
        <v>#N/A N/A</v>
        <stp/>
        <stp>BQL.QUERY|13317298861949150318</stp>
        <tr r="AC345" s="2"/>
      </tp>
      <tp t="s">
        <v>#N/A N/A</v>
        <stp/>
        <stp>BQL.QUERY|10670245881030475640</stp>
        <tr r="U422" s="2"/>
      </tp>
      <tp t="s">
        <v>#N/A N/A</v>
        <stp/>
        <stp>BQL.QUERY|11441394569249359145</stp>
        <tr r="Q349" s="2"/>
      </tp>
      <tp t="s">
        <v>#N/A N/A</v>
        <stp/>
        <stp>BQL.QUERY|16980609032359391676</stp>
        <tr r="AG425" s="2"/>
      </tp>
      <tp t="s">
        <v>#N/A N/A</v>
        <stp/>
        <stp>BQL.QUERY|14975801924216419435</stp>
        <tr r="N381" s="2"/>
      </tp>
      <tp t="s">
        <v>#N/A N/A</v>
        <stp/>
        <stp>BQL.QUERY|16612598287771880544</stp>
        <tr r="AF377" s="2"/>
      </tp>
      <tp t="s">
        <v>#N/A N/A</v>
        <stp/>
        <stp>BQL.QUERY|14228358692850887191</stp>
        <tr r="I401" s="2"/>
      </tp>
      <tp t="s">
        <v>#N/A N/A</v>
        <stp/>
        <stp>BQL.QUERY|15195903526388083917</stp>
        <tr r="L345" s="2"/>
      </tp>
      <tp t="s">
        <v>#N/A N/A</v>
        <stp/>
        <stp>BQL.QUERY|15182379472738542678</stp>
        <tr r="AC414" s="2"/>
      </tp>
      <tp t="s">
        <v>#N/A N/A</v>
        <stp/>
        <stp>BQL.QUERY|11686237930588726740</stp>
        <tr r="L337" s="2"/>
      </tp>
      <tp t="s">
        <v>#N/A N/A</v>
        <stp/>
        <stp>BQL.QUERY|10890642317998478088</stp>
        <tr r="H353" s="2"/>
      </tp>
      <tp t="s">
        <v>#N/A N/A</v>
        <stp/>
        <stp>BQL.QUERY|11582859046387524548</stp>
        <tr r="I341" s="2"/>
      </tp>
      <tp t="s">
        <v>#N/A N/A</v>
        <stp/>
        <stp>BQL.QUERY|12859485417939022175</stp>
        <tr r="AF404" s="2"/>
      </tp>
      <tp t="s">
        <v>#N/A N/A</v>
        <stp/>
        <stp>BQL.QUERY|17365725350978317226</stp>
        <tr r="W401" s="2"/>
      </tp>
      <tp t="s">
        <v>#N/A N/A</v>
        <stp/>
        <stp>BQL.QUERY|15189976471404296092</stp>
        <tr r="AF385" s="2"/>
      </tp>
      <tp t="s">
        <v>#N/A N/A</v>
        <stp/>
        <stp>BQL.QUERY|16809335485377608554</stp>
        <tr r="U401" s="2"/>
      </tp>
      <tp t="s">
        <v>#N/A N/A</v>
        <stp/>
        <stp>BQL.QUERY|16551135828042386831</stp>
        <tr r="R349" s="2"/>
      </tp>
      <tp t="s">
        <v>#N/A N/A</v>
        <stp/>
        <stp>BQL.QUERY|13981134697566286207</stp>
        <tr r="R337" s="2"/>
      </tp>
      <tp t="s">
        <v>#N/A N/A</v>
        <stp/>
        <stp>BQL.QUERY|15127462774099500090</stp>
        <tr r="AD404" s="2"/>
      </tp>
      <tp t="s">
        <v>#N/A N/A</v>
        <stp/>
        <stp>BQL.QUERY|17631733039344700838</stp>
        <tr r="AG407" s="2"/>
      </tp>
      <tp t="s">
        <v>#N/A N/A</v>
        <stp/>
        <stp>BQL.QUERY|17171530408708414555</stp>
        <tr r="AD414" s="2"/>
      </tp>
      <tp t="s">
        <v>#N/A N/A</v>
        <stp/>
        <stp>BQL.QUERY|12956405959555149851</stp>
        <tr r="R353" s="2"/>
      </tp>
      <tp t="s">
        <v>#N/A N/A</v>
        <stp/>
        <stp>BQL.QUERY|11039944215862066557</stp>
        <tr r="G422" s="2"/>
      </tp>
      <tp t="s">
        <v>#N/A N/A</v>
        <stp/>
        <stp>BQL.QUERY|12029850905977035345</stp>
        <tr r="T395" s="2"/>
      </tp>
      <tp t="s">
        <v>#N/A N/A</v>
        <stp/>
        <stp>BQL.QUERY|15545939055407599030</stp>
        <tr r="U381" s="2"/>
      </tp>
      <tp t="s">
        <v>#N/A N/A</v>
        <stp/>
        <stp>BQL.QUERY|11332713697447211609</stp>
        <tr r="Q414" s="2"/>
      </tp>
      <tp t="s">
        <v>#N/A N/A</v>
        <stp/>
        <stp>BQL.QUERY|10174965087387913882</stp>
        <tr r="AE349" s="2"/>
      </tp>
      <tp t="s">
        <v>#N/A N/A</v>
        <stp/>
        <stp>BQL.QUERY|12746666639191237897</stp>
        <tr r="Y357" s="2"/>
      </tp>
      <tp t="s">
        <v>#N/A N/A</v>
        <stp/>
        <stp>BQL.QUERY|17023287287317110418</stp>
        <tr r="V341" s="2"/>
      </tp>
      <tp t="s">
        <v>#N/A N/A</v>
        <stp/>
        <stp>BQL.QUERY|17593842951723295785</stp>
        <tr r="X373" s="2"/>
      </tp>
      <tp t="s">
        <v>#N/A N/A</v>
        <stp/>
        <stp>BQL.QUERY|17513105640279653580</stp>
        <tr r="Z404" s="2"/>
      </tp>
      <tp t="s">
        <v>#N/A N/A</v>
        <stp/>
        <stp>BQL.QUERY|12396906638056131014</stp>
        <tr r="AG357" s="2"/>
      </tp>
      <tp t="s">
        <v>#N/A N/A</v>
        <stp/>
        <stp>BQL.QUERY|13677558969061872873</stp>
        <tr r="U357" s="2"/>
      </tp>
      <tp t="s">
        <v>#N/A N/A</v>
        <stp/>
        <stp>BQL.QUERY|15118395958759624306</stp>
        <tr r="AC341" s="2"/>
      </tp>
      <tp t="s">
        <v>#N/A N/A</v>
        <stp/>
        <stp>BQL.QUERY|13267853970187972299</stp>
        <tr r="AE411" s="2"/>
      </tp>
      <tp t="s">
        <v>#N/A N/A</v>
        <stp/>
        <stp>BQL.QUERY|15982398093455200339</stp>
        <tr r="P337" s="2"/>
      </tp>
      <tp t="s">
        <v>#N/A N/A</v>
        <stp/>
        <stp>BQL.QUERY|12977753596093053667</stp>
        <tr r="Q357" s="2"/>
      </tp>
      <tp t="s">
        <v>#N/A N/A</v>
        <stp/>
        <stp>BQL.QUERY|13559503181000105794</stp>
        <tr r="M341" s="2"/>
      </tp>
      <tp t="s">
        <v>#N/A N/A</v>
        <stp/>
        <stp>BQL.QUERY|13572784162622170904</stp>
        <tr r="Y404" s="2"/>
      </tp>
      <tp t="s">
        <v>#N/A N/A</v>
        <stp/>
        <stp>BQL.QUERY|18239169997030266990</stp>
        <tr r="AB422" s="2"/>
      </tp>
      <tp t="s">
        <v>#N/A N/A</v>
        <stp/>
        <stp>BQL.QUERY|14538415864456171981</stp>
        <tr r="Q404" s="2"/>
      </tp>
      <tp t="s">
        <v>#N/A N/A</v>
        <stp/>
        <stp>BQL.QUERY|10812080535182560895</stp>
        <tr r="V377" s="2"/>
      </tp>
      <tp t="s">
        <v>#N/A N/A</v>
        <stp/>
        <stp>BQL.QUERY|16860776293573434217</stp>
        <tr r="G349" s="2"/>
      </tp>
      <tp t="s">
        <v>#N/A N/A</v>
        <stp/>
        <stp>BQL.QUERY|15877765913313393946</stp>
        <tr r="X401" s="2"/>
      </tp>
      <tp t="s">
        <v>#N/A N/A</v>
        <stp/>
        <stp>BQL.QUERY|13180884311233301015</stp>
        <tr r="S353" s="2"/>
      </tp>
      <tp t="s">
        <v>#N/A N/A</v>
        <stp/>
        <stp>BQL.QUERY|14801181115008925568</stp>
        <tr r="AA349" s="2"/>
      </tp>
      <tp t="s">
        <v>#N/A N/A</v>
        <stp/>
        <stp>BQL.QUERY|10351759418198295681</stp>
        <tr r="G361" s="2"/>
      </tp>
      <tp t="s">
        <v>#N/A N/A</v>
        <stp/>
        <stp>BQL.QUERY|12477548715468146638</stp>
        <tr r="H404" s="2"/>
      </tp>
      <tp t="s">
        <v>#N/A N/A</v>
        <stp/>
        <stp>BQL.QUERY|16520431487243889193</stp>
        <tr r="G385" s="2"/>
      </tp>
      <tp t="s">
        <v>#N/A N/A</v>
        <stp/>
        <stp>BQL.QUERY|10446410161129176363</stp>
        <tr r="AA357" s="2"/>
      </tp>
      <tp t="s">
        <v>#N/A N/A</v>
        <stp/>
        <stp>BQL.QUERY|11319980337780793371</stp>
        <tr r="S381" s="2"/>
      </tp>
      <tp t="s">
        <v>#N/A N/A</v>
        <stp/>
        <stp>BQL.QUERY|17517796753858939592</stp>
        <tr r="AA377" s="2"/>
      </tp>
      <tp t="s">
        <v>#N/A N/A</v>
        <stp/>
        <stp>BQL.QUERY|13820500699883882418</stp>
        <tr r="Q401" s="2"/>
      </tp>
      <tp t="s">
        <v>#N/A N/A</v>
        <stp/>
        <stp>BQL.QUERY|13985136633569214020</stp>
        <tr r="I407" s="2"/>
      </tp>
      <tp t="s">
        <v>#N/A N/A</v>
        <stp/>
        <stp>BQL.QUERY|11017398107813058940</stp>
        <tr r="U345" s="2"/>
      </tp>
      <tp t="s">
        <v>#N/A N/A</v>
        <stp/>
        <stp>BQL.QUERY|15588563394317209518</stp>
        <tr r="AB361" s="2"/>
      </tp>
      <tp t="s">
        <v>#N/A N/A</v>
        <stp/>
        <stp>BQL.QUERY|17678534270488487643</stp>
        <tr r="W407" s="2"/>
      </tp>
      <tp t="s">
        <v>#N/A N/A</v>
        <stp/>
        <stp>BQL.QUERY|15281873337251241479</stp>
        <tr r="Z401" s="2"/>
      </tp>
      <tp t="s">
        <v>#N/A N/A</v>
        <stp/>
        <stp>BQL.QUERY|14268151773880256919</stp>
        <tr r="AE377" s="2"/>
      </tp>
      <tp t="s">
        <v>#N/A N/A</v>
        <stp/>
        <stp>BQL.QUERY|14208558788521993314</stp>
        <tr r="P377" s="2"/>
      </tp>
      <tp t="s">
        <v>#N/A N/A</v>
        <stp/>
        <stp>BQL.QUERY|10876110628021131908</stp>
        <tr r="U407" s="2"/>
      </tp>
      <tp t="s">
        <v>#N/A N/A</v>
        <stp/>
        <stp>BQL.QUERY|16276112898154246186</stp>
        <tr r="M377" s="2"/>
      </tp>
      <tp t="s">
        <v>#N/A N/A</v>
        <stp/>
        <stp>BQL.QUERY|17930803175312919167</stp>
        <tr r="Z366" s="2"/>
      </tp>
      <tp t="s">
        <v>#N/A N/A</v>
        <stp/>
        <stp>BQL.QUERY|15048071792696646104</stp>
        <tr r="AC366" s="2"/>
      </tp>
      <tp t="s">
        <v>#N/A N/A</v>
        <stp/>
        <stp>BQL.QUERY|14656759461177538947</stp>
        <tr r="Y353" s="2"/>
      </tp>
      <tp t="s">
        <v>#N/A N/A</v>
        <stp/>
        <stp>BQL.QUERY|13330849319808082936</stp>
        <tr r="AE341" s="2"/>
      </tp>
      <tp t="s">
        <v>#N/A N/A</v>
        <stp/>
        <stp>BQL.QUERY|15298982664807948684</stp>
        <tr r="M353" s="2"/>
      </tp>
      <tp t="s">
        <v>#N/A N/A</v>
        <stp/>
        <stp>BQL.QUERY|14194394062582268875</stp>
        <tr r="W366" s="2"/>
      </tp>
      <tp t="s">
        <v>#N/A N/A</v>
        <stp/>
        <stp>BQL.QUERY|16768532829953149949</stp>
        <tr r="T377" s="2"/>
      </tp>
      <tp t="s">
        <v>#N/A N/A</v>
        <stp/>
        <stp>BQL.QUERY|12300367138791044844</stp>
        <tr r="P341" s="2"/>
      </tp>
      <tp t="s">
        <v>#N/A N/A</v>
        <stp/>
        <stp>BQL.QUERY|14003076787737254106</stp>
        <tr r="N414" s="2"/>
      </tp>
      <tp t="s">
        <v>#N/A N/A</v>
        <stp/>
        <stp>BQL.QUERY|17682224841018439337</stp>
        <tr r="T404" s="2"/>
      </tp>
      <tp t="s">
        <v>#N/A N/A</v>
        <stp/>
        <stp>BQL.QUERY|10848941680128771373</stp>
        <tr r="U361" s="2"/>
      </tp>
      <tp t="s">
        <v>#N/A N/A</v>
        <stp/>
        <stp>BQL.QUERY|14824536391334228644</stp>
        <tr r="U419" s="2"/>
      </tp>
      <tp t="s">
        <v>#N/A N/A</v>
        <stp/>
        <stp>BQL.QUERY|17207872250917039781</stp>
        <tr r="I404" s="2"/>
      </tp>
      <tp t="s">
        <v>#N/A N/A</v>
        <stp/>
        <stp>BQL.QUERY|16652417612981885831</stp>
        <tr r="Q377" s="2"/>
      </tp>
      <tp t="s">
        <v>#N/A N/A</v>
        <stp/>
        <stp>BQL.QUERY|11782584809166017899</stp>
        <tr r="G425" s="2"/>
      </tp>
      <tp t="s">
        <v>#N/A N/A</v>
        <stp/>
        <stp>BQL.QUERY|16132099383542661646</stp>
        <tr r="AF345" s="2"/>
      </tp>
      <tp t="s">
        <v>#N/A N/A</v>
        <stp/>
        <stp>BQL.QUERY|16582794727769469059</stp>
        <tr r="S366" s="2"/>
      </tp>
      <tp t="s">
        <v>#N/A N/A</v>
        <stp/>
        <stp>BQL.QUERY|14157215962109152388</stp>
        <tr r="Y361" s="2"/>
      </tp>
      <tp t="s">
        <v>#N/A N/A</v>
        <stp/>
        <stp>BQL.QUERY|13839571255728299134</stp>
        <tr r="L366" s="2"/>
      </tp>
      <tp t="s">
        <v>#N/A N/A</v>
        <stp/>
        <stp>BQL.QUERY|18136180920395114438</stp>
        <tr r="AD361" s="2"/>
      </tp>
      <tp t="s">
        <v>#N/A N/A</v>
        <stp/>
        <stp>BQL.QUERY|10059731816074113716</stp>
        <tr r="H337" s="2"/>
      </tp>
      <tp t="s">
        <v>#N/A N/A</v>
        <stp/>
        <stp>BQL.QUERY|16534319972472739540</stp>
        <tr r="Y391" s="2"/>
      </tp>
      <tp t="s">
        <v>#N/A N/A</v>
        <stp/>
        <stp>BQL.QUERY|12317118172411432026</stp>
        <tr r="Z422" s="2"/>
      </tp>
      <tp t="s">
        <v>#N/A N/A</v>
        <stp/>
        <stp>BQL.QUERY|14502708643500117261</stp>
        <tr r="W349" s="2"/>
      </tp>
      <tp t="s">
        <v>#N/A N/A</v>
        <stp/>
        <stp>BQL.QUERY|16436973087666161476</stp>
        <tr r="R345" s="2"/>
      </tp>
      <tp t="s">
        <v>#N/A N/A</v>
        <stp/>
        <stp>BQL.QUERY|10629309030004338174</stp>
        <tr r="W337" s="2"/>
      </tp>
      <tp t="s">
        <v>#N/A N/A</v>
        <stp/>
        <stp>BQL.QUERY|15311560819904876078</stp>
        <tr r="AA370" s="2"/>
      </tp>
      <tp t="s">
        <v>#N/A N/A</v>
        <stp/>
        <stp>BQL.QUERY|10985834529378822763</stp>
        <tr r="I422" s="2"/>
      </tp>
      <tp t="s">
        <v>#N/A N/A</v>
        <stp/>
        <stp>BQL.QUERY|13499622057582613796</stp>
        <tr r="G345" s="2"/>
      </tp>
      <tp t="s">
        <v>#N/A N/A</v>
        <stp/>
        <stp>BQL.QUERY|14806817281533484249</stp>
        <tr r="G411" s="2"/>
      </tp>
      <tp t="s">
        <v>#N/A N/A</v>
        <stp/>
        <stp>BQL.QUERY|10220086096524348864</stp>
        <tr r="AF370" s="2"/>
      </tp>
      <tp t="s">
        <v>#N/A N/A</v>
        <stp/>
        <stp>BQL.QUERY|10430698066396631345</stp>
        <tr r="AE370" s="2"/>
      </tp>
      <tp t="s">
        <v>#N/A N/A</v>
        <stp/>
        <stp>BQL.QUERY|13556688317286290718</stp>
        <tr r="V385" s="2"/>
      </tp>
      <tp t="s">
        <v>#N/A N/A</v>
        <stp/>
        <stp>BQL.QUERY|11678790836704151425</stp>
        <tr r="AE425" s="2"/>
      </tp>
      <tp t="s">
        <v>#N/A N/A</v>
        <stp/>
        <stp>BQL.QUERY|11587454703182124282</stp>
        <tr r="N337" s="2"/>
      </tp>
      <tp t="s">
        <v>#N/A N/A</v>
        <stp/>
        <stp>BQL.QUERY|10671193735847970093</stp>
        <tr r="AA341" s="2"/>
      </tp>
      <tp t="s">
        <v>#N/A N/A</v>
        <stp/>
        <stp>BQL.QUERY|17347547768005431402</stp>
        <tr r="AC411" s="2"/>
      </tp>
      <tp t="s">
        <v>#N/A N/A</v>
        <stp/>
        <stp>BQL.QUERY|17807883594786867579</stp>
        <tr r="L349" s="2"/>
      </tp>
      <tp t="s">
        <v>#N/A N/A</v>
        <stp/>
        <stp>BQL.QUERY|15999689437153722745</stp>
        <tr r="X385" s="2"/>
      </tp>
      <tp t="s">
        <v>#N/A N/A</v>
        <stp/>
        <stp>BQL.QUERY|17114232967900918798</stp>
        <tr r="AD357" s="2"/>
      </tp>
      <tp t="s">
        <v>#N/A N/A</v>
        <stp/>
        <stp>BQL.QUERY|11635011412917794345</stp>
        <tr r="X370" s="2"/>
      </tp>
      <tp t="s">
        <v>#N/A N/A</v>
        <stp/>
        <stp>BQL.QUERY|17929683935832354415</stp>
        <tr r="V411" s="2"/>
      </tp>
      <tp t="s">
        <v>#N/A N/A</v>
        <stp/>
        <stp>BQL.QUERY|12499136976185107508</stp>
        <tr r="H401" s="2"/>
      </tp>
      <tp t="s">
        <v>#N/A N/A</v>
        <stp/>
        <stp>BQL.QUERY|17565278437040035254</stp>
        <tr r="I349" s="2"/>
      </tp>
      <tp t="s">
        <v>#N/A N/A</v>
        <stp/>
        <stp>BQL.QUERY|10853072279072092167</stp>
        <tr r="X361" s="2"/>
      </tp>
      <tp t="s">
        <v>#N/A N/A</v>
        <stp/>
        <stp>BQL.QUERY|14131345651362431411</stp>
        <tr r="AD370" s="2"/>
      </tp>
      <tp t="s">
        <v>#N/A N/A</v>
        <stp/>
        <stp>BQL.QUERY|13147334335931002643</stp>
        <tr r="W377" s="2"/>
      </tp>
      <tp t="s">
        <v>#N/A N/A</v>
        <stp/>
        <stp>BQL.QUERY|14783017760955157399</stp>
        <tr r="I357" s="2"/>
      </tp>
      <tp t="s">
        <v>#N/A N/A</v>
        <stp/>
        <stp>BQL.QUERY|11146521945075875154</stp>
        <tr r="AG422" s="2"/>
      </tp>
      <tp t="s">
        <v>#N/A N/A</v>
        <stp/>
        <stp>BQL.QUERY|14496177516922773166</stp>
        <tr r="AG361" s="2"/>
      </tp>
      <tp t="s">
        <v>#N/A N/A</v>
        <stp/>
        <stp>BQL.QUERY|16468530767913162154</stp>
        <tr r="AA385" s="2"/>
      </tp>
      <tp t="s">
        <v>#N/A N/A</v>
        <stp/>
        <stp>BQL.QUERY|13581107953539109915</stp>
        <tr r="R422" s="2"/>
      </tp>
      <tp t="s">
        <v>#N/A N/A</v>
        <stp/>
        <stp>BQL.QUERY|10921672913247221781</stp>
        <tr r="AE366" s="2"/>
      </tp>
      <tp t="s">
        <v>#N/A N/A</v>
        <stp/>
        <stp>BQL.QUERY|13995181159011995104</stp>
        <tr r="G419" s="2"/>
      </tp>
      <tp t="s">
        <v>#N/A N/A</v>
        <stp/>
        <stp>BQL.QUERY|17656459922541695749</stp>
        <tr r="P361" s="2"/>
      </tp>
      <tp t="s">
        <v>#N/A N/A</v>
        <stp/>
        <stp>BQL.QUERY|15387199739465711584</stp>
        <tr r="Z425" s="2"/>
      </tp>
      <tp t="s">
        <v>#N/A N/A</v>
        <stp/>
        <stp>BQL.QUERY|11344242877383879067</stp>
        <tr r="I377" s="2"/>
      </tp>
      <tp t="s">
        <v>#N/A N/A</v>
        <stp/>
        <stp>BQL.QUERY|17101303569744444132</stp>
        <tr r="Z345" s="2"/>
      </tp>
      <tp t="s">
        <v>#N/A N/A</v>
        <stp/>
        <stp>BQL.QUERY|12462620436789770988</stp>
        <tr r="G401" s="2"/>
      </tp>
      <tp t="s">
        <v>#N/A N/A</v>
        <stp/>
        <stp>BQL.QUERY|14229958992825523685</stp>
        <tr r="G357" s="2"/>
      </tp>
      <tp t="s">
        <v>#N/A N/A</v>
        <stp/>
        <stp>BQL.QUERY|16909504753324002501</stp>
        <tr r="R404" s="2"/>
      </tp>
      <tp t="s">
        <v>#N/A N/A</v>
        <stp/>
        <stp>BQL.QUERY|10100362569735047742</stp>
        <tr r="P422" s="2"/>
      </tp>
      <tp t="s">
        <v>#N/A N/A</v>
        <stp/>
        <stp>BQL.QUERY|17855715170263587285</stp>
        <tr r="V345" s="2"/>
      </tp>
      <tp t="s">
        <v>#N/A N/A</v>
        <stp/>
        <stp>BQL.QUERY|14747404853263038014</stp>
        <tr r="Z411" s="2"/>
      </tp>
      <tp t="s">
        <v>#N/A N/A</v>
        <stp/>
        <stp>BQL.QUERY|15222220894469743169</stp>
        <tr r="U385" s="2"/>
      </tp>
      <tp t="s">
        <v>#N/A N/A</v>
        <stp/>
        <stp>BQL.QUERY|16021273068123157787</stp>
        <tr r="AF349" s="2"/>
      </tp>
      <tp t="s">
        <v>#N/A N/A</v>
        <stp/>
        <stp>BQL.QUERY|11823729456034272180</stp>
        <tr r="V370" s="2"/>
      </tp>
      <tp t="s">
        <v>#N/A N/A</v>
        <stp/>
        <stp>BQL.QUERY|17173406864606456567</stp>
        <tr r="I353" s="2"/>
      </tp>
      <tp t="s">
        <v>#N/A N/A</v>
        <stp/>
        <stp>BQL.QUERY|11385125152277206414</stp>
        <tr r="AA345" s="2"/>
      </tp>
      <tp t="s">
        <v>#N/A N/A</v>
        <stp/>
        <stp>BQL.QUERY|12097324931087599345</stp>
        <tr r="M422" s="2"/>
      </tp>
      <tp t="s">
        <v>#N/A N/A</v>
        <stp/>
        <stp>BQL.QUERY|12262697354431625655</stp>
        <tr r="S407" s="2"/>
      </tp>
      <tp t="s">
        <v>#N/A N/A</v>
        <stp/>
        <stp>BQL.QUERY|14848775144604122542</stp>
        <tr r="L341" s="2"/>
      </tp>
      <tp t="s">
        <v>#N/A N/A</v>
        <stp/>
        <stp>BQL.QUERY|12200845716809804475</stp>
        <tr r="N366" s="2"/>
      </tp>
      <tp t="s">
        <v>#N/A N/A</v>
        <stp/>
        <stp>BQL.QUERY|12954229564032765211</stp>
        <tr r="W404" s="2"/>
      </tp>
      <tp t="s">
        <v>#N/A N/A</v>
        <stp/>
        <stp>BQL.QUERY|14995535544627713402</stp>
        <tr r="H370" s="2"/>
      </tp>
      <tp t="s">
        <v>#N/A N/A</v>
        <stp/>
        <stp>BQL.QUERY|13603662671416455533</stp>
        <tr r="H361" s="2"/>
      </tp>
      <tp t="s">
        <v>#N/A N/A</v>
        <stp/>
        <stp>BQL.QUERY|15218927927308425757</stp>
        <tr r="Y341" s="2"/>
      </tp>
      <tp t="s">
        <v>#N/A N/A</v>
        <stp/>
        <stp>BQL.QUERY|16663648923414233751</stp>
        <tr r="P349" s="2"/>
      </tp>
      <tp t="s">
        <v>#N/A N/A</v>
        <stp/>
        <stp>BQL.QUERY|18042947773666316130</stp>
        <tr r="AD349" s="2"/>
      </tp>
      <tp t="s">
        <v>#N/A N/A</v>
        <stp/>
        <stp>BQL.QUERY|17054338836663345566</stp>
        <tr r="AC407" s="2"/>
      </tp>
      <tp t="s">
        <v>#N/A N/A</v>
        <stp/>
        <stp>BQL.QUERY|12553420467091010027</stp>
        <tr r="AC401" s="2"/>
      </tp>
      <tp t="s">
        <v>#N/A N/A</v>
        <stp/>
        <stp>BQL.QUERY|10735715824157987394</stp>
        <tr r="AF373" s="2"/>
      </tp>
      <tp t="s">
        <v>#N/A N/A</v>
        <stp/>
        <stp>BQL.QUERY|11183461348783937352</stp>
        <tr r="G353" s="2"/>
      </tp>
      <tp t="s">
        <v>#N/A N/A</v>
        <stp/>
        <stp>BQL.QUERY|10949563635155689200</stp>
        <tr r="L385" s="2"/>
      </tp>
      <tp t="s">
        <v>#N/A N/A</v>
        <stp/>
        <stp>BQL.QUERY|12624522683546870812</stp>
        <tr r="V401" s="2"/>
      </tp>
      <tp t="s">
        <v>#N/A N/A</v>
        <stp/>
        <stp>BQL.QUERY|12834738151355634427</stp>
        <tr r="AB370" s="2"/>
      </tp>
      <tp t="s">
        <v>#N/A N/A</v>
        <stp/>
        <stp>BQL.QUERY|12610638929272606525</stp>
        <tr r="Y425" s="2"/>
      </tp>
      <tp t="s">
        <v>#N/A N/A</v>
        <stp/>
        <stp>BQL.QUERY|11207985785469117873</stp>
        <tr r="W357" s="2"/>
      </tp>
      <tp t="s">
        <v>#N/A N/A</v>
        <stp/>
        <stp>BQL.QUERY|14216626422793846206</stp>
        <tr r="AA373" s="2"/>
      </tp>
      <tp t="s">
        <v>#N/A N/A</v>
        <stp/>
        <stp>BQL.QUERY|11337548468000593301</stp>
        <tr r="X407" s="2"/>
      </tp>
      <tp t="s">
        <v>#N/A N/A</v>
        <stp/>
        <stp>BQL.QUERY|16449716712372955350</stp>
        <tr r="V357" s="2"/>
      </tp>
      <tp t="s">
        <v>#N/A N/A</v>
        <stp/>
        <stp>BQL.QUERY|17440477445947512188</stp>
        <tr r="AE353" s="2"/>
      </tp>
      <tp t="s">
        <v>#N/A N/A</v>
        <stp/>
        <stp>BQL.QUERY|14497963164342398912</stp>
        <tr r="X345" s="2"/>
      </tp>
      <tp t="s">
        <v>#N/A N/A</v>
        <stp/>
        <stp>BQL.QUERY|11950052726395723694</stp>
        <tr r="T370" s="2"/>
      </tp>
      <tp t="s">
        <v>#N/A N/A</v>
        <stp/>
        <stp>BQL.QUERY|17025148843422496065</stp>
        <tr r="P366" s="2"/>
      </tp>
      <tp t="s">
        <v>#N/A N/A</v>
        <stp/>
        <stp>BQL.QUERY|11068061127552639100</stp>
        <tr r="I385" s="2"/>
      </tp>
      <tp t="s">
        <v>#N/A N/A</v>
        <stp/>
        <stp>BQL.QUERY|10926881406598511056</stp>
        <tr r="AD381" s="2"/>
      </tp>
      <tp t="s">
        <v>#N/A N/A</v>
        <stp/>
        <stp>BQL.QUERY|11324374742053153508</stp>
        <tr r="H407" s="2"/>
      </tp>
      <tp t="s">
        <v>#N/A N/A</v>
        <stp/>
        <stp>BQL.QUERY|17038659093518449038</stp>
        <tr r="V419" s="2"/>
      </tp>
      <tp t="s">
        <v>#N/A N/A</v>
        <stp/>
        <stp>BQL.QUERY|10098060796349411060</stp>
        <tr r="R401" s="2"/>
      </tp>
      <tp t="s">
        <v>#N/A N/A</v>
        <stp/>
        <stp>BQL.QUERY|10449763443211128231</stp>
        <tr r="I345" s="2"/>
      </tp>
      <tp t="s">
        <v>#N/A N/A</v>
        <stp/>
        <stp>BQL.QUERY|10289122071893647543</stp>
        <tr r="R361" s="2"/>
      </tp>
      <tp t="s">
        <v>#N/A N/A</v>
        <stp/>
        <stp>BQL.QUERY|16911336121635198299</stp>
        <tr r="U411" s="2"/>
      </tp>
      <tp t="s">
        <v>#N/A N/A</v>
        <stp/>
        <stp>BQL.QUERY|11990798750875455690</stp>
        <tr r="V373" s="2"/>
      </tp>
      <tp t="s">
        <v>#N/A N/A</v>
        <stp/>
        <stp>BQL.QUERY|17430558640015685395</stp>
        <tr r="AB345" s="2"/>
      </tp>
      <tp t="s">
        <v>#N/A N/A</v>
        <stp/>
        <stp>BQL.QUERY|13032498203896537115</stp>
        <tr r="AG404" s="2"/>
      </tp>
      <tp t="s">
        <v>#N/A N/A</v>
        <stp/>
        <stp>BQL.QUERY|13503277226067263497</stp>
        <tr r="AA419" s="2"/>
      </tp>
      <tp t="s">
        <v>#N/A N/A</v>
        <stp/>
        <stp>BQL.QUERY|11527085134220374220</stp>
        <tr r="Q361" s="2"/>
      </tp>
      <tp t="s">
        <v>#N/A N/A</v>
        <stp/>
        <stp>BQL.QUERY|11120334357355446299</stp>
        <tr r="I425" s="2"/>
      </tp>
      <tp t="s">
        <v>#N/A N/A</v>
        <stp/>
        <stp>BQL.QUERY|10563098136581207203</stp>
        <tr r="M349" s="2"/>
      </tp>
      <tp t="s">
        <v>#N/A N/A</v>
        <stp/>
        <stp>BQL.QUERY|16150000253051803239</stp>
        <tr r="AE357" s="2"/>
      </tp>
      <tp t="s">
        <v>#N/A N/A</v>
        <stp/>
        <stp>BQL.QUERY|17044636646894784196</stp>
        <tr r="AE337" s="2"/>
      </tp>
      <tp t="s">
        <v>#N/A N/A</v>
        <stp/>
        <stp>BQL.QUERY|15476519931553895393</stp>
        <tr r="S377" s="2"/>
      </tp>
      <tp t="s">
        <v>#N/A N/A</v>
        <stp/>
        <stp>BQL.QUERY|15564401604120443287</stp>
        <tr r="L407" s="2"/>
      </tp>
      <tp t="s">
        <v>#N/A N/A</v>
        <stp/>
        <stp>BQL.QUERY|13155483522543514500</stp>
        <tr r="T345" s="2"/>
      </tp>
      <tp t="s">
        <v>#N/A N/A</v>
        <stp/>
        <stp>BQL.QUERY|17717597335311674338</stp>
        <tr r="T407" s="2"/>
      </tp>
      <tp t="s">
        <v>#N/A N/A</v>
        <stp/>
        <stp>BQL.QUERY|10671157809771373378</stp>
        <tr r="G407" s="2"/>
      </tp>
      <tp t="s">
        <v>#N/A N/A</v>
        <stp/>
        <stp>BQL.QUERY|15355404945690859658</stp>
        <tr r="W425" s="2"/>
      </tp>
      <tp t="s">
        <v>#N/A N/A</v>
        <stp/>
        <stp>BQL.QUERY|15808975476899495091</stp>
        <tr r="H414" s="2"/>
      </tp>
      <tp t="s">
        <v>#N/A N/A</v>
        <stp/>
        <stp>BQL.QUERY|13625789138377798264</stp>
        <tr r="AE404" s="2"/>
      </tp>
      <tp t="s">
        <v>#N/A N/A</v>
        <stp/>
        <stp>BQL.QUERY|17955662509083043016</stp>
        <tr r="R370" s="2"/>
      </tp>
      <tp t="s">
        <v>#N/A N/A</v>
        <stp/>
        <stp>BQL.QUERY|11568700107614511008</stp>
        <tr r="V414" s="2"/>
      </tp>
      <tp t="s">
        <v>#N/A N/A</v>
        <stp/>
        <stp>BQL.QUERY|13444853310278273032</stp>
        <tr r="Z349" s="2"/>
      </tp>
      <tp t="s">
        <v>#N/A N/A</v>
        <stp/>
        <stp>BQL.QUERY|13061501458514940509</stp>
        <tr r="AE414" s="2"/>
      </tp>
      <tp t="s">
        <v>#N/A N/A</v>
        <stp/>
        <stp>BQL.QUERY|16997776517721087351</stp>
        <tr r="X353" s="2"/>
      </tp>
      <tp t="s">
        <v>#N/A N/A</v>
        <stp/>
        <stp>BQL.QUERY|14964452227038614821</stp>
        <tr r="N377" s="2"/>
      </tp>
      <tp t="s">
        <v>#N/A N/A</v>
        <stp/>
        <stp>BQL.QUERY|13801626245210765376</stp>
        <tr r="Z353" s="2"/>
      </tp>
      <tp t="s">
        <v>#N/A N/A</v>
        <stp/>
        <stp>BQL.QUERY|10850275780810155816</stp>
        <tr r="Q407" s="2"/>
      </tp>
      <tp t="s">
        <v>#N/A N/A</v>
        <stp/>
        <stp>BQL.QUERY|16704375736366673280</stp>
        <tr r="M404" s="2"/>
      </tp>
      <tp t="s">
        <v>#N/A N/A</v>
        <stp/>
        <stp>BQL.QUERY|13844731237121014448</stp>
        <tr r="AF366" s="2"/>
      </tp>
      <tp t="s">
        <v>#N/A N/A</v>
        <stp/>
        <stp>BQL.QUERY|17390099469836810534</stp>
        <tr r="AB407" s="2"/>
      </tp>
      <tp t="s">
        <v>#N/A N/A</v>
        <stp/>
        <stp>BQL.QUERY|14002499803665091738</stp>
        <tr r="AF407" s="2"/>
      </tp>
      <tp t="s">
        <v>#N/A N/A</v>
        <stp/>
        <stp>BQL.QUERY|16304344415247888130</stp>
        <tr r="I419" s="2"/>
      </tp>
      <tp t="s">
        <v>#N/A N/A</v>
        <stp/>
        <stp>BQL.QUERY|10139219066560956663</stp>
        <tr r="M381" s="2"/>
      </tp>
      <tp t="s">
        <v>#N/A N/A</v>
        <stp/>
        <stp>BQL.QUERY|17927718490969698240</stp>
        <tr r="X404" s="2"/>
      </tp>
      <tp t="s">
        <v>#N/A Requesting Data...1525175066</v>
        <stp/>
        <stp>BDP|157973825607504984</stp>
        <tr r="AN9" s="5"/>
      </tp>
      <tp t="s">
        <v>#N/A Requesting Data...1509351997</v>
        <stp/>
        <stp>BDP|945309337794299176</stp>
        <tr r="AJ13" s="5"/>
      </tp>
      <tp t="s">
        <v>#N/A Requesting Data...2131548599</v>
        <stp/>
        <stp>BDP|367333116585254208</stp>
        <tr r="CQ11" s="5"/>
      </tp>
      <tp t="s">
        <v>#N/A N/A</v>
        <stp/>
        <stp>BDH|394143148926334685</stp>
        <tr r="S9" s="2"/>
      </tp>
      <tp t="s">
        <v>#N/A Requesting Data...2742914629</v>
        <stp/>
        <stp>BDP|669571252257701260</stp>
        <tr r="BO9" s="5"/>
      </tp>
      <tp t="s">
        <v>#N/A Requesting Data...3168426633</v>
        <stp/>
        <stp>BQL|499573149631324458</stp>
        <tr r="M6" s="23"/>
      </tp>
      <tp t="s">
        <v>#N/A Requesting Data...3386055313</v>
        <stp/>
        <stp>BDP|181664039672429332</stp>
        <tr r="BG12" s="5"/>
      </tp>
      <tp t="s">
        <v>#N/A Requesting Data...2589897622</v>
        <stp/>
        <stp>BDP|198280365870239350</stp>
        <tr r="AS7" s="5"/>
      </tp>
      <tp t="s">
        <v>#N/A Requesting Data...1852491822</v>
        <stp/>
        <stp>BDP|614053475602319219</stp>
        <tr r="BA6" s="5"/>
        <tr r="BA7" s="5"/>
      </tp>
      <tp t="s">
        <v>#N/A N/A</v>
        <stp/>
        <stp>BQL|802446524293914217</stp>
        <tr r="M100" s="26"/>
      </tp>
      <tp t="s">
        <v>#N/A N/A</v>
        <stp/>
        <stp>BQL|756229541174320553</stp>
        <tr r="C8" s="23"/>
      </tp>
      <tp t="s">
        <v>#N/A Requesting Data...3059159182</v>
        <stp/>
        <stp>BDP|586477969352449317</stp>
        <tr r="CE9" s="5"/>
      </tp>
      <tp t="s">
        <v>#N/A Requesting Data...2691959518</v>
        <stp/>
        <stp>BDP|842154060063114643</stp>
        <tr r="CC9" s="5"/>
      </tp>
      <tp t="s">
        <v>#N/A Requesting Data...3450206162</v>
        <stp/>
        <stp>BDP|241419164650110059</stp>
        <tr r="CI12" s="5"/>
      </tp>
      <tp t="s">
        <v>#N/A Requesting Data...4022284857</v>
        <stp/>
        <stp>BDP|923372471030838914</stp>
        <tr r="F13" s="5"/>
      </tp>
      <tp t="s">
        <v>#N/A Requesting Data...1905669884</v>
        <stp/>
        <stp>BDP|883163582264362109</stp>
        <tr r="CA12" s="5"/>
      </tp>
      <tp t="s">
        <v>#N/A Requesting Data...3076711759</v>
        <stp/>
        <stp>BDP|170655900122881889</stp>
        <tr r="AN14" s="5"/>
      </tp>
      <tp t="s">
        <v>#N/A Requesting Data...2254673404</v>
        <stp/>
        <stp>BDP|904091067788348246</stp>
        <tr r="C28" s="3"/>
      </tp>
      <tp t="s">
        <v>#N/A Requesting Data...3124459555</v>
        <stp/>
        <stp>BDP|177922733901472254</stp>
        <tr r="BU14" s="5"/>
      </tp>
      <tp t="s">
        <v>#N/A Requesting Data...2625444020</v>
        <stp/>
        <stp>BDP|990806105608721887</stp>
        <tr r="F12" s="5"/>
      </tp>
      <tp t="s">
        <v>#N/A N/A</v>
        <stp/>
        <stp>BQL|929996326795580442</stp>
        <tr r="N100" s="26"/>
      </tp>
      <tp t="s">
        <v>#N/A N/A</v>
        <stp/>
        <stp>BQL.QUERY|78516321374242329</stp>
        <tr r="T381" s="2"/>
      </tp>
      <tp t="s">
        <v>#N/A N/A</v>
        <stp/>
        <stp>BQL.QUERY|69764688465237722</stp>
        <tr r="T425" s="2"/>
      </tp>
      <tp t="s">
        <v>#N/A N/A</v>
        <stp/>
        <stp>BQL.QUERY|48891481317309828</stp>
        <tr r="X411" s="2"/>
      </tp>
      <tp t="s">
        <v>#N/A N/A</v>
        <stp/>
        <stp>BQL.QUERY|73667896142890528</stp>
        <tr r="Y345" s="2"/>
      </tp>
      <tp t="s">
        <v>#N/A N/A</v>
        <stp/>
        <stp>BQL.QUERY|65721515398166490</stp>
        <tr r="AG377" s="2"/>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volatileDependencies" Target="volatileDependencies.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Nominal Sales (in Ms)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vsABBV!$B$6</c:f>
              <c:strCache>
                <c:ptCount val="1"/>
                <c:pt idx="0">
                  <c:v>Botox - Cosmetic Revenue</c:v>
                </c:pt>
              </c:strCache>
            </c:strRef>
          </c:tx>
          <c:spPr>
            <a:ln w="28575" cap="rnd">
              <a:solidFill>
                <a:schemeClr val="accent1"/>
              </a:solidFill>
              <a:round/>
            </a:ln>
            <a:effectLst/>
          </c:spPr>
          <c:marker>
            <c:symbol val="none"/>
          </c:marker>
          <c:cat>
            <c:strRef>
              <c:extLst>
                <c:ext xmlns:c15="http://schemas.microsoft.com/office/drawing/2012/chart" uri="{02D57815-91ED-43cb-92C2-25804820EDAC}">
                  <c15:fullRef>
                    <c15:sqref>vsABBV!$D$4:$AO$5</c15:sqref>
                  </c15:fullRef>
                </c:ext>
              </c:extLst>
              <c:f>(vsABBV!$D$4:$K$4,vsABBV!$M$4:$P$4,vsABBV!$R$4:$U$4,vsABBV!$W$4:$Z$4,vsABBV!$AB$4:$AE$4,vsABBV!$AG$4:$AJ$4,vsABBV!$AL$4:$AO$4)</c:f>
              <c:strCache>
                <c:ptCount val="28"/>
                <c:pt idx="0">
                  <c:v>Q1FY2021</c:v>
                </c:pt>
                <c:pt idx="1">
                  <c:v>Q2FY2021</c:v>
                </c:pt>
                <c:pt idx="2">
                  <c:v>Q3FY2021</c:v>
                </c:pt>
                <c:pt idx="3">
                  <c:v>Q4FY2021</c:v>
                </c:pt>
                <c:pt idx="4">
                  <c:v>Q1FY2022</c:v>
                </c:pt>
                <c:pt idx="5">
                  <c:v>Q2FY2022</c:v>
                </c:pt>
                <c:pt idx="6">
                  <c:v>Q3FY2022</c:v>
                </c:pt>
                <c:pt idx="7">
                  <c:v>Q4FY2022</c:v>
                </c:pt>
                <c:pt idx="8">
                  <c:v>Q1FY2023</c:v>
                </c:pt>
                <c:pt idx="9">
                  <c:v>Q2FY2023</c:v>
                </c:pt>
                <c:pt idx="10">
                  <c:v>Q3FY2023</c:v>
                </c:pt>
                <c:pt idx="11">
                  <c:v>Q4FY2023E</c:v>
                </c:pt>
                <c:pt idx="12">
                  <c:v>Q1FY2024E</c:v>
                </c:pt>
                <c:pt idx="13">
                  <c:v>Q2FY2024E</c:v>
                </c:pt>
                <c:pt idx="14">
                  <c:v>Q3FY2024E</c:v>
                </c:pt>
                <c:pt idx="15">
                  <c:v>Q4FY2024E</c:v>
                </c:pt>
                <c:pt idx="16">
                  <c:v>Q1FY2025E</c:v>
                </c:pt>
                <c:pt idx="17">
                  <c:v>Q2FY2025E</c:v>
                </c:pt>
                <c:pt idx="18">
                  <c:v>Q3FY2025E</c:v>
                </c:pt>
                <c:pt idx="19">
                  <c:v>Q4FY2025E</c:v>
                </c:pt>
                <c:pt idx="20">
                  <c:v>Q1FY2026E</c:v>
                </c:pt>
                <c:pt idx="21">
                  <c:v>Q2FY2026E</c:v>
                </c:pt>
                <c:pt idx="22">
                  <c:v>Q3FY2026E</c:v>
                </c:pt>
                <c:pt idx="23">
                  <c:v>Q4FY2026E</c:v>
                </c:pt>
                <c:pt idx="24">
                  <c:v>Q1FY2027E</c:v>
                </c:pt>
                <c:pt idx="25">
                  <c:v>Q2FY2027E</c:v>
                </c:pt>
                <c:pt idx="26">
                  <c:v>Q3FY2027E</c:v>
                </c:pt>
                <c:pt idx="27">
                  <c:v>Q4FY2027E</c:v>
                </c:pt>
              </c:strCache>
            </c:strRef>
          </c:cat>
          <c:val>
            <c:numRef>
              <c:extLst>
                <c:ext xmlns:c15="http://schemas.microsoft.com/office/drawing/2012/chart" uri="{02D57815-91ED-43cb-92C2-25804820EDAC}">
                  <c15:fullRef>
                    <c15:sqref>vsABBV!$D$6:$AO$6</c15:sqref>
                  </c15:fullRef>
                </c:ext>
              </c:extLst>
              <c:f>(vsABBV!$D$6:$K$6,vsABBV!$M$6:$P$6,vsABBV!$R$6:$U$6,vsABBV!$W$6:$Z$6,vsABBV!$AB$6:$AE$6,vsABBV!$AG$6:$AJ$6,vsABBV!$AL$6:$AO$6)</c:f>
              <c:numCache>
                <c:formatCode>#,##0_);\(#,##0\)</c:formatCode>
                <c:ptCount val="28"/>
                <c:pt idx="0">
                  <c:v>477</c:v>
                </c:pt>
                <c:pt idx="1">
                  <c:v>584</c:v>
                </c:pt>
                <c:pt idx="2">
                  <c:v>545</c:v>
                </c:pt>
                <c:pt idx="3">
                  <c:v>626</c:v>
                </c:pt>
                <c:pt idx="4">
                  <c:v>641</c:v>
                </c:pt>
                <c:pt idx="5">
                  <c:v>695</c:v>
                </c:pt>
                <c:pt idx="6">
                  <c:v>637</c:v>
                </c:pt>
                <c:pt idx="7">
                  <c:v>642</c:v>
                </c:pt>
                <c:pt idx="8">
                  <c:v>659</c:v>
                </c:pt>
                <c:pt idx="9">
                  <c:v>685</c:v>
                </c:pt>
                <c:pt idx="10">
                  <c:v>620</c:v>
                </c:pt>
                <c:pt idx="11">
                  <c:v>668.16978371936227</c:v>
                </c:pt>
                <c:pt idx="12">
                  <c:v>701.90428571428572</c:v>
                </c:pt>
                <c:pt idx="13">
                  <c:v>742.95</c:v>
                </c:pt>
                <c:pt idx="14">
                  <c:v>680.4457142857143</c:v>
                </c:pt>
                <c:pt idx="15">
                  <c:v>738.93548333069714</c:v>
                </c:pt>
                <c:pt idx="16">
                  <c:v>783.39099999999996</c:v>
                </c:pt>
                <c:pt idx="17">
                  <c:v>825.71</c:v>
                </c:pt>
                <c:pt idx="18">
                  <c:v>737.11599999999999</c:v>
                </c:pt>
                <c:pt idx="19">
                  <c:v>829.27014924031187</c:v>
                </c:pt>
                <c:pt idx="20">
                  <c:v>842.49530000000016</c:v>
                </c:pt>
                <c:pt idx="21">
                  <c:v>888.29425000000015</c:v>
                </c:pt>
                <c:pt idx="22">
                  <c:v>792.72680000000003</c:v>
                </c:pt>
                <c:pt idx="23">
                  <c:v>892.20065170232726</c:v>
                </c:pt>
                <c:pt idx="24">
                  <c:v>906.54829000000007</c:v>
                </c:pt>
                <c:pt idx="25">
                  <c:v>956.13758750000022</c:v>
                </c:pt>
                <c:pt idx="26">
                  <c:v>852.99364000000025</c:v>
                </c:pt>
                <c:pt idx="27">
                  <c:v>960.42437878744386</c:v>
                </c:pt>
              </c:numCache>
            </c:numRef>
          </c:val>
          <c:smooth val="0"/>
          <c:extLst>
            <c:ext xmlns:c16="http://schemas.microsoft.com/office/drawing/2014/chart" uri="{C3380CC4-5D6E-409C-BE32-E72D297353CC}">
              <c16:uniqueId val="{00000000-0FFE-4149-B7EC-BDCAC5343CA9}"/>
            </c:ext>
          </c:extLst>
        </c:ser>
        <c:ser>
          <c:idx val="1"/>
          <c:order val="1"/>
          <c:tx>
            <c:strRef>
              <c:f>vsABBV!$B$8</c:f>
              <c:strCache>
                <c:ptCount val="1"/>
                <c:pt idx="0">
                  <c:v>Juvederm</c:v>
                </c:pt>
              </c:strCache>
            </c:strRef>
          </c:tx>
          <c:spPr>
            <a:ln w="28575" cap="rnd">
              <a:solidFill>
                <a:schemeClr val="accent2"/>
              </a:solidFill>
              <a:round/>
            </a:ln>
            <a:effectLst/>
          </c:spPr>
          <c:marker>
            <c:symbol val="none"/>
          </c:marker>
          <c:cat>
            <c:strRef>
              <c:extLst>
                <c:ext xmlns:c15="http://schemas.microsoft.com/office/drawing/2012/chart" uri="{02D57815-91ED-43cb-92C2-25804820EDAC}">
                  <c15:fullRef>
                    <c15:sqref>vsABBV!$D$4:$AO$5</c15:sqref>
                  </c15:fullRef>
                </c:ext>
              </c:extLst>
              <c:f>(vsABBV!$D$4:$K$4,vsABBV!$M$4:$P$4,vsABBV!$R$4:$U$4,vsABBV!$W$4:$Z$4,vsABBV!$AB$4:$AE$4,vsABBV!$AG$4:$AJ$4,vsABBV!$AL$4:$AO$4)</c:f>
              <c:strCache>
                <c:ptCount val="28"/>
                <c:pt idx="0">
                  <c:v>Q1FY2021</c:v>
                </c:pt>
                <c:pt idx="1">
                  <c:v>Q2FY2021</c:v>
                </c:pt>
                <c:pt idx="2">
                  <c:v>Q3FY2021</c:v>
                </c:pt>
                <c:pt idx="3">
                  <c:v>Q4FY2021</c:v>
                </c:pt>
                <c:pt idx="4">
                  <c:v>Q1FY2022</c:v>
                </c:pt>
                <c:pt idx="5">
                  <c:v>Q2FY2022</c:v>
                </c:pt>
                <c:pt idx="6">
                  <c:v>Q3FY2022</c:v>
                </c:pt>
                <c:pt idx="7">
                  <c:v>Q4FY2022</c:v>
                </c:pt>
                <c:pt idx="8">
                  <c:v>Q1FY2023</c:v>
                </c:pt>
                <c:pt idx="9">
                  <c:v>Q2FY2023</c:v>
                </c:pt>
                <c:pt idx="10">
                  <c:v>Q3FY2023</c:v>
                </c:pt>
                <c:pt idx="11">
                  <c:v>Q4FY2023E</c:v>
                </c:pt>
                <c:pt idx="12">
                  <c:v>Q1FY2024E</c:v>
                </c:pt>
                <c:pt idx="13">
                  <c:v>Q2FY2024E</c:v>
                </c:pt>
                <c:pt idx="14">
                  <c:v>Q3FY2024E</c:v>
                </c:pt>
                <c:pt idx="15">
                  <c:v>Q4FY2024E</c:v>
                </c:pt>
                <c:pt idx="16">
                  <c:v>Q1FY2025E</c:v>
                </c:pt>
                <c:pt idx="17">
                  <c:v>Q2FY2025E</c:v>
                </c:pt>
                <c:pt idx="18">
                  <c:v>Q3FY2025E</c:v>
                </c:pt>
                <c:pt idx="19">
                  <c:v>Q4FY2025E</c:v>
                </c:pt>
                <c:pt idx="20">
                  <c:v>Q1FY2026E</c:v>
                </c:pt>
                <c:pt idx="21">
                  <c:v>Q2FY2026E</c:v>
                </c:pt>
                <c:pt idx="22">
                  <c:v>Q3FY2026E</c:v>
                </c:pt>
                <c:pt idx="23">
                  <c:v>Q4FY2026E</c:v>
                </c:pt>
                <c:pt idx="24">
                  <c:v>Q1FY2027E</c:v>
                </c:pt>
                <c:pt idx="25">
                  <c:v>Q2FY2027E</c:v>
                </c:pt>
                <c:pt idx="26">
                  <c:v>Q3FY2027E</c:v>
                </c:pt>
                <c:pt idx="27">
                  <c:v>Q4FY2027E</c:v>
                </c:pt>
              </c:strCache>
            </c:strRef>
          </c:cat>
          <c:val>
            <c:numRef>
              <c:extLst>
                <c:ext xmlns:c15="http://schemas.microsoft.com/office/drawing/2012/chart" uri="{02D57815-91ED-43cb-92C2-25804820EDAC}">
                  <c15:fullRef>
                    <c15:sqref>vsABBV!$D$8:$AO$8</c15:sqref>
                  </c15:fullRef>
                </c:ext>
              </c:extLst>
              <c:f>(vsABBV!$D$8:$K$8,vsABBV!$M$8:$P$8,vsABBV!$R$8:$U$8,vsABBV!$W$8:$Z$8,vsABBV!$AB$8:$AE$8,vsABBV!$AG$8:$AJ$8,vsABBV!$AL$8:$AO$8)</c:f>
              <c:numCache>
                <c:formatCode>#,##0_);\(#,##0\)</c:formatCode>
                <c:ptCount val="28"/>
                <c:pt idx="0">
                  <c:v>321</c:v>
                </c:pt>
                <c:pt idx="1">
                  <c:v>428</c:v>
                </c:pt>
                <c:pt idx="2">
                  <c:v>354</c:v>
                </c:pt>
                <c:pt idx="3">
                  <c:v>432</c:v>
                </c:pt>
                <c:pt idx="4">
                  <c:v>410</c:v>
                </c:pt>
                <c:pt idx="5">
                  <c:v>344</c:v>
                </c:pt>
                <c:pt idx="6">
                  <c:v>352</c:v>
                </c:pt>
                <c:pt idx="7">
                  <c:v>322</c:v>
                </c:pt>
                <c:pt idx="8">
                  <c:v>355</c:v>
                </c:pt>
                <c:pt idx="9">
                  <c:v>368</c:v>
                </c:pt>
                <c:pt idx="10">
                  <c:v>321</c:v>
                </c:pt>
                <c:pt idx="11">
                  <c:v>357.20221088434369</c:v>
                </c:pt>
                <c:pt idx="12">
                  <c:v>374.05739584246095</c:v>
                </c:pt>
                <c:pt idx="13">
                  <c:v>396.66254540603825</c:v>
                </c:pt>
                <c:pt idx="14">
                  <c:v>353.40161829863297</c:v>
                </c:pt>
                <c:pt idx="15">
                  <c:v>388.44595723505722</c:v>
                </c:pt>
                <c:pt idx="16">
                  <c:v>419.3856797210438</c:v>
                </c:pt>
                <c:pt idx="17">
                  <c:v>447.69835436719046</c:v>
                </c:pt>
                <c:pt idx="18">
                  <c:v>378.70944724747608</c:v>
                </c:pt>
                <c:pt idx="19">
                  <c:v>424.62160283883543</c:v>
                </c:pt>
                <c:pt idx="20">
                  <c:v>451.13331370709597</c:v>
                </c:pt>
                <c:pt idx="21">
                  <c:v>481.95227208555002</c:v>
                </c:pt>
                <c:pt idx="22">
                  <c:v>407.35516960984995</c:v>
                </c:pt>
                <c:pt idx="23">
                  <c:v>456.37363298077724</c:v>
                </c:pt>
                <c:pt idx="24">
                  <c:v>485.54616439245086</c:v>
                </c:pt>
                <c:pt idx="25">
                  <c:v>519.1057856898276</c:v>
                </c:pt>
                <c:pt idx="26">
                  <c:v>438.40420309034238</c:v>
                </c:pt>
                <c:pt idx="27">
                  <c:v>490.7653596298162</c:v>
                </c:pt>
              </c:numCache>
            </c:numRef>
          </c:val>
          <c:smooth val="0"/>
          <c:extLst>
            <c:ext xmlns:c16="http://schemas.microsoft.com/office/drawing/2014/chart" uri="{C3380CC4-5D6E-409C-BE32-E72D297353CC}">
              <c16:uniqueId val="{00000001-0FFE-4149-B7EC-BDCAC5343CA9}"/>
            </c:ext>
          </c:extLst>
        </c:ser>
        <c:dLbls>
          <c:showLegendKey val="0"/>
          <c:showVal val="0"/>
          <c:showCatName val="0"/>
          <c:showSerName val="0"/>
          <c:showPercent val="0"/>
          <c:showBubbleSize val="0"/>
        </c:dLbls>
        <c:smooth val="0"/>
        <c:axId val="958343536"/>
        <c:axId val="670138720"/>
      </c:lineChart>
      <c:catAx>
        <c:axId val="958343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0138720"/>
        <c:crosses val="autoZero"/>
        <c:auto val="1"/>
        <c:lblAlgn val="ctr"/>
        <c:lblOffset val="100"/>
        <c:noMultiLvlLbl val="0"/>
      </c:catAx>
      <c:valAx>
        <c:axId val="670138720"/>
        <c:scaling>
          <c:orientation val="minMax"/>
        </c:scaling>
        <c:delete val="0"/>
        <c:axPos val="l"/>
        <c:majorGridlines>
          <c:spPr>
            <a:ln w="9525" cap="flat" cmpd="sng" algn="ctr">
              <a:solidFill>
                <a:schemeClr val="tx1">
                  <a:lumMod val="15000"/>
                  <a:lumOff val="85000"/>
                </a:schemeClr>
              </a:solidFill>
              <a:round/>
            </a:ln>
            <a:effectLst/>
          </c:spPr>
        </c:majorGridlines>
        <c:numFmt formatCode="#,##0_);\(#,##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8343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y/y growth rates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vsABBV!$B$7</c:f>
              <c:strCache>
                <c:ptCount val="1"/>
                <c:pt idx="0">
                  <c:v>Botox y/y</c:v>
                </c:pt>
              </c:strCache>
            </c:strRef>
          </c:tx>
          <c:spPr>
            <a:ln w="28575" cap="rnd">
              <a:solidFill>
                <a:schemeClr val="accent1"/>
              </a:solidFill>
              <a:round/>
            </a:ln>
            <a:effectLst/>
          </c:spPr>
          <c:marker>
            <c:symbol val="none"/>
          </c:marker>
          <c:cat>
            <c:strRef>
              <c:extLst>
                <c:ext xmlns:c15="http://schemas.microsoft.com/office/drawing/2012/chart" uri="{02D57815-91ED-43cb-92C2-25804820EDAC}">
                  <c15:fullRef>
                    <c15:sqref>vsABBV!$I$4:$AP$4</c15:sqref>
                  </c15:fullRef>
                </c:ext>
              </c:extLst>
              <c:f>(vsABBV!$I$4:$L$4,vsABBV!$Q$4:$T$4,vsABBV!$V$4:$Y$4,vsABBV!$AA$4:$AD$4,vsABBV!$AF$4:$AI$4,vsABBV!$AK$4:$AN$4,vsABBV!$AP$4)</c:f>
              <c:strCache>
                <c:ptCount val="24"/>
                <c:pt idx="0">
                  <c:v>Q1FY2022</c:v>
                </c:pt>
                <c:pt idx="1">
                  <c:v>Q2FY2022</c:v>
                </c:pt>
                <c:pt idx="2">
                  <c:v>Q3FY2022</c:v>
                </c:pt>
                <c:pt idx="3">
                  <c:v>Q4FY2022</c:v>
                </c:pt>
                <c:pt idx="4">
                  <c:v>Q1FY2023</c:v>
                </c:pt>
                <c:pt idx="5">
                  <c:v>Q2FY2023</c:v>
                </c:pt>
                <c:pt idx="6">
                  <c:v>Q3FY2023</c:v>
                </c:pt>
                <c:pt idx="7">
                  <c:v>Q4FY2023E</c:v>
                </c:pt>
                <c:pt idx="8">
                  <c:v>Q1FY2024E</c:v>
                </c:pt>
                <c:pt idx="9">
                  <c:v>Q2FY2024E</c:v>
                </c:pt>
                <c:pt idx="10">
                  <c:v>Q3FY2024E</c:v>
                </c:pt>
                <c:pt idx="11">
                  <c:v>Q4FY2024E</c:v>
                </c:pt>
                <c:pt idx="12">
                  <c:v>Q1FY2025E</c:v>
                </c:pt>
                <c:pt idx="13">
                  <c:v>Q2FY2025E</c:v>
                </c:pt>
                <c:pt idx="14">
                  <c:v>Q3FY2025E</c:v>
                </c:pt>
                <c:pt idx="15">
                  <c:v>Q4FY2025E</c:v>
                </c:pt>
                <c:pt idx="16">
                  <c:v>Q1FY2026E</c:v>
                </c:pt>
                <c:pt idx="17">
                  <c:v>Q2FY2026E</c:v>
                </c:pt>
                <c:pt idx="18">
                  <c:v>Q3FY2026E</c:v>
                </c:pt>
                <c:pt idx="19">
                  <c:v>Q4FY2026E</c:v>
                </c:pt>
                <c:pt idx="20">
                  <c:v>Q1FY2027E</c:v>
                </c:pt>
                <c:pt idx="21">
                  <c:v>Q2FY2027E</c:v>
                </c:pt>
                <c:pt idx="22">
                  <c:v>Q3FY2027E</c:v>
                </c:pt>
                <c:pt idx="23">
                  <c:v>Q4FY2027E</c:v>
                </c:pt>
              </c:strCache>
            </c:strRef>
          </c:cat>
          <c:val>
            <c:numRef>
              <c:extLst>
                <c:ext xmlns:c15="http://schemas.microsoft.com/office/drawing/2012/chart" uri="{02D57815-91ED-43cb-92C2-25804820EDAC}">
                  <c15:fullRef>
                    <c15:sqref>vsABBV!$D$7:$AO$7</c15:sqref>
                  </c15:fullRef>
                </c:ext>
              </c:extLst>
              <c:f>(vsABBV!$D$7:$G$7,vsABBV!$L$7:$O$7,vsABBV!$Q$7:$T$7,vsABBV!$V$7:$Y$7,vsABBV!$AA$7:$AD$7,vsABBV!$AF$7:$AI$7,vsABBV!$AK$7:$AN$7)</c:f>
              <c:numCache>
                <c:formatCode>0.0%;\(0.0%\)</c:formatCode>
                <c:ptCount val="24"/>
                <c:pt idx="0">
                  <c:v>0</c:v>
                </c:pt>
                <c:pt idx="1">
                  <c:v>0.34381551362683438</c:v>
                </c:pt>
                <c:pt idx="2">
                  <c:v>0.19006849315068486</c:v>
                </c:pt>
                <c:pt idx="3">
                  <c:v>0.16880733944954129</c:v>
                </c:pt>
                <c:pt idx="4">
                  <c:v>0.17159498207885315</c:v>
                </c:pt>
                <c:pt idx="5">
                  <c:v>2.808112324492984E-2</c:v>
                </c:pt>
                <c:pt idx="6">
                  <c:v>-1.4388489208633115E-2</c:v>
                </c:pt>
                <c:pt idx="7">
                  <c:v>-2.6687598116169498E-2</c:v>
                </c:pt>
                <c:pt idx="8">
                  <c:v>6.5658828754731058E-3</c:v>
                </c:pt>
                <c:pt idx="9">
                  <c:v>6.5105137654454914E-2</c:v>
                </c:pt>
                <c:pt idx="10">
                  <c:v>8.4598540145985446E-2</c:v>
                </c:pt>
                <c:pt idx="11">
                  <c:v>9.7493087557603664E-2</c:v>
                </c:pt>
                <c:pt idx="12">
                  <c:v>8.8165171200854875E-2</c:v>
                </c:pt>
                <c:pt idx="13">
                  <c:v>0.11609376939875804</c:v>
                </c:pt>
                <c:pt idx="14">
                  <c:v>0.11139376808668144</c:v>
                </c:pt>
                <c:pt idx="15">
                  <c:v>8.3284065906380711E-2</c:v>
                </c:pt>
                <c:pt idx="16">
                  <c:v>0.1086683227412828</c:v>
                </c:pt>
                <c:pt idx="17">
                  <c:v>7.5446743707803909E-2</c:v>
                </c:pt>
                <c:pt idx="18">
                  <c:v>7.5794467791355347E-2</c:v>
                </c:pt>
                <c:pt idx="19">
                  <c:v>7.544375647794932E-2</c:v>
                </c:pt>
                <c:pt idx="20">
                  <c:v>7.5651338258285072E-2</c:v>
                </c:pt>
                <c:pt idx="21">
                  <c:v>7.6027711964683942E-2</c:v>
                </c:pt>
                <c:pt idx="22">
                  <c:v>7.6374847073478191E-2</c:v>
                </c:pt>
                <c:pt idx="23">
                  <c:v>7.6024728822086329E-2</c:v>
                </c:pt>
              </c:numCache>
            </c:numRef>
          </c:val>
          <c:smooth val="0"/>
          <c:extLst>
            <c:ext xmlns:c16="http://schemas.microsoft.com/office/drawing/2014/chart" uri="{C3380CC4-5D6E-409C-BE32-E72D297353CC}">
              <c16:uniqueId val="{00000000-5068-4FF8-AD02-8B4E265EEB08}"/>
            </c:ext>
          </c:extLst>
        </c:ser>
        <c:ser>
          <c:idx val="1"/>
          <c:order val="1"/>
          <c:tx>
            <c:strRef>
              <c:f>vsABBV!$B$9</c:f>
              <c:strCache>
                <c:ptCount val="1"/>
                <c:pt idx="0">
                  <c:v>Juvederm y/y</c:v>
                </c:pt>
              </c:strCache>
            </c:strRef>
          </c:tx>
          <c:spPr>
            <a:ln w="28575" cap="rnd">
              <a:solidFill>
                <a:schemeClr val="accent2"/>
              </a:solidFill>
              <a:round/>
            </a:ln>
            <a:effectLst/>
          </c:spPr>
          <c:marker>
            <c:symbol val="none"/>
          </c:marker>
          <c:cat>
            <c:strRef>
              <c:extLst>
                <c:ext xmlns:c15="http://schemas.microsoft.com/office/drawing/2012/chart" uri="{02D57815-91ED-43cb-92C2-25804820EDAC}">
                  <c15:fullRef>
                    <c15:sqref>vsABBV!$I$4:$AP$4</c15:sqref>
                  </c15:fullRef>
                </c:ext>
              </c:extLst>
              <c:f>(vsABBV!$I$4:$L$4,vsABBV!$Q$4:$T$4,vsABBV!$V$4:$Y$4,vsABBV!$AA$4:$AD$4,vsABBV!$AF$4:$AI$4,vsABBV!$AK$4:$AN$4,vsABBV!$AP$4)</c:f>
              <c:strCache>
                <c:ptCount val="24"/>
                <c:pt idx="0">
                  <c:v>Q1FY2022</c:v>
                </c:pt>
                <c:pt idx="1">
                  <c:v>Q2FY2022</c:v>
                </c:pt>
                <c:pt idx="2">
                  <c:v>Q3FY2022</c:v>
                </c:pt>
                <c:pt idx="3">
                  <c:v>Q4FY2022</c:v>
                </c:pt>
                <c:pt idx="4">
                  <c:v>Q1FY2023</c:v>
                </c:pt>
                <c:pt idx="5">
                  <c:v>Q2FY2023</c:v>
                </c:pt>
                <c:pt idx="6">
                  <c:v>Q3FY2023</c:v>
                </c:pt>
                <c:pt idx="7">
                  <c:v>Q4FY2023E</c:v>
                </c:pt>
                <c:pt idx="8">
                  <c:v>Q1FY2024E</c:v>
                </c:pt>
                <c:pt idx="9">
                  <c:v>Q2FY2024E</c:v>
                </c:pt>
                <c:pt idx="10">
                  <c:v>Q3FY2024E</c:v>
                </c:pt>
                <c:pt idx="11">
                  <c:v>Q4FY2024E</c:v>
                </c:pt>
                <c:pt idx="12">
                  <c:v>Q1FY2025E</c:v>
                </c:pt>
                <c:pt idx="13">
                  <c:v>Q2FY2025E</c:v>
                </c:pt>
                <c:pt idx="14">
                  <c:v>Q3FY2025E</c:v>
                </c:pt>
                <c:pt idx="15">
                  <c:v>Q4FY2025E</c:v>
                </c:pt>
                <c:pt idx="16">
                  <c:v>Q1FY2026E</c:v>
                </c:pt>
                <c:pt idx="17">
                  <c:v>Q2FY2026E</c:v>
                </c:pt>
                <c:pt idx="18">
                  <c:v>Q3FY2026E</c:v>
                </c:pt>
                <c:pt idx="19">
                  <c:v>Q4FY2026E</c:v>
                </c:pt>
                <c:pt idx="20">
                  <c:v>Q1FY2027E</c:v>
                </c:pt>
                <c:pt idx="21">
                  <c:v>Q2FY2027E</c:v>
                </c:pt>
                <c:pt idx="22">
                  <c:v>Q3FY2027E</c:v>
                </c:pt>
                <c:pt idx="23">
                  <c:v>Q4FY2027E</c:v>
                </c:pt>
              </c:strCache>
            </c:strRef>
          </c:cat>
          <c:val>
            <c:numRef>
              <c:extLst>
                <c:ext xmlns:c15="http://schemas.microsoft.com/office/drawing/2012/chart" uri="{02D57815-91ED-43cb-92C2-25804820EDAC}">
                  <c15:fullRef>
                    <c15:sqref>vsABBV!$D$9:$AO$9</c15:sqref>
                  </c15:fullRef>
                </c:ext>
              </c:extLst>
              <c:f>(vsABBV!$D$9:$G$9,vsABBV!$L$9:$O$9,vsABBV!$Q$9:$T$9,vsABBV!$V$9:$Y$9,vsABBV!$AA$9:$AD$9,vsABBV!$AF$9:$AI$9,vsABBV!$AK$9:$AN$9)</c:f>
              <c:numCache>
                <c:formatCode>0.0%;\(0.0%\)</c:formatCode>
                <c:ptCount val="24"/>
                <c:pt idx="0">
                  <c:v>0</c:v>
                </c:pt>
                <c:pt idx="1">
                  <c:v>0.27725856697819307</c:v>
                </c:pt>
                <c:pt idx="2">
                  <c:v>-0.19626168224299068</c:v>
                </c:pt>
                <c:pt idx="3">
                  <c:v>-5.6497175141242417E-3</c:v>
                </c:pt>
                <c:pt idx="4">
                  <c:v>-6.9706840390879488E-2</c:v>
                </c:pt>
                <c:pt idx="5">
                  <c:v>-0.13414634146341464</c:v>
                </c:pt>
                <c:pt idx="6">
                  <c:v>6.9767441860465018E-2</c:v>
                </c:pt>
                <c:pt idx="7">
                  <c:v>-8.8068181818181768E-2</c:v>
                </c:pt>
                <c:pt idx="8">
                  <c:v>-1.8765958764465185E-2</c:v>
                </c:pt>
                <c:pt idx="9">
                  <c:v>5.368280519003088E-2</c:v>
                </c:pt>
                <c:pt idx="10">
                  <c:v>7.7887351646843017E-2</c:v>
                </c:pt>
                <c:pt idx="11">
                  <c:v>0.10093962086801556</c:v>
                </c:pt>
                <c:pt idx="12">
                  <c:v>7.9478397216886654E-2</c:v>
                </c:pt>
                <c:pt idx="13">
                  <c:v>0.1211800231258453</c:v>
                </c:pt>
                <c:pt idx="14">
                  <c:v>0.12866304003800022</c:v>
                </c:pt>
                <c:pt idx="15">
                  <c:v>7.1612091282098778E-2</c:v>
                </c:pt>
                <c:pt idx="16">
                  <c:v>0.10435736959905029</c:v>
                </c:pt>
                <c:pt idx="17">
                  <c:v>7.5700329127044164E-2</c:v>
                </c:pt>
                <c:pt idx="18">
                  <c:v>7.6511153959403222E-2</c:v>
                </c:pt>
                <c:pt idx="19">
                  <c:v>7.5640369076018121E-2</c:v>
                </c:pt>
                <c:pt idx="20">
                  <c:v>7.5669398226961615E-2</c:v>
                </c:pt>
                <c:pt idx="21">
                  <c:v>7.6280890015801184E-2</c:v>
                </c:pt>
                <c:pt idx="22">
                  <c:v>7.7089611889375131E-2</c:v>
                </c:pt>
                <c:pt idx="23">
                  <c:v>7.6221037062645047E-2</c:v>
                </c:pt>
              </c:numCache>
            </c:numRef>
          </c:val>
          <c:smooth val="0"/>
          <c:extLst>
            <c:ext xmlns:c16="http://schemas.microsoft.com/office/drawing/2014/chart" uri="{C3380CC4-5D6E-409C-BE32-E72D297353CC}">
              <c16:uniqueId val="{00000001-5068-4FF8-AD02-8B4E265EEB08}"/>
            </c:ext>
          </c:extLst>
        </c:ser>
        <c:dLbls>
          <c:showLegendKey val="0"/>
          <c:showVal val="0"/>
          <c:showCatName val="0"/>
          <c:showSerName val="0"/>
          <c:showPercent val="0"/>
          <c:showBubbleSize val="0"/>
        </c:dLbls>
        <c:smooth val="0"/>
        <c:axId val="957115056"/>
        <c:axId val="496429759"/>
      </c:lineChart>
      <c:catAx>
        <c:axId val="95711505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429759"/>
        <c:crosses val="autoZero"/>
        <c:auto val="1"/>
        <c:lblAlgn val="ctr"/>
        <c:lblOffset val="100"/>
        <c:noMultiLvlLbl val="0"/>
      </c:catAx>
      <c:valAx>
        <c:axId val="4964297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a:t>Y-Axis Label</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7115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Relative Share (SKIN topline as a percentage of SKIN and ABBV Medical</a:t>
            </a:r>
            <a:r>
              <a:rPr lang="en-US" baseline="0"/>
              <a:t> Aesthicis combined topline)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vsABBV!$B$13</c:f>
              <c:strCache>
                <c:ptCount val="1"/>
                <c:pt idx="0">
                  <c:v>Relative Share</c:v>
                </c:pt>
              </c:strCache>
            </c:strRef>
          </c:tx>
          <c:spPr>
            <a:ln w="28575" cap="rnd">
              <a:solidFill>
                <a:schemeClr val="accent1"/>
              </a:solidFill>
              <a:round/>
            </a:ln>
            <a:effectLst/>
          </c:spPr>
          <c:marker>
            <c:symbol val="none"/>
          </c:marker>
          <c:cat>
            <c:strRef>
              <c:extLst>
                <c:ext xmlns:c15="http://schemas.microsoft.com/office/drawing/2012/chart" uri="{02D57815-91ED-43cb-92C2-25804820EDAC}">
                  <c15:fullRef>
                    <c15:sqref>vsABBV!$H$4:$AK$4</c15:sqref>
                  </c15:fullRef>
                </c:ext>
              </c:extLst>
              <c:f>(vsABBV!$H$4:$P$4,vsABBV!$R$4:$U$4,vsABBV!$W$4:$Z$4,vsABBV!$AB$4:$AE$4,vsABBV!$AG$4:$AJ$4)</c:f>
              <c:strCache>
                <c:ptCount val="24"/>
                <c:pt idx="0">
                  <c:v>Q1FY2021</c:v>
                </c:pt>
                <c:pt idx="1">
                  <c:v>Q2FY2021</c:v>
                </c:pt>
                <c:pt idx="2">
                  <c:v>Q3FY2021</c:v>
                </c:pt>
                <c:pt idx="3">
                  <c:v>Q4FY2021</c:v>
                </c:pt>
                <c:pt idx="4">
                  <c:v>Q1FY2022</c:v>
                </c:pt>
                <c:pt idx="5">
                  <c:v>Q2FY2022</c:v>
                </c:pt>
                <c:pt idx="6">
                  <c:v>Q3FY2022</c:v>
                </c:pt>
                <c:pt idx="7">
                  <c:v>Q4FY2022</c:v>
                </c:pt>
                <c:pt idx="8">
                  <c:v>Q1FY2023</c:v>
                </c:pt>
                <c:pt idx="9">
                  <c:v>Q2FY2023</c:v>
                </c:pt>
                <c:pt idx="10">
                  <c:v>Q3FY2023</c:v>
                </c:pt>
                <c:pt idx="11">
                  <c:v>Q4FY2023E</c:v>
                </c:pt>
                <c:pt idx="12">
                  <c:v>Q1FY2024E</c:v>
                </c:pt>
                <c:pt idx="13">
                  <c:v>Q2FY2024E</c:v>
                </c:pt>
                <c:pt idx="14">
                  <c:v>Q3FY2024E</c:v>
                </c:pt>
                <c:pt idx="15">
                  <c:v>Q4FY2024E</c:v>
                </c:pt>
                <c:pt idx="16">
                  <c:v>Q1FY2025E</c:v>
                </c:pt>
                <c:pt idx="17">
                  <c:v>Q2FY2025E</c:v>
                </c:pt>
                <c:pt idx="18">
                  <c:v>Q3FY2025E</c:v>
                </c:pt>
                <c:pt idx="19">
                  <c:v>Q4FY2025E</c:v>
                </c:pt>
                <c:pt idx="20">
                  <c:v>Q1FY2026E</c:v>
                </c:pt>
                <c:pt idx="21">
                  <c:v>Q2FY2026E</c:v>
                </c:pt>
                <c:pt idx="22">
                  <c:v>Q3FY2026E</c:v>
                </c:pt>
                <c:pt idx="23">
                  <c:v>Q4FY2026E</c:v>
                </c:pt>
              </c:strCache>
            </c:strRef>
          </c:cat>
          <c:val>
            <c:numRef>
              <c:extLst>
                <c:ext xmlns:c15="http://schemas.microsoft.com/office/drawing/2012/chart" uri="{02D57815-91ED-43cb-92C2-25804820EDAC}">
                  <c15:fullRef>
                    <c15:sqref>vsABBV!$C$13:$AK$13</c15:sqref>
                  </c15:fullRef>
                </c:ext>
              </c:extLst>
              <c:f>(vsABBV!$C$13:$K$13,vsABBV!$M$13:$P$13,vsABBV!$R$13:$U$13,vsABBV!$W$13:$Z$13,vsABBV!$AB$13:$AE$13,vsABBV!$AG$13:$AJ$13)</c:f>
              <c:numCache>
                <c:formatCode>0.0%;\(0.0%\)</c:formatCode>
                <c:ptCount val="24"/>
                <c:pt idx="0">
                  <c:v>0.12163892445582586</c:v>
                </c:pt>
                <c:pt idx="1">
                  <c:v>0.13613101330603888</c:v>
                </c:pt>
                <c:pt idx="2">
                  <c:v>0.16219799260734935</c:v>
                </c:pt>
                <c:pt idx="3">
                  <c:v>0.18247833216209888</c:v>
                </c:pt>
                <c:pt idx="4">
                  <c:v>0.18928755192450084</c:v>
                </c:pt>
                <c:pt idx="5">
                  <c:v>0.23772087726387717</c:v>
                </c:pt>
                <c:pt idx="6">
                  <c:v>0.2215413481307012</c:v>
                </c:pt>
                <c:pt idx="7">
                  <c:v>0.23302139704083982</c:v>
                </c:pt>
                <c:pt idx="8">
                  <c:v>0.23180230996508192</c:v>
                </c:pt>
                <c:pt idx="9">
                  <c:v>0.26198439241917504</c:v>
                </c:pt>
                <c:pt idx="10">
                  <c:v>0.24633282751643909</c:v>
                </c:pt>
                <c:pt idx="11">
                  <c:v>0.11935755079338037</c:v>
                </c:pt>
                <c:pt idx="12">
                  <c:v>0.12986905467214591</c:v>
                </c:pt>
                <c:pt idx="13">
                  <c:v>0.11376103595136354</c:v>
                </c:pt>
                <c:pt idx="14">
                  <c:v>0.17186175752583377</c:v>
                </c:pt>
                <c:pt idx="15">
                  <c:v>0.18265138127619901</c:v>
                </c:pt>
                <c:pt idx="16">
                  <c:v>0.18832131269016236</c:v>
                </c:pt>
                <c:pt idx="17">
                  <c:v>0.19706512061666553</c:v>
                </c:pt>
                <c:pt idx="18">
                  <c:v>0.20867863740913331</c:v>
                </c:pt>
                <c:pt idx="19">
                  <c:v>0.20195362957139559</c:v>
                </c:pt>
                <c:pt idx="20">
                  <c:v>0.20014083382414741</c:v>
                </c:pt>
                <c:pt idx="21">
                  <c:v>0.20457711232548551</c:v>
                </c:pt>
                <c:pt idx="22">
                  <c:v>0.21179927106593252</c:v>
                </c:pt>
                <c:pt idx="23">
                  <c:v>0.21576861003655592</c:v>
                </c:pt>
              </c:numCache>
            </c:numRef>
          </c:val>
          <c:smooth val="0"/>
          <c:extLst>
            <c:ext xmlns:c16="http://schemas.microsoft.com/office/drawing/2014/chart" uri="{C3380CC4-5D6E-409C-BE32-E72D297353CC}">
              <c16:uniqueId val="{00000000-0D66-4FF3-9CF0-4F75B91B57C5}"/>
            </c:ext>
          </c:extLst>
        </c:ser>
        <c:dLbls>
          <c:showLegendKey val="0"/>
          <c:showVal val="0"/>
          <c:showCatName val="0"/>
          <c:showSerName val="0"/>
          <c:showPercent val="0"/>
          <c:showBubbleSize val="0"/>
        </c:dLbls>
        <c:smooth val="0"/>
        <c:axId val="790740416"/>
        <c:axId val="711150064"/>
      </c:lineChart>
      <c:catAx>
        <c:axId val="790740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1150064"/>
        <c:crosses val="autoZero"/>
        <c:auto val="1"/>
        <c:lblAlgn val="ctr"/>
        <c:lblOffset val="100"/>
        <c:noMultiLvlLbl val="0"/>
      </c:catAx>
      <c:valAx>
        <c:axId val="71115006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0740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8</xdr:col>
      <xdr:colOff>352424</xdr:colOff>
      <xdr:row>17</xdr:row>
      <xdr:rowOff>174624</xdr:rowOff>
    </xdr:from>
    <xdr:to>
      <xdr:col>19</xdr:col>
      <xdr:colOff>482599</xdr:colOff>
      <xdr:row>36</xdr:row>
      <xdr:rowOff>25399</xdr:rowOff>
    </xdr:to>
    <xdr:graphicFrame macro="">
      <xdr:nvGraphicFramePr>
        <xdr:cNvPr id="2" name="Chart 1">
          <a:extLst>
            <a:ext uri="{FF2B5EF4-FFF2-40B4-BE49-F238E27FC236}">
              <a16:creationId xmlns:a16="http://schemas.microsoft.com/office/drawing/2014/main" id="{66873F2E-8B3E-AA36-30AC-BCFE74C9D9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669924</xdr:colOff>
      <xdr:row>19</xdr:row>
      <xdr:rowOff>136524</xdr:rowOff>
    </xdr:from>
    <xdr:to>
      <xdr:col>30</xdr:col>
      <xdr:colOff>622300</xdr:colOff>
      <xdr:row>41</xdr:row>
      <xdr:rowOff>63500</xdr:rowOff>
    </xdr:to>
    <xdr:graphicFrame macro="">
      <xdr:nvGraphicFramePr>
        <xdr:cNvPr id="3" name="Chart 2">
          <a:extLst>
            <a:ext uri="{FF2B5EF4-FFF2-40B4-BE49-F238E27FC236}">
              <a16:creationId xmlns:a16="http://schemas.microsoft.com/office/drawing/2014/main" id="{EE8E4DB0-1FAC-1FC9-BC84-34BB2EFD48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566964</xdr:colOff>
      <xdr:row>47</xdr:row>
      <xdr:rowOff>99786</xdr:rowOff>
    </xdr:from>
    <xdr:to>
      <xdr:col>26</xdr:col>
      <xdr:colOff>81642</xdr:colOff>
      <xdr:row>70</xdr:row>
      <xdr:rowOff>48995</xdr:rowOff>
    </xdr:to>
    <xdr:graphicFrame macro="">
      <xdr:nvGraphicFramePr>
        <xdr:cNvPr id="4" name="Chart 3">
          <a:extLst>
            <a:ext uri="{FF2B5EF4-FFF2-40B4-BE49-F238E27FC236}">
              <a16:creationId xmlns:a16="http://schemas.microsoft.com/office/drawing/2014/main" id="{6E6D29B5-E19F-6F15-54BE-9744666D16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11</xdr:col>
      <xdr:colOff>298973</xdr:colOff>
      <xdr:row>22</xdr:row>
      <xdr:rowOff>120827</xdr:rowOff>
    </xdr:to>
    <xdr:pic>
      <xdr:nvPicPr>
        <xdr:cNvPr id="2" name="Picture 1">
          <a:extLst>
            <a:ext uri="{FF2B5EF4-FFF2-40B4-BE49-F238E27FC236}">
              <a16:creationId xmlns:a16="http://schemas.microsoft.com/office/drawing/2014/main" id="{411F017E-497F-C578-8919-23FE260305FF}"/>
            </a:ext>
          </a:extLst>
        </xdr:cNvPr>
        <xdr:cNvPicPr>
          <a:picLocks noChangeAspect="1"/>
        </xdr:cNvPicPr>
      </xdr:nvPicPr>
      <xdr:blipFill>
        <a:blip xmlns:r="http://schemas.openxmlformats.org/officeDocument/2006/relationships" r:embed="rId1"/>
        <a:stretch>
          <a:fillRect/>
        </a:stretch>
      </xdr:blipFill>
      <xdr:spPr>
        <a:xfrm>
          <a:off x="609600" y="736600"/>
          <a:ext cx="10173223" cy="3435527"/>
        </a:xfrm>
        <a:prstGeom prst="rect">
          <a:avLst/>
        </a:prstGeom>
      </xdr:spPr>
    </xdr:pic>
    <xdr:clientData/>
  </xdr:twoCellAnchor>
  <xdr:twoCellAnchor editAs="oneCell">
    <xdr:from>
      <xdr:col>2</xdr:col>
      <xdr:colOff>0</xdr:colOff>
      <xdr:row>25</xdr:row>
      <xdr:rowOff>1</xdr:rowOff>
    </xdr:from>
    <xdr:to>
      <xdr:col>7</xdr:col>
      <xdr:colOff>738909</xdr:colOff>
      <xdr:row>50</xdr:row>
      <xdr:rowOff>1453</xdr:rowOff>
    </xdr:to>
    <xdr:pic>
      <xdr:nvPicPr>
        <xdr:cNvPr id="3" name="Picture 2">
          <a:extLst>
            <a:ext uri="{FF2B5EF4-FFF2-40B4-BE49-F238E27FC236}">
              <a16:creationId xmlns:a16="http://schemas.microsoft.com/office/drawing/2014/main" id="{C09E6A79-6015-6AF6-FE6D-6936FD58C6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27727" y="4618183"/>
          <a:ext cx="5969000" cy="46196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55</xdr:row>
      <xdr:rowOff>0</xdr:rowOff>
    </xdr:from>
    <xdr:to>
      <xdr:col>7</xdr:col>
      <xdr:colOff>766386</xdr:colOff>
      <xdr:row>73</xdr:row>
      <xdr:rowOff>129487</xdr:rowOff>
    </xdr:to>
    <xdr:pic>
      <xdr:nvPicPr>
        <xdr:cNvPr id="4" name="Picture 3">
          <a:extLst>
            <a:ext uri="{FF2B5EF4-FFF2-40B4-BE49-F238E27FC236}">
              <a16:creationId xmlns:a16="http://schemas.microsoft.com/office/drawing/2014/main" id="{8610F23A-C33E-6CDB-B934-9595A964BCDB}"/>
            </a:ext>
          </a:extLst>
        </xdr:cNvPr>
        <xdr:cNvPicPr>
          <a:picLocks noChangeAspect="1"/>
        </xdr:cNvPicPr>
      </xdr:nvPicPr>
      <xdr:blipFill>
        <a:blip xmlns:r="http://schemas.openxmlformats.org/officeDocument/2006/relationships" r:embed="rId3"/>
        <a:stretch>
          <a:fillRect/>
        </a:stretch>
      </xdr:blipFill>
      <xdr:spPr>
        <a:xfrm>
          <a:off x="611909" y="10160000"/>
          <a:ext cx="6712295" cy="3454578"/>
        </a:xfrm>
        <a:prstGeom prst="rect">
          <a:avLst/>
        </a:prstGeom>
      </xdr:spPr>
    </xdr:pic>
    <xdr:clientData/>
  </xdr:twoCellAnchor>
  <xdr:twoCellAnchor editAs="oneCell">
    <xdr:from>
      <xdr:col>13</xdr:col>
      <xdr:colOff>0</xdr:colOff>
      <xdr:row>6</xdr:row>
      <xdr:rowOff>0</xdr:rowOff>
    </xdr:from>
    <xdr:to>
      <xdr:col>22</xdr:col>
      <xdr:colOff>588818</xdr:colOff>
      <xdr:row>42</xdr:row>
      <xdr:rowOff>8941</xdr:rowOff>
    </xdr:to>
    <xdr:pic>
      <xdr:nvPicPr>
        <xdr:cNvPr id="5" name="Picture 4">
          <a:extLst>
            <a:ext uri="{FF2B5EF4-FFF2-40B4-BE49-F238E27FC236}">
              <a16:creationId xmlns:a16="http://schemas.microsoft.com/office/drawing/2014/main" id="{B1037293-CF62-B984-525A-6F095C8684E4}"/>
            </a:ext>
          </a:extLst>
        </xdr:cNvPr>
        <xdr:cNvPicPr>
          <a:picLocks noChangeAspect="1"/>
        </xdr:cNvPicPr>
      </xdr:nvPicPr>
      <xdr:blipFill>
        <a:blip xmlns:r="http://schemas.openxmlformats.org/officeDocument/2006/relationships" r:embed="rId4"/>
        <a:stretch>
          <a:fillRect/>
        </a:stretch>
      </xdr:blipFill>
      <xdr:spPr>
        <a:xfrm>
          <a:off x="12965545" y="1108364"/>
          <a:ext cx="8543637" cy="665912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ersonal/zach_mariani_point72_com/Documents/Stoinks/DASH/Zach%20MARIANI%20DASH.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amp;variance"/>
      <sheetName val="tower"/>
      <sheetName val="miMonitor"/>
      <sheetName val="shareBuyback"/>
      <sheetName val="growthExploration"/>
      <sheetName val="terms"/>
      <sheetName val="altD"/>
      <sheetName val="dcf"/>
      <sheetName val="debt"/>
      <sheetName val="tax"/>
      <sheetName val="comps"/>
      <sheetName val="Estimates Upload Sheet"/>
      <sheetName val="Reference Data Upload Sheet"/>
    </sheetNames>
    <sheetDataSet>
      <sheetData sheetId="0" refreshError="1"/>
      <sheetData sheetId="1" refreshError="1">
        <row r="10">
          <cell r="AF10">
            <v>8529.1141548134765</v>
          </cell>
        </row>
        <row r="95">
          <cell r="AF95"/>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2.bin"/><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customProperty" Target="../customProperty3.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customProperty" Target="../customProperty4.bin"/><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6.xml.rels><?xml version="1.0" encoding="UTF-8" standalone="yes"?>
<Relationships xmlns="http://schemas.openxmlformats.org/package/2006/relationships"><Relationship Id="rId1" Type="http://schemas.openxmlformats.org/officeDocument/2006/relationships/customProperty" Target="../customProperty6.bin"/></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8.bin"/><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0466A-A073-4767-BA36-E83DFB2F98CD}">
  <sheetPr codeName="Sheet1"/>
  <dimension ref="B1:AO56"/>
  <sheetViews>
    <sheetView showGridLines="0" tabSelected="1" zoomScale="55" zoomScaleNormal="55" workbookViewId="0">
      <selection activeCell="N49" sqref="N49"/>
    </sheetView>
  </sheetViews>
  <sheetFormatPr defaultRowHeight="14.5" outlineLevelCol="1"/>
  <cols>
    <col min="2" max="2" width="24.7265625" customWidth="1"/>
    <col min="3" max="3" width="23.81640625" customWidth="1"/>
    <col min="6" max="6" width="25.453125" customWidth="1"/>
    <col min="7" max="7" width="13.453125" bestFit="1" customWidth="1"/>
    <col min="10" max="10" width="29.36328125" customWidth="1"/>
    <col min="11" max="15" width="14.7265625" customWidth="1"/>
    <col min="16" max="16" width="5.7265625" customWidth="1"/>
    <col min="17" max="18" width="14.7265625" customWidth="1"/>
    <col min="19" max="19" width="18" customWidth="1"/>
    <col min="20" max="22" width="14.7265625" customWidth="1"/>
    <col min="23" max="23" width="3" customWidth="1"/>
    <col min="24" max="24" width="17.7265625" customWidth="1"/>
    <col min="25" max="31" width="15.90625" customWidth="1"/>
    <col min="32" max="35" width="15.90625" hidden="1" customWidth="1" outlineLevel="1"/>
    <col min="36" max="36" width="15.90625" customWidth="1" collapsed="1"/>
    <col min="37" max="40" width="15.90625" hidden="1" customWidth="1" outlineLevel="1"/>
    <col min="41" max="41" width="15.90625" customWidth="1" collapsed="1"/>
  </cols>
  <sheetData>
    <row r="1" spans="2:41" ht="15" thickBot="1"/>
    <row r="2" spans="2:41" ht="21.5" thickBot="1">
      <c r="B2" t="s">
        <v>5</v>
      </c>
      <c r="C2" s="15" t="s">
        <v>293</v>
      </c>
      <c r="F2" t="s">
        <v>6</v>
      </c>
      <c r="G2" s="16" cm="1">
        <f t="array" ref="G2">_xll.BDP(bbg_ticker, "PX_last")</f>
        <v>2.2599999999999998</v>
      </c>
      <c r="J2" s="818" t="s">
        <v>762</v>
      </c>
      <c r="K2" s="818"/>
      <c r="L2" s="818"/>
      <c r="M2" s="818"/>
      <c r="N2" s="818"/>
      <c r="O2" s="818"/>
      <c r="X2" s="652" t="s">
        <v>28</v>
      </c>
      <c r="Y2" s="652"/>
      <c r="Z2" s="652"/>
      <c r="AA2" s="652"/>
      <c r="AB2" s="652"/>
      <c r="AC2" s="652"/>
      <c r="AD2" s="652"/>
      <c r="AE2" s="652"/>
      <c r="AF2" s="652"/>
      <c r="AG2" s="652"/>
      <c r="AH2" s="652"/>
      <c r="AI2" s="652"/>
      <c r="AJ2" s="652"/>
      <c r="AK2" s="652"/>
      <c r="AL2" s="652"/>
      <c r="AM2" s="652"/>
      <c r="AN2" s="652"/>
      <c r="AO2" s="652"/>
    </row>
    <row r="3" spans="2:41" ht="29">
      <c r="B3" t="s">
        <v>7</v>
      </c>
      <c r="C3" s="17" t="s">
        <v>294</v>
      </c>
      <c r="F3" s="146" t="s">
        <v>761</v>
      </c>
      <c r="G3" s="18">
        <f>G4*G2</f>
        <v>296.66296799999992</v>
      </c>
      <c r="J3" s="406" t="s">
        <v>785</v>
      </c>
      <c r="K3" s="404" t="s">
        <v>204</v>
      </c>
      <c r="L3" s="404" t="s">
        <v>701</v>
      </c>
      <c r="M3" s="404" t="s">
        <v>8</v>
      </c>
      <c r="N3" s="404" t="s">
        <v>9</v>
      </c>
      <c r="O3" s="405" t="s">
        <v>10</v>
      </c>
      <c r="P3" s="819"/>
      <c r="Q3" s="520" t="s">
        <v>759</v>
      </c>
      <c r="R3" s="519" t="s">
        <v>292</v>
      </c>
      <c r="S3" s="519" t="s">
        <v>760</v>
      </c>
      <c r="T3" s="144"/>
    </row>
    <row r="4" spans="2:41" ht="21.5" thickBot="1">
      <c r="B4" t="s">
        <v>11</v>
      </c>
      <c r="C4" s="17" t="s">
        <v>295</v>
      </c>
      <c r="F4" t="s">
        <v>12</v>
      </c>
      <c r="G4" s="293" cm="1">
        <f t="array" ref="G4">_xll.BDP(bbg_ticker,"EQY_SH_OUT")</f>
        <v>131.26679999999999</v>
      </c>
      <c r="I4" t="s">
        <v>15</v>
      </c>
      <c r="J4" s="516">
        <f>J5*1.2</f>
        <v>437.09728841543654</v>
      </c>
      <c r="K4" s="289">
        <f t="shared" ref="K4" si="0">J4/$AJ$9-1</f>
        <v>-5.8207281915889642E-3</v>
      </c>
      <c r="L4" s="292">
        <v>5</v>
      </c>
      <c r="M4" s="290">
        <f>S4/$G$4</f>
        <v>12.649706110586857</v>
      </c>
      <c r="N4" s="289">
        <f>M4/$J$8-1</f>
        <v>4.5972150931800257</v>
      </c>
      <c r="O4" s="302">
        <v>0.1</v>
      </c>
      <c r="P4" s="820"/>
      <c r="Q4" s="280">
        <f>J4*L4</f>
        <v>2185.4864420771828</v>
      </c>
      <c r="R4" s="686">
        <f>R5</f>
        <v>525</v>
      </c>
      <c r="S4" s="144">
        <f>Q4-R4</f>
        <v>1660.4864420771828</v>
      </c>
      <c r="T4" s="144"/>
      <c r="X4" s="652" t="s">
        <v>602</v>
      </c>
      <c r="Y4" s="652"/>
      <c r="Z4" s="652"/>
      <c r="AA4" s="652"/>
      <c r="AB4" s="652"/>
      <c r="AC4" s="652"/>
      <c r="AD4" s="652"/>
      <c r="AE4" s="652"/>
      <c r="AF4" s="652"/>
      <c r="AG4" s="652"/>
      <c r="AH4" s="652"/>
      <c r="AI4" s="652"/>
      <c r="AJ4" s="652"/>
      <c r="AK4" s="652"/>
      <c r="AL4" s="652"/>
      <c r="AM4" s="652"/>
      <c r="AN4" s="652"/>
      <c r="AO4" s="652"/>
    </row>
    <row r="5" spans="2:41" ht="15" thickBot="1">
      <c r="B5" t="s">
        <v>14</v>
      </c>
      <c r="C5" s="17" t="str">
        <f>C4&amp;" Equity"</f>
        <v>SKIN US Equity</v>
      </c>
      <c r="I5" t="s">
        <v>13</v>
      </c>
      <c r="J5" s="517">
        <f>AJ8</f>
        <v>364.24774034619713</v>
      </c>
      <c r="K5" s="289">
        <f>J5/$AJ$9-1</f>
        <v>-0.17151727349299084</v>
      </c>
      <c r="L5" s="292">
        <v>3.4</v>
      </c>
      <c r="M5" s="290">
        <f t="shared" ref="M5:M6" si="1">S5/$G$4</f>
        <v>5.4350553009372531</v>
      </c>
      <c r="N5" s="289">
        <f>M5/$J$8-1</f>
        <v>1.4048917260784308</v>
      </c>
      <c r="O5" s="302">
        <v>0.7</v>
      </c>
      <c r="P5" s="820"/>
      <c r="Q5" s="280">
        <f>J5*L5</f>
        <v>1238.4423171770702</v>
      </c>
      <c r="R5" s="686">
        <f>dcf!C16</f>
        <v>525</v>
      </c>
      <c r="S5" s="144">
        <f>Q5-R5</f>
        <v>713.44231717707021</v>
      </c>
      <c r="T5" s="144"/>
    </row>
    <row r="6" spans="2:41" ht="15" thickBot="1">
      <c r="B6" t="s">
        <v>192</v>
      </c>
      <c r="C6" s="17" t="str">
        <f>C3&amp;"_US"</f>
        <v>SKIN_US</v>
      </c>
      <c r="F6" s="21"/>
      <c r="I6" t="s">
        <v>18</v>
      </c>
      <c r="J6" s="518">
        <f>J5*0.75</f>
        <v>273.18580525964785</v>
      </c>
      <c r="K6" s="392">
        <f t="shared" ref="K6" si="2">J6/$AJ$9-1</f>
        <v>-0.37863795511974307</v>
      </c>
      <c r="L6" s="393">
        <v>2</v>
      </c>
      <c r="M6" s="24">
        <f t="shared" si="1"/>
        <v>0.16281047850100483</v>
      </c>
      <c r="N6" s="392">
        <f>M6/$J$8-1</f>
        <v>-0.9279599652650421</v>
      </c>
      <c r="O6" s="394">
        <v>0.2</v>
      </c>
      <c r="P6" s="820"/>
      <c r="Q6" s="280">
        <f>J6*L6</f>
        <v>546.3716105192957</v>
      </c>
      <c r="R6" s="686">
        <f>R5</f>
        <v>525</v>
      </c>
      <c r="S6" s="144">
        <f>Q6-R6</f>
        <v>21.3716105192957</v>
      </c>
      <c r="T6" s="144"/>
      <c r="X6" s="27"/>
      <c r="Y6" s="28" t="str">
        <f>tower!AC4</f>
        <v>4QFY-2023</v>
      </c>
      <c r="Z6" s="28" t="str">
        <f>tower!AD4</f>
        <v>FY-2023</v>
      </c>
      <c r="AA6" s="28" t="str">
        <f>tower!AE4</f>
        <v>1QFY-2024</v>
      </c>
      <c r="AB6" s="28" t="str">
        <f>tower!AF4</f>
        <v>2QFY-2024</v>
      </c>
      <c r="AC6" s="28" t="str">
        <f>tower!AG4</f>
        <v>3QFY-2024</v>
      </c>
      <c r="AD6" s="28" t="str">
        <f>tower!AH4</f>
        <v>4QFY-2024</v>
      </c>
      <c r="AE6" s="28" t="str">
        <f>tower!AI4</f>
        <v>FY-2024</v>
      </c>
      <c r="AF6" s="28" t="str">
        <f>tower!AJ4</f>
        <v>1QFY-2025</v>
      </c>
      <c r="AG6" s="28" t="str">
        <f>tower!AK4</f>
        <v>2QFY-2025</v>
      </c>
      <c r="AH6" s="28" t="str">
        <f>tower!AL4</f>
        <v>3QFY-2025</v>
      </c>
      <c r="AI6" s="28" t="str">
        <f>tower!AM4</f>
        <v>4QFY-2025</v>
      </c>
      <c r="AJ6" s="28" t="str">
        <f>tower!AN4</f>
        <v>FY-2025</v>
      </c>
      <c r="AK6" s="28" t="str">
        <f>tower!AO4</f>
        <v>1QFY-2026</v>
      </c>
      <c r="AL6" s="28" t="str">
        <f>tower!AP4</f>
        <v>2QFY-2026</v>
      </c>
      <c r="AM6" s="28" t="str">
        <f>tower!AQ4</f>
        <v>3QFY-2026</v>
      </c>
      <c r="AN6" s="28" t="str">
        <f>tower!AR4</f>
        <v>4QFY-2026</v>
      </c>
      <c r="AO6" s="28" t="str">
        <f>tower!AS4</f>
        <v>FY-2026</v>
      </c>
    </row>
    <row r="7" spans="2:41" ht="16.5" customHeight="1" thickBot="1">
      <c r="B7" t="s">
        <v>16</v>
      </c>
      <c r="C7" s="20" t="s">
        <v>17</v>
      </c>
      <c r="J7" s="407" t="s">
        <v>19</v>
      </c>
      <c r="K7" s="403" t="s">
        <v>20</v>
      </c>
      <c r="L7" s="403" t="s">
        <v>21</v>
      </c>
      <c r="M7" s="403" t="s">
        <v>22</v>
      </c>
      <c r="N7" s="390"/>
      <c r="O7" s="145"/>
      <c r="P7" s="143"/>
      <c r="Q7" s="144"/>
      <c r="R7" s="144"/>
      <c r="S7" s="144"/>
      <c r="T7" s="144"/>
      <c r="V7" s="641"/>
      <c r="X7" s="31" t="s">
        <v>101</v>
      </c>
      <c r="Y7" s="298"/>
      <c r="Z7" s="298"/>
      <c r="AA7" s="298"/>
      <c r="AB7" s="298"/>
      <c r="AC7" s="298"/>
      <c r="AD7" s="298"/>
      <c r="AE7" s="298"/>
      <c r="AF7" s="298"/>
      <c r="AG7" s="298"/>
      <c r="AH7" s="298"/>
      <c r="AI7" s="298"/>
      <c r="AJ7" s="298"/>
      <c r="AK7" s="298"/>
      <c r="AL7" s="298"/>
      <c r="AM7" s="298"/>
      <c r="AN7" s="298"/>
      <c r="AO7" s="633"/>
    </row>
    <row r="8" spans="2:41" ht="15" thickBot="1">
      <c r="J8" s="23">
        <f>G2</f>
        <v>2.2599999999999998</v>
      </c>
      <c r="K8" s="24">
        <f>M4*O4+M5*O5+M6*O6</f>
        <v>5.1020714174149644</v>
      </c>
      <c r="L8" s="523">
        <f>K8/J8-1</f>
        <v>1.2575537245198958</v>
      </c>
      <c r="M8" s="301">
        <f>((M5-J8)*O5+ (M4-J8)*O4)/((M6-J8)*O6)*-1</f>
        <v>7.7759050583648603</v>
      </c>
      <c r="N8" s="391"/>
      <c r="O8" s="337"/>
      <c r="P8" s="143"/>
      <c r="Q8" s="143"/>
      <c r="R8" s="143"/>
      <c r="S8" s="143"/>
      <c r="V8" s="641"/>
      <c r="X8" s="294" t="s">
        <v>33</v>
      </c>
      <c r="Y8" s="299">
        <f>tower!AC158</f>
        <v>45.570479155086161</v>
      </c>
      <c r="Z8" s="299">
        <f>tower!AD158</f>
        <v>346.71347915508613</v>
      </c>
      <c r="AA8" s="299">
        <f>tower!AE158</f>
        <v>43.778017310513448</v>
      </c>
      <c r="AB8" s="299">
        <f>tower!AF158</f>
        <v>44.804885592298035</v>
      </c>
      <c r="AC8" s="299">
        <f>tower!AG158</f>
        <v>67.336658976662946</v>
      </c>
      <c r="AD8" s="299">
        <f>tower!AH158</f>
        <v>79.014422495035205</v>
      </c>
      <c r="AE8" s="299">
        <f>tower!AI158</f>
        <v>234.93398437450963</v>
      </c>
      <c r="AF8" s="299">
        <f>tower!AJ158</f>
        <v>77.472342960180072</v>
      </c>
      <c r="AG8" s="299">
        <f>tower!AK158</f>
        <v>94.804312860378786</v>
      </c>
      <c r="AH8" s="299">
        <f>tower!AL158</f>
        <v>91.752677775672581</v>
      </c>
      <c r="AI8" s="299">
        <f>tower!AM158</f>
        <v>100.21840674996571</v>
      </c>
      <c r="AJ8" s="299">
        <f>tower!AN158</f>
        <v>364.24774034619713</v>
      </c>
      <c r="AK8" s="299">
        <f>tower!AO158</f>
        <v>90.814725360266522</v>
      </c>
      <c r="AL8" s="299">
        <f>tower!AP158</f>
        <v>107.98587883108584</v>
      </c>
      <c r="AM8" s="299">
        <f>tower!AQ158</f>
        <v>101.62103176800846</v>
      </c>
      <c r="AN8" s="299">
        <f>tower!AR158</f>
        <v>118.54679686775256</v>
      </c>
      <c r="AO8" s="630">
        <f>tower!AS158</f>
        <v>418.96843282711336</v>
      </c>
    </row>
    <row r="9" spans="2:41">
      <c r="B9" t="s">
        <v>23</v>
      </c>
      <c r="C9" s="22" t="str" cm="1">
        <f t="array" ref="C9">_xll.BDP(bbg_ticker, "EXPECTED_REPORT_DT")</f>
        <v>2/28/2024</v>
      </c>
      <c r="G9" s="25"/>
      <c r="V9" s="641"/>
      <c r="X9" s="295" t="s">
        <v>35</v>
      </c>
      <c r="Y9" s="629">
        <f>tower!AC168</f>
        <v>94.320867004654261</v>
      </c>
      <c r="Z9" s="629">
        <f>tower!AD168</f>
        <v>395.49926700465426</v>
      </c>
      <c r="AA9" s="629">
        <f>tower!AE168</f>
        <v>90.471479072753212</v>
      </c>
      <c r="AB9" s="629">
        <f>tower!AF168</f>
        <v>113.59124492319937</v>
      </c>
      <c r="AC9" s="629">
        <f>tower!AG168</f>
        <v>108.99093286092199</v>
      </c>
      <c r="AD9" s="629">
        <f>tower!AH168</f>
        <v>109.96014529477654</v>
      </c>
      <c r="AE9" s="629">
        <f>tower!AI168</f>
        <v>423.01380215165113</v>
      </c>
      <c r="AF9" s="629">
        <f>tower!AJ168</f>
        <v>98.56606176121997</v>
      </c>
      <c r="AG9" s="629">
        <f>tower!AK168</f>
        <v>113.50585768638601</v>
      </c>
      <c r="AH9" s="629">
        <f>tower!AL168</f>
        <v>113.11733058307533</v>
      </c>
      <c r="AI9" s="629">
        <f>tower!AM168</f>
        <v>114.46715883847267</v>
      </c>
      <c r="AJ9" s="629">
        <f>tower!AN168</f>
        <v>439.65640886915401</v>
      </c>
      <c r="AK9" s="629">
        <f>tower!AO168</f>
        <v>108.99998701620164</v>
      </c>
      <c r="AL9" s="629">
        <f>tower!AP168</f>
        <v>127.66043676509599</v>
      </c>
      <c r="AM9" s="629">
        <f>tower!AQ168</f>
        <v>127.94520317953651</v>
      </c>
      <c r="AN9" s="629">
        <f>tower!AR168</f>
        <v>128.72301451882751</v>
      </c>
      <c r="AO9" s="642">
        <f>tower!AS168</f>
        <v>493.32864147966166</v>
      </c>
    </row>
    <row r="10" spans="2:41" ht="15" thickBot="1">
      <c r="B10" t="s">
        <v>24</v>
      </c>
      <c r="C10" s="20">
        <f ca="1">(TODAY()-C9)*-1</f>
        <v>101</v>
      </c>
      <c r="V10" s="641"/>
      <c r="X10" s="296" t="s">
        <v>37</v>
      </c>
      <c r="Y10" s="411">
        <f>Y8/Y9-1</f>
        <v>-0.51685686739035708</v>
      </c>
      <c r="Z10" s="411">
        <f t="shared" ref="Z10:AO10" si="3">Z8/Z9-1</f>
        <v>-0.12335241028144306</v>
      </c>
      <c r="AA10" s="411">
        <f t="shared" si="3"/>
        <v>-0.51611250573996825</v>
      </c>
      <c r="AB10" s="411">
        <f t="shared" si="3"/>
        <v>-0.60556039664332184</v>
      </c>
      <c r="AC10" s="411">
        <f t="shared" si="3"/>
        <v>-0.38218109333381001</v>
      </c>
      <c r="AD10" s="411">
        <f t="shared" si="3"/>
        <v>-0.28142671798753394</v>
      </c>
      <c r="AE10" s="411">
        <f t="shared" si="3"/>
        <v>-0.44461863140275171</v>
      </c>
      <c r="AF10" s="411">
        <f t="shared" si="3"/>
        <v>-0.21400590045019996</v>
      </c>
      <c r="AG10" s="411">
        <f t="shared" si="3"/>
        <v>-0.16476281671452719</v>
      </c>
      <c r="AH10" s="411">
        <f t="shared" si="3"/>
        <v>-0.18887161407784614</v>
      </c>
      <c r="AI10" s="411">
        <f t="shared" si="3"/>
        <v>-0.12447895302978307</v>
      </c>
      <c r="AJ10" s="411">
        <f t="shared" si="3"/>
        <v>-0.17151727349299084</v>
      </c>
      <c r="AK10" s="411">
        <f t="shared" si="3"/>
        <v>-0.16683728277171339</v>
      </c>
      <c r="AL10" s="411">
        <f t="shared" si="3"/>
        <v>-0.15411632947968601</v>
      </c>
      <c r="AM10" s="411">
        <f t="shared" si="3"/>
        <v>-0.20574566890631441</v>
      </c>
      <c r="AN10" s="411">
        <f t="shared" si="3"/>
        <v>-7.9055153339238626E-2</v>
      </c>
      <c r="AO10" s="632">
        <f t="shared" si="3"/>
        <v>-0.15073158620897531</v>
      </c>
    </row>
    <row r="11" spans="2:41" ht="15" thickBot="1">
      <c r="J11" s="818" t="s">
        <v>763</v>
      </c>
      <c r="K11" s="818"/>
      <c r="L11" s="818"/>
      <c r="M11" s="818"/>
      <c r="N11" s="818"/>
      <c r="O11" s="818"/>
      <c r="V11" s="641"/>
      <c r="X11" s="37" t="s">
        <v>102</v>
      </c>
      <c r="Y11" s="298"/>
      <c r="Z11" s="298"/>
      <c r="AA11" s="298"/>
      <c r="AB11" s="298"/>
      <c r="AC11" s="298"/>
      <c r="AD11" s="298"/>
      <c r="AE11" s="298"/>
      <c r="AF11" s="298"/>
      <c r="AG11" s="298"/>
      <c r="AH11" s="298"/>
      <c r="AI11" s="298"/>
      <c r="AJ11" s="298"/>
      <c r="AK11" s="298"/>
      <c r="AL11" s="298"/>
      <c r="AM11" s="298"/>
      <c r="AN11" s="298"/>
      <c r="AO11" s="633"/>
    </row>
    <row r="12" spans="2:41" ht="19" customHeight="1" thickBot="1">
      <c r="B12" t="s">
        <v>25</v>
      </c>
      <c r="J12" s="406" t="s">
        <v>784</v>
      </c>
      <c r="K12" s="404" t="s">
        <v>204</v>
      </c>
      <c r="L12" s="404" t="s">
        <v>291</v>
      </c>
      <c r="M12" s="404" t="s">
        <v>8</v>
      </c>
      <c r="N12" s="404" t="s">
        <v>9</v>
      </c>
      <c r="O12" s="405" t="s">
        <v>10</v>
      </c>
      <c r="P12" s="819"/>
      <c r="Q12" s="520" t="s">
        <v>759</v>
      </c>
      <c r="R12" s="519" t="s">
        <v>292</v>
      </c>
      <c r="S12" s="519" t="s">
        <v>760</v>
      </c>
      <c r="V12" s="641"/>
      <c r="X12" s="294" t="s">
        <v>33</v>
      </c>
      <c r="Y12" s="857">
        <f>tower!AC159</f>
        <v>-0.53562533342416763</v>
      </c>
      <c r="Z12" s="857">
        <f>tower!AD159</f>
        <v>-5.2374358648596409E-2</v>
      </c>
      <c r="AA12" s="857">
        <f>tower!AE159</f>
        <v>-0.49272285851085229</v>
      </c>
      <c r="AB12" s="857">
        <f>tower!AF159</f>
        <v>-0.61868182474639966</v>
      </c>
      <c r="AC12" s="857">
        <f>tower!AG159</f>
        <v>-0.30865853206711558</v>
      </c>
      <c r="AD12" s="857">
        <f>tower!AH159</f>
        <v>0.73389492408302526</v>
      </c>
      <c r="AE12" s="857">
        <f>tower!AI159</f>
        <v>-0.32239731507691727</v>
      </c>
      <c r="AF12" s="857">
        <f>tower!AJ159</f>
        <v>0.76966312591718977</v>
      </c>
      <c r="AG12" s="857">
        <f>tower!AK159</f>
        <v>1.115936947659022</v>
      </c>
      <c r="AH12" s="857">
        <f>tower!AL159</f>
        <v>0.36259623168223354</v>
      </c>
      <c r="AI12" s="857">
        <f>tower!AM159</f>
        <v>0.26835587207212508</v>
      </c>
      <c r="AJ12" s="857">
        <f>tower!AN159</f>
        <v>0.55042592631276244</v>
      </c>
      <c r="AK12" s="857">
        <f>tower!AO159</f>
        <v>0.17222123263968259</v>
      </c>
      <c r="AL12" s="857">
        <f>tower!AP159</f>
        <v>0.13903972902709549</v>
      </c>
      <c r="AM12" s="857">
        <f>tower!AQ159</f>
        <v>0.10755385272202256</v>
      </c>
      <c r="AN12" s="857">
        <f>tower!AR159</f>
        <v>0.18288446915260037</v>
      </c>
      <c r="AO12" s="858">
        <f>tower!AS159</f>
        <v>0.15022932586735416</v>
      </c>
    </row>
    <row r="13" spans="2:41">
      <c r="B13" t="s">
        <v>26</v>
      </c>
      <c r="C13" s="15" t="s">
        <v>584</v>
      </c>
      <c r="I13" t="s">
        <v>15</v>
      </c>
      <c r="J13" s="516">
        <f>J14*1.2</f>
        <v>117.06485799895437</v>
      </c>
      <c r="K13" s="289">
        <f t="shared" ref="K13" si="4">J13/$AJ$25-1</f>
        <v>1.3100891973051811</v>
      </c>
      <c r="L13" s="292">
        <v>25</v>
      </c>
      <c r="M13" s="290">
        <f>S13/$G$4</f>
        <v>18.295726337305847</v>
      </c>
      <c r="N13" s="289">
        <f>M13/$J$8-1</f>
        <v>7.0954541315512607</v>
      </c>
      <c r="O13" s="302">
        <v>0.1</v>
      </c>
      <c r="P13" s="820"/>
      <c r="Q13" s="280">
        <f>J13*L13</f>
        <v>2926.6214499738589</v>
      </c>
      <c r="R13" s="686">
        <f>R4</f>
        <v>525</v>
      </c>
      <c r="S13" s="144">
        <f>Q13-R13</f>
        <v>2401.6214499738589</v>
      </c>
      <c r="V13" s="641"/>
      <c r="X13" s="295" t="s">
        <v>35</v>
      </c>
      <c r="Y13" s="628">
        <f>tower!AC169</f>
        <v>-3.8846595898889613E-2</v>
      </c>
      <c r="Z13" s="628">
        <f>tower!AD169</f>
        <v>8.0971925926912824E-2</v>
      </c>
      <c r="AA13" s="628">
        <f>tower!AE169</f>
        <v>4.8497326042375111E-2</v>
      </c>
      <c r="AB13" s="628">
        <f>tower!AF169</f>
        <v>-3.3196884516004888E-2</v>
      </c>
      <c r="AC13" s="628">
        <f>tower!AG169</f>
        <v>0.11900341746326459</v>
      </c>
      <c r="AD13" s="628">
        <f>tower!AH169</f>
        <v>0.16580931438374669</v>
      </c>
      <c r="AE13" s="628">
        <f>tower!AI169</f>
        <v>6.9569117928790281E-2</v>
      </c>
      <c r="AF13" s="628">
        <f>tower!AJ169</f>
        <v>8.9471099305864721E-2</v>
      </c>
      <c r="AG13" s="628">
        <f>tower!AK169</f>
        <v>-7.5170614488018206E-4</v>
      </c>
      <c r="AH13" s="628">
        <f>tower!AL169</f>
        <v>3.7860009212131729E-2</v>
      </c>
      <c r="AI13" s="628">
        <f>tower!AM169</f>
        <v>4.0987700876657707E-2</v>
      </c>
      <c r="AJ13" s="628">
        <f>tower!AN169</f>
        <v>3.9342940189777797E-2</v>
      </c>
      <c r="AK13" s="628">
        <f>tower!AO169</f>
        <v>0.10585717911970804</v>
      </c>
      <c r="AL13" s="628">
        <f>tower!AP169</f>
        <v>0.12470351193520557</v>
      </c>
      <c r="AM13" s="628">
        <f>tower!AQ169</f>
        <v>0.13108400383945873</v>
      </c>
      <c r="AN13" s="628">
        <f>tower!AR169</f>
        <v>0.12454101093285286</v>
      </c>
      <c r="AO13" s="640">
        <f>tower!AS169</f>
        <v>0.12207767594826757</v>
      </c>
    </row>
    <row r="14" spans="2:41" ht="15" thickBot="1">
      <c r="B14" t="s">
        <v>27</v>
      </c>
      <c r="C14" s="26" t="str" cm="1">
        <f t="array" ref="C14">_xll.BDP(bbg_ticker, "ANNOUNCEMENT_DT")</f>
        <v>11/13/2023</v>
      </c>
      <c r="I14" t="s">
        <v>13</v>
      </c>
      <c r="J14" s="517">
        <f>AJ24</f>
        <v>97.554048332461974</v>
      </c>
      <c r="K14" s="289">
        <f>J14/$AJ$25-1</f>
        <v>0.92507433108765103</v>
      </c>
      <c r="L14" s="292">
        <v>12</v>
      </c>
      <c r="M14" s="290">
        <f t="shared" ref="M14:M15" si="5">S14/$G$4</f>
        <v>4.9185976956057713</v>
      </c>
      <c r="N14" s="289">
        <f>M14/$J$8-1</f>
        <v>1.1763706617724652</v>
      </c>
      <c r="O14" s="302">
        <v>0.7</v>
      </c>
      <c r="P14" s="820"/>
      <c r="Q14" s="280">
        <f>J14*L14</f>
        <v>1170.6485799895436</v>
      </c>
      <c r="R14" s="686">
        <f>R13</f>
        <v>525</v>
      </c>
      <c r="S14" s="144">
        <f>Q14-R14</f>
        <v>645.64857998954358</v>
      </c>
      <c r="V14" s="641"/>
      <c r="X14" s="297" t="s">
        <v>43</v>
      </c>
      <c r="Y14" s="643">
        <f>(Y12-Y13)*10000</f>
        <v>-4967.7873752527803</v>
      </c>
      <c r="Z14" s="643">
        <f t="shared" ref="Z14:AO14" si="6">(Z12-Z13)*10000</f>
        <v>-1333.4628457550923</v>
      </c>
      <c r="AA14" s="643">
        <f t="shared" si="6"/>
        <v>-5412.2018455322741</v>
      </c>
      <c r="AB14" s="643">
        <f t="shared" si="6"/>
        <v>-5854.8494023039475</v>
      </c>
      <c r="AC14" s="643">
        <f t="shared" si="6"/>
        <v>-4276.6194953038021</v>
      </c>
      <c r="AD14" s="643">
        <f t="shared" si="6"/>
        <v>5680.8560969927858</v>
      </c>
      <c r="AE14" s="643">
        <f t="shared" si="6"/>
        <v>-3919.6643300570754</v>
      </c>
      <c r="AF14" s="643">
        <f t="shared" si="6"/>
        <v>6801.9202661132504</v>
      </c>
      <c r="AG14" s="643">
        <f t="shared" si="6"/>
        <v>11166.88653803902</v>
      </c>
      <c r="AH14" s="643">
        <f t="shared" si="6"/>
        <v>3247.362224701018</v>
      </c>
      <c r="AI14" s="643">
        <f t="shared" si="6"/>
        <v>2273.6817119546736</v>
      </c>
      <c r="AJ14" s="643">
        <f t="shared" si="6"/>
        <v>5110.8298612298468</v>
      </c>
      <c r="AK14" s="643">
        <f t="shared" si="6"/>
        <v>663.64053519974539</v>
      </c>
      <c r="AL14" s="643">
        <f t="shared" si="6"/>
        <v>143.36217091889924</v>
      </c>
      <c r="AM14" s="643">
        <f t="shared" si="6"/>
        <v>-235.30151117436171</v>
      </c>
      <c r="AN14" s="643">
        <f t="shared" si="6"/>
        <v>583.43458219747515</v>
      </c>
      <c r="AO14" s="644">
        <f t="shared" si="6"/>
        <v>281.51649919086583</v>
      </c>
    </row>
    <row r="15" spans="2:41" ht="15" thickBot="1">
      <c r="I15" t="s">
        <v>18</v>
      </c>
      <c r="J15" s="518">
        <f>J14*0.75</f>
        <v>73.165536249346474</v>
      </c>
      <c r="K15" s="392">
        <f t="shared" ref="K15" si="7">J15/$AJ$25-1</f>
        <v>0.44380574831573827</v>
      </c>
      <c r="L15" s="393">
        <v>8</v>
      </c>
      <c r="M15" s="24">
        <f t="shared" si="5"/>
        <v>0.45955481503907913</v>
      </c>
      <c r="N15" s="392">
        <f>M15/$J$8-1</f>
        <v>-0.79665716148713317</v>
      </c>
      <c r="O15" s="394">
        <v>0.2</v>
      </c>
      <c r="P15" s="820"/>
      <c r="Q15" s="280">
        <f>J15*L15</f>
        <v>585.32428999477179</v>
      </c>
      <c r="R15" s="686">
        <f>R14</f>
        <v>525</v>
      </c>
      <c r="S15" s="144">
        <f>Q15-R15</f>
        <v>60.324289994771789</v>
      </c>
      <c r="V15" s="641"/>
      <c r="X15" s="37" t="s">
        <v>568</v>
      </c>
      <c r="Y15" s="298"/>
      <c r="Z15" s="298"/>
      <c r="AA15" s="298"/>
      <c r="AB15" s="298"/>
      <c r="AC15" s="298"/>
      <c r="AD15" s="298"/>
      <c r="AE15" s="298"/>
      <c r="AF15" s="298"/>
      <c r="AG15" s="298"/>
      <c r="AH15" s="298"/>
      <c r="AI15" s="298"/>
      <c r="AJ15" s="298"/>
      <c r="AK15" s="298"/>
      <c r="AL15" s="298"/>
      <c r="AM15" s="298"/>
      <c r="AN15" s="298"/>
      <c r="AO15" s="298"/>
    </row>
    <row r="16" spans="2:41" ht="14" customHeight="1" thickBot="1">
      <c r="B16" t="s">
        <v>29</v>
      </c>
      <c r="G16" s="19"/>
      <c r="J16" s="407" t="s">
        <v>19</v>
      </c>
      <c r="K16" s="403" t="s">
        <v>20</v>
      </c>
      <c r="L16" s="403" t="s">
        <v>21</v>
      </c>
      <c r="M16" s="403" t="s">
        <v>22</v>
      </c>
      <c r="N16" s="390"/>
      <c r="O16" s="145"/>
      <c r="P16" s="143"/>
      <c r="Q16" s="144"/>
      <c r="R16" s="144"/>
      <c r="S16" s="144"/>
      <c r="V16" s="641"/>
      <c r="X16" s="294" t="s">
        <v>33</v>
      </c>
      <c r="Y16" s="639">
        <f>tower!AC165</f>
        <v>0.76698529708460805</v>
      </c>
      <c r="Z16" s="639">
        <f>tower!AD165</f>
        <v>0.68701594202083227</v>
      </c>
      <c r="AA16" s="639">
        <f>tower!AE165</f>
        <v>0.7633930552236815</v>
      </c>
      <c r="AB16" s="639">
        <f>tower!AF165</f>
        <v>0.75964830409542683</v>
      </c>
      <c r="AC16" s="639">
        <f>tower!AG165</f>
        <v>0.76103055852666301</v>
      </c>
      <c r="AD16" s="639">
        <f>tower!AH165</f>
        <v>0.75235466243796023</v>
      </c>
      <c r="AE16" s="639">
        <f>tower!AI165</f>
        <v>0.75828924695718825</v>
      </c>
      <c r="AF16" s="639">
        <f>tower!AJ165</f>
        <v>0.74285904792586066</v>
      </c>
      <c r="AG16" s="639">
        <f>tower!AK165</f>
        <v>0.74885087443795972</v>
      </c>
      <c r="AH16" s="639">
        <f>tower!AL165</f>
        <v>0.73684348178857872</v>
      </c>
      <c r="AI16" s="639">
        <f>tower!AM165</f>
        <v>0.74586133382658049</v>
      </c>
      <c r="AJ16" s="639">
        <f>tower!AN165</f>
        <v>0.74372931002577813</v>
      </c>
      <c r="AK16" s="639">
        <f>tower!AO165</f>
        <v>0.73749493124613741</v>
      </c>
      <c r="AL16" s="639">
        <f>tower!AP165</f>
        <v>0.74785226056811804</v>
      </c>
      <c r="AM16" s="639">
        <f>tower!AQ165</f>
        <v>0.73964310071223438</v>
      </c>
      <c r="AN16" s="639">
        <f>tower!AR165</f>
        <v>0.73967301562023879</v>
      </c>
      <c r="AO16" s="639">
        <f>tower!AS165</f>
        <v>0.74130177994313684</v>
      </c>
    </row>
    <row r="17" spans="2:41" ht="15" thickBot="1">
      <c r="B17" s="29" t="s">
        <v>30</v>
      </c>
      <c r="C17" s="30" t="s">
        <v>31</v>
      </c>
      <c r="J17" s="23">
        <f>$G$2</f>
        <v>2.2599999999999998</v>
      </c>
      <c r="K17" s="24">
        <f>M13*O13+M14*O14+M15*O15</f>
        <v>5.364501983662441</v>
      </c>
      <c r="L17" s="523">
        <f>K17/J17-1</f>
        <v>1.3736734440984253</v>
      </c>
      <c r="M17" s="301">
        <f>((M14-J17)*O14+ (M13-J17)*O13)/((M15-J17)*O15)*-1</f>
        <v>9.621484312864057</v>
      </c>
      <c r="N17" s="391"/>
      <c r="O17" s="337"/>
      <c r="P17" s="143"/>
      <c r="Q17" s="143"/>
      <c r="R17" s="143"/>
      <c r="S17" s="143"/>
      <c r="V17" s="641"/>
      <c r="X17" s="295" t="s">
        <v>35</v>
      </c>
      <c r="Y17" s="638">
        <f>tower!AC171</f>
        <v>0.62583080837336291</v>
      </c>
      <c r="Z17" s="638">
        <f>tower!AD171</f>
        <v>0.64607877571305328</v>
      </c>
      <c r="AA17" s="638">
        <f>tower!AE171</f>
        <v>0.65770445510357889</v>
      </c>
      <c r="AB17" s="638">
        <f>tower!AF171</f>
        <v>0.6619526135276429</v>
      </c>
      <c r="AC17" s="638">
        <f>tower!AG171</f>
        <v>0.67148648077543649</v>
      </c>
      <c r="AD17" s="638">
        <f>tower!AH171</f>
        <v>0.67622383250495244</v>
      </c>
      <c r="AE17" s="638">
        <f>tower!AI171</f>
        <v>0.66721020372946316</v>
      </c>
      <c r="AF17" s="638">
        <f>tower!AJ171</f>
        <v>0.660382139532665</v>
      </c>
      <c r="AG17" s="638">
        <f>tower!AK171</f>
        <v>0.6625740597023565</v>
      </c>
      <c r="AH17" s="638">
        <f>tower!AL171</f>
        <v>0.6810254285583639</v>
      </c>
      <c r="AI17" s="638">
        <f>tower!AM171</f>
        <v>0.68745275500070502</v>
      </c>
      <c r="AJ17" s="638">
        <f>tower!AN171</f>
        <v>0.67330724617021986</v>
      </c>
      <c r="AK17" s="638">
        <f>tower!AO171</f>
        <v>0.67646141849965324</v>
      </c>
      <c r="AL17" s="638">
        <f>tower!AP171</f>
        <v>0.66782145759972278</v>
      </c>
      <c r="AM17" s="638">
        <f>tower!AQ171</f>
        <v>0.68802271640876911</v>
      </c>
      <c r="AN17" s="638">
        <f>tower!AR171</f>
        <v>0.69484526849063266</v>
      </c>
      <c r="AO17" s="638">
        <f>tower!AS171</f>
        <v>0.68202090924593772</v>
      </c>
    </row>
    <row r="18" spans="2:41" ht="15" thickBot="1">
      <c r="B18" s="29" t="s">
        <v>32</v>
      </c>
      <c r="C18" s="32" t="s">
        <v>31</v>
      </c>
      <c r="G18" s="19"/>
      <c r="V18" s="641"/>
      <c r="X18" s="296" t="s">
        <v>43</v>
      </c>
      <c r="Y18" s="40">
        <f>(Y16-Y17)*10000</f>
        <v>1411.5448871124513</v>
      </c>
      <c r="Z18" s="40">
        <f t="shared" ref="Z18:AO18" si="8">(Z16-Z17)*10000</f>
        <v>409.37166307778995</v>
      </c>
      <c r="AA18" s="40">
        <f t="shared" si="8"/>
        <v>1056.8860012010261</v>
      </c>
      <c r="AB18" s="40">
        <f t="shared" si="8"/>
        <v>976.95690567783936</v>
      </c>
      <c r="AC18" s="40">
        <f t="shared" si="8"/>
        <v>895.4407775122653</v>
      </c>
      <c r="AD18" s="40">
        <f t="shared" si="8"/>
        <v>761.30829933007794</v>
      </c>
      <c r="AE18" s="40">
        <f t="shared" si="8"/>
        <v>910.79043227725083</v>
      </c>
      <c r="AF18" s="40">
        <f t="shared" si="8"/>
        <v>824.76908393195663</v>
      </c>
      <c r="AG18" s="40">
        <f t="shared" si="8"/>
        <v>862.76814735603227</v>
      </c>
      <c r="AH18" s="40">
        <f t="shared" si="8"/>
        <v>558.18053230214821</v>
      </c>
      <c r="AI18" s="40">
        <f t="shared" si="8"/>
        <v>584.08578825875463</v>
      </c>
      <c r="AJ18" s="40">
        <f t="shared" si="8"/>
        <v>704.2206385555827</v>
      </c>
      <c r="AK18" s="40">
        <f t="shared" si="8"/>
        <v>610.33512746484166</v>
      </c>
      <c r="AL18" s="40">
        <f t="shared" si="8"/>
        <v>800.30802968395267</v>
      </c>
      <c r="AM18" s="40">
        <f t="shared" si="8"/>
        <v>516.20384303465266</v>
      </c>
      <c r="AN18" s="40">
        <f t="shared" si="8"/>
        <v>448.27747129606132</v>
      </c>
      <c r="AO18" s="40">
        <f t="shared" si="8"/>
        <v>592.80870697199123</v>
      </c>
    </row>
    <row r="19" spans="2:41" ht="15" thickBot="1">
      <c r="B19" s="29" t="s">
        <v>34</v>
      </c>
      <c r="C19" s="33" t="s">
        <v>31</v>
      </c>
      <c r="F19" s="19"/>
      <c r="V19" s="641"/>
      <c r="X19" s="37" t="s">
        <v>594</v>
      </c>
      <c r="Y19" s="298"/>
      <c r="Z19" s="298"/>
      <c r="AA19" s="298"/>
      <c r="AB19" s="298"/>
      <c r="AC19" s="298"/>
      <c r="AD19" s="298"/>
      <c r="AE19" s="298"/>
      <c r="AF19" s="298"/>
      <c r="AG19" s="298"/>
      <c r="AH19" s="298"/>
      <c r="AI19" s="298"/>
      <c r="AJ19" s="298"/>
      <c r="AK19" s="298"/>
      <c r="AL19" s="298"/>
      <c r="AM19" s="298"/>
      <c r="AN19" s="298"/>
      <c r="AO19" s="298"/>
    </row>
    <row r="20" spans="2:41">
      <c r="B20" s="29" t="s">
        <v>36</v>
      </c>
      <c r="C20" s="34" t="s">
        <v>31</v>
      </c>
      <c r="V20" s="641"/>
      <c r="X20" s="294" t="s">
        <v>33</v>
      </c>
      <c r="Y20" s="299">
        <f>tower!AC196</f>
        <v>42.884056573738491</v>
      </c>
      <c r="Z20" s="299">
        <f>tower!AD196</f>
        <v>264.7840565737385</v>
      </c>
      <c r="AA20" s="299">
        <f>tower!AE196</f>
        <v>48.661128821693588</v>
      </c>
      <c r="AB20" s="299">
        <f>tower!AF196</f>
        <v>50.098025196951269</v>
      </c>
      <c r="AC20" s="299">
        <f>tower!AG196</f>
        <v>56.106409978286337</v>
      </c>
      <c r="AD20" s="299">
        <f>tower!AH196</f>
        <v>50.308019854722666</v>
      </c>
      <c r="AE20" s="299">
        <f>tower!AI196</f>
        <v>205.17358385165389</v>
      </c>
      <c r="AF20" s="299">
        <f>tower!AJ196</f>
        <v>60.398908665541477</v>
      </c>
      <c r="AG20" s="299">
        <f>tower!AK196</f>
        <v>64.934755112079756</v>
      </c>
      <c r="AH20" s="299">
        <f>tower!AL196</f>
        <v>62.140416399059816</v>
      </c>
      <c r="AI20" s="299">
        <f>tower!AM196</f>
        <v>56.181084080485334</v>
      </c>
      <c r="AJ20" s="299">
        <f>tower!AN196</f>
        <v>243.6551642571664</v>
      </c>
      <c r="AK20" s="299">
        <f>tower!AO196</f>
        <v>63.769047730490989</v>
      </c>
      <c r="AL20" s="299">
        <f>tower!AP196</f>
        <v>66.94865856765918</v>
      </c>
      <c r="AM20" s="299">
        <f>tower!AQ196</f>
        <v>62.841055478860468</v>
      </c>
      <c r="AN20" s="299">
        <f>tower!AR196</f>
        <v>58.890629891055042</v>
      </c>
      <c r="AO20" s="299">
        <f>tower!AS196</f>
        <v>252.44939166806563</v>
      </c>
    </row>
    <row r="21" spans="2:41">
      <c r="B21" s="35" t="s">
        <v>38</v>
      </c>
      <c r="C21" s="36" t="s">
        <v>31</v>
      </c>
      <c r="V21" s="641"/>
      <c r="X21" s="295" t="s">
        <v>35</v>
      </c>
      <c r="Y21" s="300">
        <f>tower!AC213</f>
        <v>61.083310604283177</v>
      </c>
      <c r="Z21" s="300">
        <f>tower!AD213</f>
        <v>243.45448177756074</v>
      </c>
      <c r="AA21" s="300">
        <f>tower!AE213</f>
        <v>64.769807900241418</v>
      </c>
      <c r="AB21" s="300">
        <f>tower!AF213</f>
        <v>64.611814678095456</v>
      </c>
      <c r="AC21" s="300">
        <f>tower!AG213</f>
        <v>54.365777892347857</v>
      </c>
      <c r="AD21" s="300">
        <f>tower!AH213</f>
        <v>63.78132268563396</v>
      </c>
      <c r="AE21" s="300">
        <f>tower!AI213</f>
        <v>242.06934270685719</v>
      </c>
      <c r="AF21" s="300">
        <f>tower!AJ213</f>
        <v>64.331157222601007</v>
      </c>
      <c r="AG21" s="300">
        <f>tower!AK213</f>
        <v>66.065897148549098</v>
      </c>
      <c r="AH21" s="300">
        <f>tower!AL213</f>
        <v>64.614700149118775</v>
      </c>
      <c r="AI21" s="300">
        <f>tower!AM213</f>
        <v>62.676494382568826</v>
      </c>
      <c r="AJ21" s="300">
        <f>tower!AN213</f>
        <v>265.74742483186338</v>
      </c>
      <c r="AK21" s="300">
        <f>tower!AO213</f>
        <v>66.741106213291033</v>
      </c>
      <c r="AL21" s="300">
        <f>tower!AP213</f>
        <v>68.643248039482188</v>
      </c>
      <c r="AM21" s="300">
        <f>tower!AQ213</f>
        <v>67.082595981273357</v>
      </c>
      <c r="AN21" s="300">
        <f>tower!AR213</f>
        <v>64.484343428951462</v>
      </c>
      <c r="AO21" s="300">
        <f>tower!AS213</f>
        <v>244.07727432394168</v>
      </c>
    </row>
    <row r="22" spans="2:41" ht="15" thickBot="1">
      <c r="B22" s="35" t="s">
        <v>39</v>
      </c>
      <c r="C22" s="38" t="s">
        <v>31</v>
      </c>
      <c r="V22" s="641"/>
      <c r="X22" s="296" t="s">
        <v>37</v>
      </c>
      <c r="Y22" s="411">
        <f>Y20/Y21-1</f>
        <v>-0.29794151381946465</v>
      </c>
      <c r="Z22" s="411">
        <f t="shared" ref="Z22:AO22" si="9">Z20/Z21-1</f>
        <v>8.7612167335930025E-2</v>
      </c>
      <c r="AA22" s="411">
        <f t="shared" si="9"/>
        <v>-0.24870660575925208</v>
      </c>
      <c r="AB22" s="411">
        <f t="shared" si="9"/>
        <v>-0.22463058116311685</v>
      </c>
      <c r="AC22" s="411">
        <f t="shared" si="9"/>
        <v>3.2017054724852612E-2</v>
      </c>
      <c r="AD22" s="411">
        <f t="shared" si="9"/>
        <v>-0.21124213584153229</v>
      </c>
      <c r="AE22" s="411">
        <f t="shared" si="9"/>
        <v>-0.15241813954063399</v>
      </c>
      <c r="AF22" s="411">
        <f t="shared" si="9"/>
        <v>-6.1125102156223021E-2</v>
      </c>
      <c r="AG22" s="411">
        <f t="shared" si="9"/>
        <v>-1.7121420964373968E-2</v>
      </c>
      <c r="AH22" s="411">
        <f t="shared" si="9"/>
        <v>-3.8292892241993948E-2</v>
      </c>
      <c r="AI22" s="411">
        <f t="shared" si="9"/>
        <v>-0.10363391198040506</v>
      </c>
      <c r="AJ22" s="411">
        <f t="shared" si="9"/>
        <v>-8.3132548090257496E-2</v>
      </c>
      <c r="AK22" s="411">
        <f t="shared" si="9"/>
        <v>-4.4531154058219391E-2</v>
      </c>
      <c r="AL22" s="411">
        <f t="shared" si="9"/>
        <v>-2.4686906873175873E-2</v>
      </c>
      <c r="AM22" s="411">
        <f t="shared" si="9"/>
        <v>-6.3228627937966908E-2</v>
      </c>
      <c r="AN22" s="411">
        <f t="shared" si="9"/>
        <v>-8.6745297237298291E-2</v>
      </c>
      <c r="AO22" s="411">
        <f t="shared" si="9"/>
        <v>3.430109323907149E-2</v>
      </c>
    </row>
    <row r="23" spans="2:41" ht="15" thickBot="1">
      <c r="B23" s="35" t="s">
        <v>40</v>
      </c>
      <c r="C23" s="17" t="s">
        <v>41</v>
      </c>
      <c r="G23" s="19"/>
      <c r="V23" s="641"/>
      <c r="X23" s="37" t="s">
        <v>595</v>
      </c>
      <c r="Y23" s="298"/>
      <c r="Z23" s="298"/>
      <c r="AA23" s="298"/>
      <c r="AB23" s="298"/>
      <c r="AC23" s="298"/>
      <c r="AD23" s="298"/>
      <c r="AE23" s="298"/>
      <c r="AF23" s="298"/>
      <c r="AG23" s="298"/>
      <c r="AH23" s="298"/>
      <c r="AI23" s="298"/>
      <c r="AJ23" s="298"/>
      <c r="AK23" s="298"/>
      <c r="AL23" s="298"/>
      <c r="AM23" s="298"/>
      <c r="AN23" s="298"/>
      <c r="AO23" s="298"/>
    </row>
    <row r="24" spans="2:41" ht="15" thickBot="1">
      <c r="B24" s="35" t="s">
        <v>42</v>
      </c>
      <c r="C24" s="39"/>
      <c r="V24" s="641"/>
      <c r="X24" s="294" t="s">
        <v>33</v>
      </c>
      <c r="Y24" s="299">
        <f>tower!AC248</f>
        <v>9.261613571752477</v>
      </c>
      <c r="Z24" s="299">
        <f>tower!AD248</f>
        <v>35.661613571752476</v>
      </c>
      <c r="AA24" s="299">
        <f>tower!AE248</f>
        <v>0.11896855514753413</v>
      </c>
      <c r="AB24" s="859">
        <f>tower!AF248</f>
        <v>-1.2516072000643423</v>
      </c>
      <c r="AC24" s="299">
        <f>tower!AG248</f>
        <v>11.821896549126311</v>
      </c>
      <c r="AD24" s="299">
        <f>tower!AH248</f>
        <v>26.552521338350012</v>
      </c>
      <c r="AE24" s="299">
        <f>tower!AI248</f>
        <v>37.241779242559517</v>
      </c>
      <c r="AF24" s="299">
        <f>tower!AJ248</f>
        <v>13.88974721686778</v>
      </c>
      <c r="AG24" s="299">
        <f>tower!AK248</f>
        <v>24.240700037895298</v>
      </c>
      <c r="AH24" s="299">
        <f>tower!AL248</f>
        <v>22.889162933310274</v>
      </c>
      <c r="AI24" s="299">
        <f>tower!AM248</f>
        <v>36.534438144388616</v>
      </c>
      <c r="AJ24" s="299">
        <f>tower!AN248</f>
        <v>97.554048332461974</v>
      </c>
      <c r="AK24" s="299">
        <f>tower!AO248</f>
        <v>19.784667738558216</v>
      </c>
      <c r="AL24" s="299">
        <f>tower!AP248</f>
        <v>31.952546044694291</v>
      </c>
      <c r="AM24" s="299">
        <f>tower!AQ248</f>
        <v>29.470147978205443</v>
      </c>
      <c r="AN24" s="299">
        <f>tower!AR248</f>
        <v>47.534662620026779</v>
      </c>
      <c r="AO24" s="299">
        <f>tower!AS248</f>
        <v>128.74202438148473</v>
      </c>
    </row>
    <row r="25" spans="2:41">
      <c r="V25" s="641"/>
      <c r="X25" s="295" t="s">
        <v>35</v>
      </c>
      <c r="Y25" s="300">
        <f>tower!AC249</f>
        <v>1.3192885096694082</v>
      </c>
      <c r="Z25" s="300">
        <f>tower!AD249</f>
        <v>28.312468129655336</v>
      </c>
      <c r="AA25" s="300">
        <f>tower!AE249</f>
        <v>-1.8808210244521957</v>
      </c>
      <c r="AB25" s="300">
        <f>tower!AF249</f>
        <v>13.262338517261531</v>
      </c>
      <c r="AC25" s="300">
        <f>tower!AG249</f>
        <v>19.54579777653521</v>
      </c>
      <c r="AD25" s="300">
        <f>tower!AH249</f>
        <v>11.603649826720964</v>
      </c>
      <c r="AE25" s="300">
        <f>tower!AI249</f>
        <v>39.698898873358807</v>
      </c>
      <c r="AF25" s="300">
        <f>tower!AJ249</f>
        <v>3.3142852527291402</v>
      </c>
      <c r="AG25" s="300">
        <f>tower!AK249</f>
        <v>12.065453967410367</v>
      </c>
      <c r="AH25" s="300">
        <f>tower!AL249</f>
        <v>14.142761116700033</v>
      </c>
      <c r="AI25" s="300">
        <f>tower!AM249</f>
        <v>16.752072149839133</v>
      </c>
      <c r="AJ25" s="300">
        <f>tower!AN249</f>
        <v>50.675470945241237</v>
      </c>
      <c r="AK25" s="300">
        <f>tower!AO249</f>
        <v>9.3033213731515705</v>
      </c>
      <c r="AL25" s="300">
        <f>tower!AP249</f>
        <v>19.367618662627553</v>
      </c>
      <c r="AM25" s="300">
        <f>tower!AQ249</f>
        <v>22.07079166832645</v>
      </c>
      <c r="AN25" s="300">
        <f>tower!AR249</f>
        <v>24.5661658504489</v>
      </c>
      <c r="AO25" s="300">
        <f>tower!AS249</f>
        <v>78.56183879673064</v>
      </c>
    </row>
    <row r="26" spans="2:41" ht="15" thickBot="1">
      <c r="D26" s="42"/>
      <c r="V26" s="641"/>
      <c r="X26" s="297" t="s">
        <v>37</v>
      </c>
      <c r="Y26" s="634">
        <f>Y24/Y25-1</f>
        <v>6.0201578380101886</v>
      </c>
      <c r="Z26" s="634">
        <f t="shared" ref="Z26:AO26" si="10">Z24/Z25-1</f>
        <v>0.25957275813758618</v>
      </c>
      <c r="AA26" s="634">
        <f t="shared" si="10"/>
        <v>-1.0632535225844706</v>
      </c>
      <c r="AB26" s="634">
        <f t="shared" si="10"/>
        <v>-1.0943730397497635</v>
      </c>
      <c r="AC26" s="634">
        <f t="shared" si="10"/>
        <v>-0.39516940243193688</v>
      </c>
      <c r="AD26" s="634">
        <f t="shared" si="10"/>
        <v>1.2882904719517372</v>
      </c>
      <c r="AE26" s="634">
        <f t="shared" si="10"/>
        <v>-6.1893898836781536E-2</v>
      </c>
      <c r="AF26" s="634">
        <f t="shared" si="10"/>
        <v>3.1908725887218976</v>
      </c>
      <c r="AG26" s="634">
        <f t="shared" si="10"/>
        <v>1.0090997075925299</v>
      </c>
      <c r="AH26" s="634">
        <f t="shared" si="10"/>
        <v>0.61843665069632903</v>
      </c>
      <c r="AI26" s="634">
        <f t="shared" si="10"/>
        <v>1.1808906872896587</v>
      </c>
      <c r="AJ26" s="634">
        <f t="shared" si="10"/>
        <v>0.92507433108765103</v>
      </c>
      <c r="AK26" s="634">
        <f t="shared" si="10"/>
        <v>1.1266241318562566</v>
      </c>
      <c r="AL26" s="634">
        <f t="shared" si="10"/>
        <v>0.64979219186874326</v>
      </c>
      <c r="AM26" s="634">
        <f t="shared" si="10"/>
        <v>0.33525559123906401</v>
      </c>
      <c r="AN26" s="634">
        <f t="shared" si="10"/>
        <v>0.93496465461492329</v>
      </c>
      <c r="AO26" s="634">
        <f t="shared" si="10"/>
        <v>0.63873486610451313</v>
      </c>
    </row>
    <row r="27" spans="2:41" ht="15" thickBot="1">
      <c r="B27" t="s">
        <v>44</v>
      </c>
      <c r="C27" s="41"/>
      <c r="D27" s="42"/>
    </row>
    <row r="28" spans="2:41" ht="21">
      <c r="B28" s="43" t="s">
        <v>45</v>
      </c>
      <c r="C28" s="44" cm="1">
        <f t="array" ref="C28">_xll.BDP(bbg_ticker,"SI_PERCENT_EQUITY_FLOAT")</f>
        <v>28.995650000000001</v>
      </c>
      <c r="D28" s="42"/>
      <c r="X28" s="652" t="s">
        <v>603</v>
      </c>
      <c r="Y28" s="652"/>
      <c r="Z28" s="652"/>
      <c r="AA28" s="652"/>
      <c r="AB28" s="652"/>
      <c r="AC28" s="652"/>
      <c r="AD28" s="652"/>
      <c r="AE28" s="652"/>
      <c r="AF28" s="652"/>
      <c r="AG28" s="652"/>
      <c r="AH28" s="652"/>
      <c r="AI28" s="652"/>
      <c r="AJ28" s="652"/>
      <c r="AK28" s="652"/>
      <c r="AL28" s="652"/>
      <c r="AM28" s="652"/>
      <c r="AN28" s="652"/>
      <c r="AO28" s="652"/>
    </row>
    <row r="29" spans="2:41" ht="15" thickBot="1">
      <c r="B29" s="45" t="s">
        <v>46</v>
      </c>
      <c r="C29" s="46" cm="1">
        <f t="array" ref="C29">_xll.BDP(bbg_ticker, "Short_Int_ratio")</f>
        <v>7.6788910000000001</v>
      </c>
      <c r="D29" s="42"/>
    </row>
    <row r="30" spans="2:41" ht="15" thickBot="1">
      <c r="B30" s="41"/>
      <c r="D30" s="42"/>
      <c r="G30" s="19"/>
      <c r="V30" s="13"/>
      <c r="X30" s="31" t="s">
        <v>592</v>
      </c>
      <c r="Y30" s="298"/>
      <c r="Z30" s="298"/>
      <c r="AA30" s="298"/>
      <c r="AB30" s="298"/>
      <c r="AC30" s="298"/>
      <c r="AD30" s="298"/>
      <c r="AE30" s="298"/>
      <c r="AF30" s="298"/>
      <c r="AG30" s="298"/>
      <c r="AH30" s="298"/>
      <c r="AI30" s="298"/>
      <c r="AJ30" s="298"/>
      <c r="AK30" s="298"/>
      <c r="AL30" s="298"/>
      <c r="AM30" s="298"/>
      <c r="AN30" s="298"/>
      <c r="AO30" s="633"/>
    </row>
    <row r="31" spans="2:41" ht="15" thickBot="1">
      <c r="B31" s="41" t="s">
        <v>47</v>
      </c>
      <c r="V31" s="13"/>
      <c r="X31" s="294" t="s">
        <v>33</v>
      </c>
      <c r="Y31" s="299">
        <f>tower!AC23</f>
        <v>7.5224791550861587</v>
      </c>
      <c r="Z31" s="299">
        <f>tower!AD23</f>
        <v>169.46547915508617</v>
      </c>
      <c r="AA31" s="299">
        <f>tower!AE23</f>
        <v>8.0128973105134467</v>
      </c>
      <c r="AB31" s="299">
        <f>tower!AF23</f>
        <v>9.039765592298032</v>
      </c>
      <c r="AC31" s="299">
        <f>tower!AG23</f>
        <v>13.120359955005624</v>
      </c>
      <c r="AD31" s="299">
        <f>tower!AH23</f>
        <v>16.534647910227903</v>
      </c>
      <c r="AE31" s="299">
        <f>tower!AI23</f>
        <v>46.707670768045006</v>
      </c>
      <c r="AF31" s="299">
        <f>tower!AJ23</f>
        <v>19.567763917794622</v>
      </c>
      <c r="AG31" s="299">
        <f>tower!AK23</f>
        <v>21.624731263992299</v>
      </c>
      <c r="AH31" s="299">
        <f>tower!AL23</f>
        <v>26.281003667229697</v>
      </c>
      <c r="AI31" s="299">
        <f>tower!AM23</f>
        <v>24.359347104141854</v>
      </c>
      <c r="AJ31" s="299">
        <f>tower!AN23</f>
        <v>91.832845953158483</v>
      </c>
      <c r="AK31" s="299">
        <f>tower!AO23</f>
        <v>25.28106146413301</v>
      </c>
      <c r="AL31" s="299">
        <f>tower!AP23</f>
        <v>24.977817181471138</v>
      </c>
      <c r="AM31" s="299">
        <f>tower!AQ23</f>
        <v>27.399248427462584</v>
      </c>
      <c r="AN31" s="299">
        <f>tower!AR23</f>
        <v>32.403815120558086</v>
      </c>
      <c r="AO31" s="630">
        <f>tower!AS23</f>
        <v>110.06194219362482</v>
      </c>
    </row>
    <row r="32" spans="2:41">
      <c r="B32" s="43" t="s">
        <v>48</v>
      </c>
      <c r="C32" s="47" cm="1">
        <f t="array" ref="C32">_xll.BDP(bbg_ticker, "TOT_ANALYST_REC")</f>
        <v>12</v>
      </c>
      <c r="V32" s="13"/>
      <c r="X32" s="295" t="s">
        <v>35</v>
      </c>
      <c r="Y32" s="629">
        <f>tower!AC28</f>
        <v>45.128091565154996</v>
      </c>
      <c r="Z32" s="629">
        <f>tower!AD28</f>
        <v>208.37071656515499</v>
      </c>
      <c r="AA32" s="629">
        <f>tower!AE28</f>
        <v>44.352125069166668</v>
      </c>
      <c r="AB32" s="629">
        <f>tower!AF28</f>
        <v>56.160387499999999</v>
      </c>
      <c r="AC32" s="629">
        <f>tower!AG28</f>
        <v>55.577950833333333</v>
      </c>
      <c r="AD32" s="629">
        <f>tower!AH28</f>
        <v>52.244189352576733</v>
      </c>
      <c r="AE32" s="629">
        <f>tower!AI28</f>
        <v>200.57925053612658</v>
      </c>
      <c r="AF32" s="629">
        <f>tower!AJ28</f>
        <v>45.844453921690999</v>
      </c>
      <c r="AG32" s="629">
        <f>tower!AK28</f>
        <v>50.517306582750003</v>
      </c>
      <c r="AH32" s="629">
        <f>tower!AL28</f>
        <v>52.057183063749996</v>
      </c>
      <c r="AI32" s="629">
        <f>tower!AM28</f>
        <v>48.121572565870032</v>
      </c>
      <c r="AJ32" s="629">
        <f>tower!AN28</f>
        <v>198.27012968491178</v>
      </c>
      <c r="AK32" s="629">
        <f>tower!AO28</f>
        <v>47.894705927218652</v>
      </c>
      <c r="AL32" s="629">
        <f>tower!AP28</f>
        <v>56.569925449175607</v>
      </c>
      <c r="AM32" s="629">
        <f>tower!AQ28</f>
        <v>56.902226903500953</v>
      </c>
      <c r="AN32" s="629">
        <f>tower!AR28</f>
        <v>52.432378091240196</v>
      </c>
      <c r="AO32" s="642">
        <f>tower!AS28</f>
        <v>196.66462339555133</v>
      </c>
    </row>
    <row r="33" spans="2:41" ht="15" thickBot="1">
      <c r="B33" s="48" t="s">
        <v>49</v>
      </c>
      <c r="C33" s="49" cm="1">
        <f t="array" ref="C33">_xll.BDP(bbg_ticker, "EQY_REC_CONS")</f>
        <v>2.8333332538604736</v>
      </c>
      <c r="V33" s="13"/>
      <c r="X33" s="296" t="s">
        <v>37</v>
      </c>
      <c r="Y33" s="411">
        <f>Y31/Y32-1</f>
        <v>-0.83330828106866961</v>
      </c>
      <c r="Z33" s="411">
        <f t="shared" ref="Z33:AO33" si="11">Z31/Z32-1</f>
        <v>-0.18671163612332076</v>
      </c>
      <c r="AA33" s="411">
        <f t="shared" si="11"/>
        <v>-0.81933453474850604</v>
      </c>
      <c r="AB33" s="411">
        <f t="shared" si="11"/>
        <v>-0.83903662359348874</v>
      </c>
      <c r="AC33" s="411">
        <f t="shared" si="11"/>
        <v>-0.76392868469816666</v>
      </c>
      <c r="AD33" s="411">
        <f t="shared" si="11"/>
        <v>-0.68351221226457026</v>
      </c>
      <c r="AE33" s="411">
        <f t="shared" si="11"/>
        <v>-0.76713607891543878</v>
      </c>
      <c r="AF33" s="411">
        <f t="shared" si="11"/>
        <v>-0.57317053113514649</v>
      </c>
      <c r="AG33" s="411">
        <f t="shared" si="11"/>
        <v>-0.57193419984555494</v>
      </c>
      <c r="AH33" s="411">
        <f t="shared" si="11"/>
        <v>-0.49515125251695635</v>
      </c>
      <c r="AI33" s="411">
        <f t="shared" si="11"/>
        <v>-0.49379569691330927</v>
      </c>
      <c r="AJ33" s="411">
        <f t="shared" si="11"/>
        <v>-0.53682964701189229</v>
      </c>
      <c r="AK33" s="411">
        <f t="shared" si="11"/>
        <v>-0.47215332102570162</v>
      </c>
      <c r="AL33" s="411">
        <f t="shared" si="11"/>
        <v>-0.5584611967729729</v>
      </c>
      <c r="AM33" s="411">
        <f t="shared" si="11"/>
        <v>-0.5184854808243573</v>
      </c>
      <c r="AN33" s="411">
        <f t="shared" si="11"/>
        <v>-0.38198845255176883</v>
      </c>
      <c r="AO33" s="632">
        <f t="shared" si="11"/>
        <v>-0.44035719137825124</v>
      </c>
    </row>
    <row r="34" spans="2:41" ht="15" thickBot="1">
      <c r="B34" s="50" t="s">
        <v>50</v>
      </c>
      <c r="C34" s="303" cm="1">
        <f t="array" ref="C34">_xll.BDP(bbg_ticker, "BEST_ANALYST_REC_4WK_CHG")</f>
        <v>-1.5000002384185791</v>
      </c>
      <c r="F34" s="19"/>
      <c r="V34" s="13"/>
      <c r="X34" s="37" t="s">
        <v>600</v>
      </c>
      <c r="Y34" s="298"/>
      <c r="Z34" s="298"/>
      <c r="AA34" s="298"/>
      <c r="AB34" s="298"/>
      <c r="AC34" s="298"/>
      <c r="AD34" s="298"/>
      <c r="AE34" s="298"/>
      <c r="AF34" s="298"/>
      <c r="AG34" s="298"/>
      <c r="AH34" s="298"/>
      <c r="AI34" s="298"/>
      <c r="AJ34" s="298"/>
      <c r="AK34" s="298"/>
      <c r="AL34" s="298"/>
      <c r="AM34" s="298"/>
      <c r="AN34" s="298"/>
      <c r="AO34" s="633"/>
    </row>
    <row r="35" spans="2:41" ht="15" thickBot="1">
      <c r="B35" s="51" t="s">
        <v>51</v>
      </c>
      <c r="C35" s="304" cm="1">
        <f t="array" ref="C35">_xll.BDP(bbg_ticker, "BEST_ANALYST_REC_6MO_CHG")</f>
        <v>-1.6212122440338135</v>
      </c>
      <c r="V35" s="13"/>
      <c r="X35" s="294" t="s">
        <v>33</v>
      </c>
      <c r="Y35" s="299">
        <f>tower!AC22</f>
        <v>0</v>
      </c>
      <c r="Z35" s="299">
        <f>tower!AD22</f>
        <v>24085.485951547213</v>
      </c>
      <c r="AA35" s="299">
        <f>tower!AE22</f>
        <v>0</v>
      </c>
      <c r="AB35" s="299">
        <f>tower!AF22</f>
        <v>0</v>
      </c>
      <c r="AC35" s="299">
        <f>tower!AG22</f>
        <v>0</v>
      </c>
      <c r="AD35" s="299">
        <f>tower!AH22</f>
        <v>22012.745178547542</v>
      </c>
      <c r="AE35" s="299">
        <f>tower!AI22</f>
        <v>23938.659836152183</v>
      </c>
      <c r="AF35" s="299">
        <f>tower!AJ22</f>
        <v>23744.559660279669</v>
      </c>
      <c r="AG35" s="299">
        <f>tower!AK22</f>
        <v>20824.970063299963</v>
      </c>
      <c r="AH35" s="299">
        <f>tower!AL22</f>
        <v>23971.893375357366</v>
      </c>
      <c r="AI35" s="299">
        <f>tower!AM22</f>
        <v>22858.3601793532</v>
      </c>
      <c r="AJ35" s="299">
        <f>tower!AN22</f>
        <v>22818.510894195402</v>
      </c>
      <c r="AK35" s="299">
        <f>tower!AO22</f>
        <v>24276.346302159149</v>
      </c>
      <c r="AL35" s="299">
        <f>tower!AP22</f>
        <v>21024.109001644436</v>
      </c>
      <c r="AM35" s="299">
        <f>tower!AQ22</f>
        <v>23977.816175853706</v>
      </c>
      <c r="AN35" s="299">
        <f>tower!AR22</f>
        <v>23321.474740471665</v>
      </c>
      <c r="AO35" s="630">
        <f>tower!AS22</f>
        <v>23114.607754093533</v>
      </c>
    </row>
    <row r="36" spans="2:41">
      <c r="V36" s="13"/>
      <c r="X36" s="295" t="s">
        <v>35</v>
      </c>
      <c r="Y36" s="629">
        <f>tower!AC27</f>
        <v>23384.206252009168</v>
      </c>
      <c r="Z36" s="629">
        <f>tower!AD27</f>
        <v>24037.63011479711</v>
      </c>
      <c r="AA36" s="629">
        <f>tower!AE27</f>
        <v>24600.804618242139</v>
      </c>
      <c r="AB36" s="629">
        <f>tower!AF27</f>
        <v>24523.854907917244</v>
      </c>
      <c r="AC36" s="629">
        <f>tower!AG27</f>
        <v>24748.791592246893</v>
      </c>
      <c r="AD36" s="629">
        <f>tower!AH27</f>
        <v>24856.278871219907</v>
      </c>
      <c r="AE36" s="629">
        <f>tower!AI27</f>
        <v>24006.208798439882</v>
      </c>
      <c r="AF36" s="629">
        <f>tower!AJ27</f>
        <v>26202.950984851996</v>
      </c>
      <c r="AG36" s="629">
        <f>tower!AK27</f>
        <v>26185.815286287081</v>
      </c>
      <c r="AH36" s="629">
        <f>tower!AL27</f>
        <v>26408.127701727601</v>
      </c>
      <c r="AI36" s="629">
        <f>tower!AM27</f>
        <v>25906.808441594803</v>
      </c>
      <c r="AJ36" s="629">
        <f>tower!AN27</f>
        <v>24618.560287240576</v>
      </c>
      <c r="AK36" s="629">
        <f>tower!AO27</f>
        <v>26976.092679629652</v>
      </c>
      <c r="AL36" s="629">
        <f>tower!AP27</f>
        <v>27168.88220338985</v>
      </c>
      <c r="AM36" s="629">
        <f>tower!AQ27</f>
        <v>27056.201918604649</v>
      </c>
      <c r="AN36" s="629">
        <f>tower!AR27</f>
        <v>26810.486978604651</v>
      </c>
      <c r="AO36" s="642">
        <f>tower!AS27</f>
        <v>24876.927338657566</v>
      </c>
    </row>
    <row r="37" spans="2:41" ht="15" thickBot="1">
      <c r="V37" s="13"/>
      <c r="X37" s="296" t="s">
        <v>37</v>
      </c>
      <c r="Y37" s="411">
        <f>Y35/Y36-1</f>
        <v>-1</v>
      </c>
      <c r="Z37" s="411">
        <f t="shared" ref="Z37:AO37" si="12">Z35/Z36-1</f>
        <v>1.9908716675294258E-3</v>
      </c>
      <c r="AA37" s="411">
        <f t="shared" si="12"/>
        <v>-1</v>
      </c>
      <c r="AB37" s="411">
        <f t="shared" si="12"/>
        <v>-1</v>
      </c>
      <c r="AC37" s="411">
        <f t="shared" si="12"/>
        <v>-1</v>
      </c>
      <c r="AD37" s="411">
        <f t="shared" si="12"/>
        <v>-0.11439900990026219</v>
      </c>
      <c r="AE37" s="411">
        <f t="shared" si="12"/>
        <v>-2.8138121622973689E-3</v>
      </c>
      <c r="AF37" s="411">
        <f t="shared" si="12"/>
        <v>-9.3821162585600804E-2</v>
      </c>
      <c r="AG37" s="411">
        <f t="shared" si="12"/>
        <v>-0.20472325052237239</v>
      </c>
      <c r="AH37" s="411">
        <f t="shared" si="12"/>
        <v>-9.2253201510035798E-2</v>
      </c>
      <c r="AI37" s="411">
        <f t="shared" si="12"/>
        <v>-0.11766977275931656</v>
      </c>
      <c r="AJ37" s="411">
        <f t="shared" si="12"/>
        <v>-7.3117573572249572E-2</v>
      </c>
      <c r="AK37" s="411">
        <f t="shared" si="12"/>
        <v>-0.10007922235191424</v>
      </c>
      <c r="AL37" s="411">
        <f t="shared" si="12"/>
        <v>-0.22616952570020465</v>
      </c>
      <c r="AM37" s="411">
        <f t="shared" si="12"/>
        <v>-0.11377745302211661</v>
      </c>
      <c r="AN37" s="411">
        <f t="shared" si="12"/>
        <v>-0.13013610088161742</v>
      </c>
      <c r="AO37" s="632">
        <f t="shared" si="12"/>
        <v>-7.0841529605847775E-2</v>
      </c>
    </row>
    <row r="38" spans="2:41" ht="15" thickBot="1">
      <c r="M38" s="822"/>
      <c r="N38" s="822"/>
      <c r="O38" s="822"/>
      <c r="V38" s="13"/>
      <c r="X38" s="37" t="s">
        <v>601</v>
      </c>
      <c r="Y38" s="298"/>
      <c r="Z38" s="298"/>
      <c r="AA38" s="298"/>
      <c r="AB38" s="298"/>
      <c r="AC38" s="298"/>
      <c r="AD38" s="298"/>
      <c r="AE38" s="298"/>
      <c r="AF38" s="298"/>
      <c r="AG38" s="298"/>
      <c r="AH38" s="298"/>
      <c r="AI38" s="298"/>
      <c r="AJ38" s="298"/>
      <c r="AK38" s="298"/>
      <c r="AL38" s="298"/>
      <c r="AM38" s="298"/>
      <c r="AN38" s="298"/>
      <c r="AO38" s="633"/>
    </row>
    <row r="39" spans="2:41">
      <c r="V39" s="13"/>
      <c r="X39" s="294" t="s">
        <v>33</v>
      </c>
      <c r="Y39" s="823">
        <f>tower!AC21</f>
        <v>300</v>
      </c>
      <c r="Z39" s="823">
        <f>tower!AD21</f>
        <v>7036</v>
      </c>
      <c r="AA39" s="823">
        <f>tower!AE21</f>
        <v>300</v>
      </c>
      <c r="AB39" s="823">
        <f>tower!AF21</f>
        <v>400</v>
      </c>
      <c r="AC39" s="823">
        <f>tower!AG21</f>
        <v>500</v>
      </c>
      <c r="AD39" s="823">
        <f>tower!AH21</f>
        <v>751.13974999999994</v>
      </c>
      <c r="AE39" s="823">
        <f>tower!AI21</f>
        <v>1951.1397499999998</v>
      </c>
      <c r="AF39" s="823">
        <f>tower!AJ21</f>
        <v>824.09462200000007</v>
      </c>
      <c r="AG39" s="823">
        <f>tower!AK21</f>
        <v>1038.4039544</v>
      </c>
      <c r="AH39" s="823">
        <f>tower!AL21</f>
        <v>1096.3257368</v>
      </c>
      <c r="AI39" s="823">
        <f>tower!AM21</f>
        <v>1065.6646807999998</v>
      </c>
      <c r="AJ39" s="823">
        <f>tower!AN21</f>
        <v>4024.4889939999994</v>
      </c>
      <c r="AK39" s="823">
        <f>tower!AO21</f>
        <v>1041.3865888</v>
      </c>
      <c r="AL39" s="823">
        <f>tower!AP21</f>
        <v>1188.0559209199998</v>
      </c>
      <c r="AM39" s="823">
        <f>tower!AQ21</f>
        <v>1142.69157068</v>
      </c>
      <c r="AN39" s="823">
        <f>tower!AR21</f>
        <v>1389.4410829999997</v>
      </c>
      <c r="AO39" s="824">
        <f>tower!AS21</f>
        <v>4761.5751633999998</v>
      </c>
    </row>
    <row r="40" spans="2:41">
      <c r="V40" s="13"/>
      <c r="X40" s="295" t="s">
        <v>35</v>
      </c>
      <c r="Y40" s="629">
        <f>tower!AC26</f>
        <v>1929.8534694235175</v>
      </c>
      <c r="Z40" s="629">
        <f>tower!AD26</f>
        <v>8668.5216292136029</v>
      </c>
      <c r="AA40" s="629">
        <f>tower!AE26</f>
        <v>1802.8729449067862</v>
      </c>
      <c r="AB40" s="629">
        <f>tower!AF26</f>
        <v>2290.0309804829772</v>
      </c>
      <c r="AC40" s="629">
        <f>tower!AG26</f>
        <v>2245.6834155387351</v>
      </c>
      <c r="AD40" s="629">
        <f>tower!AH26</f>
        <v>2101.8507888189247</v>
      </c>
      <c r="AE40" s="629">
        <f>tower!AI26</f>
        <v>8355.3072548949021</v>
      </c>
      <c r="AF40" s="629">
        <f>tower!AJ26</f>
        <v>1749.5912558930411</v>
      </c>
      <c r="AG40" s="629">
        <f>tower!AK26</f>
        <v>1929.1859363723829</v>
      </c>
      <c r="AH40" s="629">
        <f>tower!AL26</f>
        <v>1971.2561091691653</v>
      </c>
      <c r="AI40" s="629">
        <f>tower!AM26</f>
        <v>1857.4874892195598</v>
      </c>
      <c r="AJ40" s="629">
        <f>tower!AN26</f>
        <v>8053.6849991050112</v>
      </c>
      <c r="AK40" s="629">
        <f>tower!AO26</f>
        <v>1775.4500807815355</v>
      </c>
      <c r="AL40" s="629">
        <f>tower!AP26</f>
        <v>2082.1587368109463</v>
      </c>
      <c r="AM40" s="629">
        <f>tower!AQ26</f>
        <v>2103.1121468816837</v>
      </c>
      <c r="AN40" s="629">
        <f>tower!AR26</f>
        <v>1955.6667558139609</v>
      </c>
      <c r="AO40" s="642">
        <f>tower!AS26</f>
        <v>7905.502987498935</v>
      </c>
    </row>
    <row r="41" spans="2:41" ht="15" thickBot="1">
      <c r="V41" s="13"/>
      <c r="X41" s="297" t="s">
        <v>598</v>
      </c>
      <c r="Y41" s="647">
        <f>Y39-Y40</f>
        <v>-1629.8534694235175</v>
      </c>
      <c r="Z41" s="647">
        <f t="shared" ref="Z41:AO41" si="13">Z39-Z40</f>
        <v>-1632.5216292136029</v>
      </c>
      <c r="AA41" s="647">
        <f t="shared" si="13"/>
        <v>-1502.8729449067862</v>
      </c>
      <c r="AB41" s="647">
        <f t="shared" si="13"/>
        <v>-1890.0309804829772</v>
      </c>
      <c r="AC41" s="647">
        <f t="shared" si="13"/>
        <v>-1745.6834155387351</v>
      </c>
      <c r="AD41" s="647">
        <f t="shared" si="13"/>
        <v>-1350.7110388189249</v>
      </c>
      <c r="AE41" s="647">
        <f t="shared" si="13"/>
        <v>-6404.1675048949019</v>
      </c>
      <c r="AF41" s="647">
        <f t="shared" si="13"/>
        <v>-925.49663389304101</v>
      </c>
      <c r="AG41" s="647">
        <f t="shared" si="13"/>
        <v>-890.78198197238294</v>
      </c>
      <c r="AH41" s="647">
        <f t="shared" si="13"/>
        <v>-874.9303723691653</v>
      </c>
      <c r="AI41" s="647">
        <f t="shared" si="13"/>
        <v>-791.82280841956003</v>
      </c>
      <c r="AJ41" s="647">
        <f t="shared" si="13"/>
        <v>-4029.1960051050119</v>
      </c>
      <c r="AK41" s="647">
        <f t="shared" si="13"/>
        <v>-734.06349198153544</v>
      </c>
      <c r="AL41" s="647">
        <f t="shared" si="13"/>
        <v>-894.10281589094643</v>
      </c>
      <c r="AM41" s="647">
        <f t="shared" si="13"/>
        <v>-960.42057620168362</v>
      </c>
      <c r="AN41" s="647">
        <f t="shared" si="13"/>
        <v>-566.22567281396118</v>
      </c>
      <c r="AO41" s="648">
        <f t="shared" si="13"/>
        <v>-3143.9278240989352</v>
      </c>
    </row>
    <row r="42" spans="2:41">
      <c r="T42" s="19"/>
    </row>
    <row r="43" spans="2:41" ht="21">
      <c r="X43" s="652" t="s">
        <v>604</v>
      </c>
      <c r="Y43" s="652"/>
      <c r="Z43" s="652"/>
      <c r="AA43" s="652"/>
      <c r="AB43" s="652"/>
      <c r="AC43" s="652"/>
      <c r="AD43" s="652"/>
      <c r="AE43" s="652"/>
      <c r="AF43" s="652"/>
      <c r="AG43" s="652"/>
      <c r="AH43" s="652"/>
      <c r="AI43" s="652"/>
      <c r="AJ43" s="652"/>
      <c r="AK43" s="652"/>
      <c r="AL43" s="652"/>
      <c r="AM43" s="652"/>
      <c r="AN43" s="652"/>
      <c r="AO43" s="652"/>
    </row>
    <row r="44" spans="2:41" ht="15" thickBot="1"/>
    <row r="45" spans="2:41" ht="15" thickBot="1">
      <c r="V45" s="641"/>
      <c r="X45" s="31" t="s">
        <v>593</v>
      </c>
      <c r="Y45" s="298"/>
      <c r="Z45" s="298"/>
      <c r="AA45" s="298"/>
      <c r="AB45" s="298"/>
      <c r="AC45" s="298"/>
      <c r="AD45" s="298"/>
      <c r="AE45" s="298"/>
      <c r="AF45" s="298"/>
      <c r="AG45" s="298"/>
      <c r="AH45" s="298"/>
      <c r="AI45" s="298"/>
      <c r="AJ45" s="298"/>
      <c r="AK45" s="298"/>
      <c r="AL45" s="298"/>
      <c r="AM45" s="298"/>
      <c r="AN45" s="298"/>
      <c r="AO45" s="633"/>
    </row>
    <row r="46" spans="2:41">
      <c r="V46" s="641"/>
      <c r="X46" s="294" t="s">
        <v>33</v>
      </c>
      <c r="Y46" s="637">
        <f>tower!AC59</f>
        <v>25378.449999999997</v>
      </c>
      <c r="Z46" s="637">
        <f>tower!AD59</f>
        <v>23262.827891914494</v>
      </c>
      <c r="AA46" s="637">
        <f>tower!AE59</f>
        <v>27103.449999999997</v>
      </c>
      <c r="AB46" s="637">
        <f>tower!AF59</f>
        <v>28878.449999999997</v>
      </c>
      <c r="AC46" s="637">
        <f>tower!AG59</f>
        <v>30153.449999999997</v>
      </c>
      <c r="AD46" s="637">
        <f>tower!AH59</f>
        <v>30812.237199999996</v>
      </c>
      <c r="AE46" s="637">
        <f>tower!AI59</f>
        <v>28674.737199999996</v>
      </c>
      <c r="AF46" s="637">
        <f>tower!AJ59</f>
        <v>31439.457640000001</v>
      </c>
      <c r="AG46" s="637">
        <f>tower!AK59</f>
        <v>32205.769119999997</v>
      </c>
      <c r="AH46" s="637">
        <f>tower!AL59</f>
        <v>33103.04176</v>
      </c>
      <c r="AI46" s="637">
        <f>tower!AM59</f>
        <v>34009.366959999999</v>
      </c>
      <c r="AJ46" s="637">
        <f>tower!AN59</f>
        <v>32781.161079999998</v>
      </c>
      <c r="AK46" s="637">
        <f>tower!AO59</f>
        <v>34884.010971999989</v>
      </c>
      <c r="AL46" s="637">
        <f>tower!AP59</f>
        <v>35814.909159999996</v>
      </c>
      <c r="AM46" s="637">
        <f>tower!AQ59</f>
        <v>36791.345367999995</v>
      </c>
      <c r="AN46" s="637">
        <f>tower!AR59</f>
        <v>37862.633871999991</v>
      </c>
      <c r="AO46" s="645">
        <f>tower!AS59</f>
        <v>36455.98445199999</v>
      </c>
    </row>
    <row r="47" spans="2:41">
      <c r="V47" s="641"/>
      <c r="X47" s="295" t="s">
        <v>35</v>
      </c>
      <c r="Y47" s="629">
        <f>tower!AC62</f>
        <v>30907.421048914206</v>
      </c>
      <c r="Z47" s="629">
        <f>tower!AD62</f>
        <v>28339.347806533729</v>
      </c>
      <c r="AA47" s="629">
        <f>tower!AE62</f>
        <v>32207.926508414967</v>
      </c>
      <c r="AB47" s="629">
        <f>tower!AF62</f>
        <v>33508.685221567808</v>
      </c>
      <c r="AC47" s="629">
        <f>tower!AG62</f>
        <v>35129.694738051832</v>
      </c>
      <c r="AD47" s="629">
        <f>tower!AH62</f>
        <v>36680.299341926002</v>
      </c>
      <c r="AE47" s="629">
        <f>tower!AI62</f>
        <v>34173.144395430369</v>
      </c>
      <c r="AF47" s="629">
        <f>tower!AJ62</f>
        <v>37528.050257558534</v>
      </c>
      <c r="AG47" s="629">
        <f>tower!AK62</f>
        <v>38966.296697936952</v>
      </c>
      <c r="AH47" s="629">
        <f>tower!AL62</f>
        <v>40513.267631517898</v>
      </c>
      <c r="AI47" s="629">
        <f>tower!AM62</f>
        <v>42011.285064727483</v>
      </c>
      <c r="AJ47" s="629">
        <f>tower!AN62</f>
        <v>39646.999957812863</v>
      </c>
      <c r="AK47" s="629">
        <f>tower!AO62</f>
        <v>43839.580290154474</v>
      </c>
      <c r="AL47" s="629">
        <f>tower!AP62</f>
        <v>45400.91958892715</v>
      </c>
      <c r="AM47" s="629">
        <f>tower!AQ62</f>
        <v>47127.118260718249</v>
      </c>
      <c r="AN47" s="629">
        <f>tower!AR62</f>
        <v>48774.307999943427</v>
      </c>
      <c r="AO47" s="642">
        <f>tower!AS62</f>
        <v>44717.830729594119</v>
      </c>
    </row>
    <row r="48" spans="2:41" ht="15" thickBot="1">
      <c r="V48" s="641"/>
      <c r="X48" s="296" t="s">
        <v>598</v>
      </c>
      <c r="Y48" s="636">
        <f>Y46-Y47</f>
        <v>-5528.971048914209</v>
      </c>
      <c r="Z48" s="636">
        <f t="shared" ref="Z48:AO48" si="14">Z46-Z47</f>
        <v>-5076.5199146192354</v>
      </c>
      <c r="AA48" s="636">
        <f t="shared" si="14"/>
        <v>-5104.4765084149694</v>
      </c>
      <c r="AB48" s="636">
        <f t="shared" si="14"/>
        <v>-4630.2352215678111</v>
      </c>
      <c r="AC48" s="636">
        <f t="shared" si="14"/>
        <v>-4976.2447380518352</v>
      </c>
      <c r="AD48" s="636">
        <f t="shared" si="14"/>
        <v>-5868.062141926006</v>
      </c>
      <c r="AE48" s="636">
        <f t="shared" si="14"/>
        <v>-5498.4071954303727</v>
      </c>
      <c r="AF48" s="636">
        <f t="shared" si="14"/>
        <v>-6088.5926175585337</v>
      </c>
      <c r="AG48" s="636">
        <f t="shared" si="14"/>
        <v>-6760.5275779369549</v>
      </c>
      <c r="AH48" s="636">
        <f t="shared" si="14"/>
        <v>-7410.2258715178978</v>
      </c>
      <c r="AI48" s="636">
        <f t="shared" si="14"/>
        <v>-8001.9181047274833</v>
      </c>
      <c r="AJ48" s="636">
        <f t="shared" si="14"/>
        <v>-6865.8388778128647</v>
      </c>
      <c r="AK48" s="636">
        <f t="shared" si="14"/>
        <v>-8955.5693181544848</v>
      </c>
      <c r="AL48" s="636">
        <f t="shared" si="14"/>
        <v>-9586.0104289271549</v>
      </c>
      <c r="AM48" s="636">
        <f t="shared" si="14"/>
        <v>-10335.772892718254</v>
      </c>
      <c r="AN48" s="636">
        <f t="shared" si="14"/>
        <v>-10911.674127943435</v>
      </c>
      <c r="AO48" s="646">
        <f t="shared" si="14"/>
        <v>-8261.8462775941298</v>
      </c>
    </row>
    <row r="49" spans="22:41" ht="15" thickBot="1">
      <c r="V49" s="641"/>
      <c r="X49" s="37" t="s">
        <v>599</v>
      </c>
      <c r="Y49" s="298"/>
      <c r="Z49" s="298"/>
      <c r="AA49" s="298"/>
      <c r="AB49" s="298"/>
      <c r="AC49" s="298"/>
      <c r="AD49" s="298"/>
      <c r="AE49" s="298"/>
      <c r="AF49" s="298"/>
      <c r="AG49" s="298"/>
      <c r="AH49" s="298"/>
      <c r="AI49" s="298"/>
      <c r="AJ49" s="298"/>
      <c r="AK49" s="298"/>
      <c r="AL49" s="298"/>
      <c r="AM49" s="298"/>
      <c r="AN49" s="298"/>
      <c r="AO49" s="633"/>
    </row>
    <row r="50" spans="22:41">
      <c r="V50" s="641"/>
      <c r="X50" s="294" t="s">
        <v>33</v>
      </c>
      <c r="Y50" s="299">
        <f>Y54*1000000/Y46</f>
        <v>1499.224735947231</v>
      </c>
      <c r="Z50" s="299">
        <f t="shared" ref="Z50:AO50" si="15">Z54*1000000/Z46</f>
        <v>7619.3660041480352</v>
      </c>
      <c r="AA50" s="299">
        <f t="shared" si="15"/>
        <v>1319.5781348868873</v>
      </c>
      <c r="AB50" s="299">
        <f t="shared" si="15"/>
        <v>1238.4709013122242</v>
      </c>
      <c r="AC50" s="299">
        <f t="shared" si="15"/>
        <v>1798.0131302274642</v>
      </c>
      <c r="AD50" s="299">
        <f t="shared" si="15"/>
        <v>2027.7584577600001</v>
      </c>
      <c r="AE50" s="299">
        <f t="shared" si="15"/>
        <v>6564.1861787129001</v>
      </c>
      <c r="AF50" s="299">
        <f t="shared" si="15"/>
        <v>1841.7804691615997</v>
      </c>
      <c r="AG50" s="299">
        <f t="shared" si="15"/>
        <v>2272.2507052607998</v>
      </c>
      <c r="AH50" s="299">
        <f t="shared" si="15"/>
        <v>1977.8144432502108</v>
      </c>
      <c r="AI50" s="299">
        <f t="shared" si="15"/>
        <v>2230.5343035360002</v>
      </c>
      <c r="AJ50" s="299">
        <f t="shared" si="15"/>
        <v>8310.1051158081391</v>
      </c>
      <c r="AK50" s="299">
        <f t="shared" si="15"/>
        <v>1878.6160785448317</v>
      </c>
      <c r="AL50" s="299">
        <f t="shared" si="15"/>
        <v>2317.695719366016</v>
      </c>
      <c r="AM50" s="299">
        <f t="shared" si="15"/>
        <v>2017.3707321152151</v>
      </c>
      <c r="AN50" s="299">
        <f t="shared" si="15"/>
        <v>2275.1449896067202</v>
      </c>
      <c r="AO50" s="630">
        <f t="shared" si="15"/>
        <v>8473.4096548733251</v>
      </c>
    </row>
    <row r="51" spans="22:41">
      <c r="V51" s="641"/>
      <c r="X51" s="295" t="s">
        <v>35</v>
      </c>
      <c r="Y51" s="629">
        <f t="shared" ref="Y51" si="16">Y55*1000000/Y47</f>
        <v>1639.1818565160045</v>
      </c>
      <c r="Z51" s="629">
        <f t="shared" ref="Z51:AO51" si="17">Z55*1000000/Z47</f>
        <v>6721.1295747740123</v>
      </c>
      <c r="AA51" s="629">
        <f t="shared" si="17"/>
        <v>1495.8785693717296</v>
      </c>
      <c r="AB51" s="629">
        <f t="shared" si="17"/>
        <v>1703.1232953558708</v>
      </c>
      <c r="AC51" s="629">
        <f t="shared" si="17"/>
        <v>1582.4587545024672</v>
      </c>
      <c r="AD51" s="629">
        <f t="shared" si="17"/>
        <v>1686.6993359839939</v>
      </c>
      <c r="AE51" s="629">
        <f t="shared" si="17"/>
        <v>6413.3282058386794</v>
      </c>
      <c r="AF51" s="629">
        <f t="shared" si="17"/>
        <v>1404.8586984321191</v>
      </c>
      <c r="AG51" s="629">
        <f t="shared" si="17"/>
        <v>1616.4880022322202</v>
      </c>
      <c r="AH51" s="629">
        <f t="shared" si="17"/>
        <v>1507.1642227106556</v>
      </c>
      <c r="AI51" s="629">
        <f t="shared" si="17"/>
        <v>1579.2324888510975</v>
      </c>
      <c r="AJ51" s="629">
        <f t="shared" si="17"/>
        <v>6345.014230021161</v>
      </c>
      <c r="AK51" s="629">
        <f t="shared" si="17"/>
        <v>1393.8381865098802</v>
      </c>
      <c r="AL51" s="629">
        <f t="shared" si="17"/>
        <v>1565.8385768304699</v>
      </c>
      <c r="AM51" s="629">
        <f t="shared" si="17"/>
        <v>1507.475502385036</v>
      </c>
      <c r="AN51" s="629">
        <f t="shared" si="17"/>
        <v>1564.1562034601513</v>
      </c>
      <c r="AO51" s="642">
        <f t="shared" si="17"/>
        <v>5902.9260160412941</v>
      </c>
    </row>
    <row r="52" spans="22:41" ht="15" thickBot="1">
      <c r="V52" s="641"/>
      <c r="X52" s="296" t="s">
        <v>37</v>
      </c>
      <c r="Y52" s="411">
        <f>Y50/Y51-1</f>
        <v>-8.538230216032594E-2</v>
      </c>
      <c r="Z52" s="411">
        <f t="shared" ref="Z52:AO52" si="18">Z50/Z51-1</f>
        <v>0.13364367096050578</v>
      </c>
      <c r="AA52" s="411">
        <f t="shared" si="18"/>
        <v>-0.11785745052747743</v>
      </c>
      <c r="AB52" s="411">
        <f t="shared" si="18"/>
        <v>-0.27282369709267384</v>
      </c>
      <c r="AC52" s="411">
        <f t="shared" si="18"/>
        <v>0.13621484611317314</v>
      </c>
      <c r="AD52" s="411">
        <f t="shared" si="18"/>
        <v>0.20220504893780467</v>
      </c>
      <c r="AE52" s="411">
        <f t="shared" si="18"/>
        <v>2.3522571749388987E-2</v>
      </c>
      <c r="AF52" s="411">
        <f t="shared" si="18"/>
        <v>0.31100762746965471</v>
      </c>
      <c r="AG52" s="411">
        <f t="shared" si="18"/>
        <v>0.40567124663036913</v>
      </c>
      <c r="AH52" s="411">
        <f t="shared" si="18"/>
        <v>0.31227534030305226</v>
      </c>
      <c r="AI52" s="411">
        <f t="shared" si="18"/>
        <v>0.41241667663431181</v>
      </c>
      <c r="AJ52" s="411">
        <f t="shared" si="18"/>
        <v>0.3097063008132015</v>
      </c>
      <c r="AK52" s="411">
        <f t="shared" si="18"/>
        <v>0.34780069647023915</v>
      </c>
      <c r="AL52" s="411">
        <f t="shared" si="18"/>
        <v>0.48016261296706331</v>
      </c>
      <c r="AM52" s="411">
        <f t="shared" si="18"/>
        <v>0.33824445500006739</v>
      </c>
      <c r="AN52" s="411">
        <f t="shared" si="18"/>
        <v>0.45455101259947917</v>
      </c>
      <c r="AO52" s="632">
        <f t="shared" si="18"/>
        <v>0.43545923358122751</v>
      </c>
    </row>
    <row r="53" spans="22:41" ht="15" thickBot="1">
      <c r="V53" s="641"/>
      <c r="X53" s="37" t="s">
        <v>536</v>
      </c>
      <c r="Y53" s="298"/>
      <c r="Z53" s="298"/>
      <c r="AA53" s="298"/>
      <c r="AB53" s="298"/>
      <c r="AC53" s="298"/>
      <c r="AD53" s="298"/>
      <c r="AE53" s="298"/>
      <c r="AF53" s="298"/>
      <c r="AG53" s="298"/>
      <c r="AH53" s="298"/>
      <c r="AI53" s="298"/>
      <c r="AJ53" s="298"/>
      <c r="AK53" s="298"/>
      <c r="AL53" s="298"/>
      <c r="AM53" s="298"/>
      <c r="AN53" s="298"/>
      <c r="AO53" s="633"/>
    </row>
    <row r="54" spans="22:41">
      <c r="V54" s="641"/>
      <c r="X54" s="294" t="s">
        <v>33</v>
      </c>
      <c r="Y54" s="299">
        <f>tower!AC103</f>
        <v>38.048000000000002</v>
      </c>
      <c r="Z54" s="299">
        <f>tower!AD103</f>
        <v>177.24799999999999</v>
      </c>
      <c r="AA54" s="299">
        <f>tower!AE103</f>
        <v>35.765120000000003</v>
      </c>
      <c r="AB54" s="299">
        <f>tower!AF103</f>
        <v>35.765120000000003</v>
      </c>
      <c r="AC54" s="299">
        <f>tower!AG103</f>
        <v>54.216299021657328</v>
      </c>
      <c r="AD54" s="299">
        <f>tower!AH103</f>
        <v>62.479774584807295</v>
      </c>
      <c r="AE54" s="299">
        <f>tower!AI103</f>
        <v>188.22631360646463</v>
      </c>
      <c r="AF54" s="299">
        <f>tower!AJ103</f>
        <v>57.904579042385443</v>
      </c>
      <c r="AG54" s="299">
        <f>tower!AK103</f>
        <v>73.179581596386484</v>
      </c>
      <c r="AH54" s="299">
        <f>tower!AL103</f>
        <v>65.471674108442883</v>
      </c>
      <c r="AI54" s="299">
        <f>tower!AM103</f>
        <v>75.859059645823848</v>
      </c>
      <c r="AJ54" s="299">
        <f>tower!AN103</f>
        <v>272.41489439303865</v>
      </c>
      <c r="AK54" s="299">
        <f>tower!AO103</f>
        <v>65.533663896133504</v>
      </c>
      <c r="AL54" s="299">
        <f>tower!AP103</f>
        <v>83.008061649614703</v>
      </c>
      <c r="AM54" s="299">
        <f>tower!AQ103</f>
        <v>74.221783340545883</v>
      </c>
      <c r="AN54" s="299">
        <f>tower!AR103</f>
        <v>86.142981747194469</v>
      </c>
      <c r="AO54" s="630">
        <f>tower!AS103</f>
        <v>308.90649063348854</v>
      </c>
    </row>
    <row r="55" spans="22:41">
      <c r="V55" s="641"/>
      <c r="X55" s="295" t="s">
        <v>35</v>
      </c>
      <c r="Y55" s="300">
        <f>tower!AC110</f>
        <v>50.662883815081024</v>
      </c>
      <c r="Z55" s="300">
        <f>tower!AD110</f>
        <v>190.47242867230088</v>
      </c>
      <c r="AA55" s="300">
        <f>tower!AE110</f>
        <v>48.17914702783758</v>
      </c>
      <c r="AB55" s="300">
        <f>tower!AF110</f>
        <v>57.069422397599133</v>
      </c>
      <c r="AC55" s="300">
        <f>tower!AG110</f>
        <v>55.59129298122938</v>
      </c>
      <c r="AD55" s="300">
        <f>tower!AH110</f>
        <v>61.868636543720712</v>
      </c>
      <c r="AE55" s="300">
        <f>tower!AI110</f>
        <v>219.16359083341158</v>
      </c>
      <c r="AF55" s="300">
        <f>tower!AJ110</f>
        <v>52.721607839528836</v>
      </c>
      <c r="AG55" s="300">
        <f>tower!AK110</f>
        <v>62.988551103636063</v>
      </c>
      <c r="AH55" s="300">
        <f>tower!AL110</f>
        <v>61.060147519325433</v>
      </c>
      <c r="AI55" s="300">
        <f>tower!AM110</f>
        <v>66.345586272602532</v>
      </c>
      <c r="AJ55" s="300">
        <f>tower!AN110</f>
        <v>251.56077890997099</v>
      </c>
      <c r="AK55" s="300">
        <f>tower!AO110</f>
        <v>61.105281088983197</v>
      </c>
      <c r="AL55" s="300">
        <f>tower!AP110</f>
        <v>71.090511315920295</v>
      </c>
      <c r="AM55" s="300">
        <f>tower!AQ110</f>
        <v>71.042976276035247</v>
      </c>
      <c r="AN55" s="300">
        <f>tower!AR110</f>
        <v>76.2906364275876</v>
      </c>
      <c r="AO55" s="631">
        <f>tower!AS110</f>
        <v>263.96604639465198</v>
      </c>
    </row>
    <row r="56" spans="22:41" ht="15" thickBot="1">
      <c r="V56" s="641"/>
      <c r="X56" s="297" t="s">
        <v>37</v>
      </c>
      <c r="Y56" s="634">
        <f>Y54/Y55-1</f>
        <v>-0.2489965605022646</v>
      </c>
      <c r="Z56" s="634">
        <f t="shared" ref="Z56:AO56" si="19">Z54/Z55-1</f>
        <v>-6.9429621727840285E-2</v>
      </c>
      <c r="AA56" s="634">
        <f t="shared" si="19"/>
        <v>-0.25766390219953117</v>
      </c>
      <c r="AB56" s="634">
        <f t="shared" si="19"/>
        <v>-0.37330502925320275</v>
      </c>
      <c r="AC56" s="634">
        <f t="shared" si="19"/>
        <v>-2.4733980554046964E-2</v>
      </c>
      <c r="AD56" s="634">
        <f t="shared" si="19"/>
        <v>9.8779943316629204E-3</v>
      </c>
      <c r="AE56" s="634">
        <f t="shared" si="19"/>
        <v>-0.14116066044228437</v>
      </c>
      <c r="AF56" s="634">
        <f t="shared" si="19"/>
        <v>9.8308291709013451E-2</v>
      </c>
      <c r="AG56" s="634">
        <f t="shared" si="19"/>
        <v>0.16179179095551754</v>
      </c>
      <c r="AH56" s="634">
        <f t="shared" si="19"/>
        <v>7.2248868834147606E-2</v>
      </c>
      <c r="AI56" s="634">
        <f t="shared" si="19"/>
        <v>0.14339270941298343</v>
      </c>
      <c r="AJ56" s="634">
        <f t="shared" si="19"/>
        <v>8.2898914423106262E-2</v>
      </c>
      <c r="AK56" s="634">
        <f t="shared" si="19"/>
        <v>7.2471359729146423E-2</v>
      </c>
      <c r="AL56" s="634">
        <f t="shared" si="19"/>
        <v>0.16763911404060394</v>
      </c>
      <c r="AM56" s="634">
        <f t="shared" si="19"/>
        <v>4.4744846445614606E-2</v>
      </c>
      <c r="AN56" s="634">
        <f t="shared" si="19"/>
        <v>0.12914226150096897</v>
      </c>
      <c r="AO56" s="635">
        <f t="shared" si="19"/>
        <v>0.17025085177677246</v>
      </c>
    </row>
  </sheetData>
  <mergeCells count="6">
    <mergeCell ref="X4:AO4"/>
    <mergeCell ref="X2:AO2"/>
    <mergeCell ref="X28:AO28"/>
    <mergeCell ref="X43:AO43"/>
    <mergeCell ref="J2:O2"/>
    <mergeCell ref="J11:O11"/>
  </mergeCells>
  <conditionalFormatting sqref="Y10:AO10 Y14:AO14 Y33:AO33 Y48:AO48 Y22:AO22 Y26:AO26 Y56:AO56 Y18:AO18">
    <cfRule type="cellIs" dxfId="9" priority="35" operator="lessThan">
      <formula>0</formula>
    </cfRule>
    <cfRule type="cellIs" dxfId="8" priority="36" operator="greaterThan">
      <formula>0</formula>
    </cfRule>
  </conditionalFormatting>
  <conditionalFormatting sqref="C34:C35">
    <cfRule type="cellIs" dxfId="7" priority="33" operator="lessThan">
      <formula>0</formula>
    </cfRule>
    <cfRule type="cellIs" dxfId="6" priority="34" operator="greaterThan">
      <formula>0</formula>
    </cfRule>
  </conditionalFormatting>
  <conditionalFormatting sqref="Y52:AO52">
    <cfRule type="cellIs" dxfId="5" priority="7" operator="lessThan">
      <formula>0</formula>
    </cfRule>
    <cfRule type="cellIs" dxfId="4" priority="8" operator="greaterThan">
      <formula>0</formula>
    </cfRule>
  </conditionalFormatting>
  <conditionalFormatting sqref="Y37:AO37">
    <cfRule type="cellIs" dxfId="3" priority="5" operator="lessThan">
      <formula>0</formula>
    </cfRule>
    <cfRule type="cellIs" dxfId="2" priority="6" operator="greaterThan">
      <formula>0</formula>
    </cfRule>
  </conditionalFormatting>
  <conditionalFormatting sqref="Y41:AO41">
    <cfRule type="cellIs" dxfId="1" priority="1" operator="lessThan">
      <formula>0</formula>
    </cfRule>
    <cfRule type="cellIs" dxfId="0" priority="2" operator="greaterThan">
      <formula>0</formula>
    </cfRule>
  </conditionalFormatting>
  <pageMargins left="0.7" right="0.7" top="0.75" bottom="0.75" header="0.3" footer="0.3"/>
  <pageSetup orientation="portrait" verticalDpi="0" r:id="rId1"/>
  <customProperties>
    <customPr name="UniqueWorksheetId" r:id="rId2"/>
  </customProperties>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7FCF1-4FEA-49F3-BEB9-BFA7E2ED6B9C}">
  <sheetPr codeName="Sheet2"/>
  <dimension ref="A1:JI660"/>
  <sheetViews>
    <sheetView showGridLines="0" zoomScale="70" zoomScaleNormal="70" workbookViewId="0">
      <pane xSplit="1" ySplit="16" topLeftCell="X122" activePane="bottomRight" state="frozen"/>
      <selection pane="topRight" activeCell="B1" sqref="B1"/>
      <selection pane="bottomLeft" activeCell="A17" sqref="A17"/>
      <selection pane="bottomRight" activeCell="AW158" sqref="AW158"/>
    </sheetView>
  </sheetViews>
  <sheetFormatPr defaultRowHeight="14.5" outlineLevelRow="2" outlineLevelCol="1"/>
  <cols>
    <col min="1" max="1" width="85.08984375" customWidth="1"/>
    <col min="2" max="2" width="10.6328125" customWidth="1"/>
    <col min="3" max="5" width="15.08984375" style="13" customWidth="1"/>
    <col min="6" max="6" width="20" hidden="1" customWidth="1" outlineLevel="1"/>
    <col min="7" max="9" width="15.08984375" hidden="1" customWidth="1" outlineLevel="1"/>
    <col min="10" max="10" width="15.08984375" style="13" customWidth="1" collapsed="1"/>
    <col min="11" max="11" width="20" customWidth="1" outlineLevel="1"/>
    <col min="12" max="14" width="15.08984375" customWidth="1" outlineLevel="1"/>
    <col min="15" max="15" width="15.08984375" style="13" customWidth="1"/>
    <col min="16" max="19" width="15.08984375" hidden="1" customWidth="1" outlineLevel="1"/>
    <col min="20" max="20" width="15.08984375" style="13" customWidth="1" collapsed="1"/>
    <col min="21" max="24" width="15.08984375" customWidth="1" outlineLevel="1"/>
    <col min="25" max="25" width="15.08984375" style="13" customWidth="1"/>
    <col min="26" max="29" width="15.08984375" customWidth="1" outlineLevel="1"/>
    <col min="30" max="30" width="15.08984375" style="14" customWidth="1"/>
    <col min="31" max="34" width="15.08984375" customWidth="1" outlineLevel="1"/>
    <col min="35" max="35" width="15.08984375" style="14" customWidth="1"/>
    <col min="36" max="39" width="15.08984375" customWidth="1" outlineLevel="1"/>
    <col min="40" max="40" width="15.08984375" style="14" customWidth="1"/>
    <col min="41" max="44" width="15.08984375" customWidth="1" outlineLevel="1"/>
    <col min="45" max="45" width="15.08984375" style="14" customWidth="1"/>
    <col min="46" max="46" width="5.6328125" style="318" customWidth="1"/>
    <col min="47" max="47" width="15.453125" style="505" customWidth="1"/>
    <col min="48" max="48" width="15.453125" customWidth="1"/>
    <col min="50" max="50" width="9.6328125" bestFit="1" customWidth="1"/>
    <col min="270" max="16384" width="8.7265625" style="143"/>
  </cols>
  <sheetData>
    <row r="1" spans="1:269" s="149" customFormat="1">
      <c r="A1"/>
      <c r="B1" s="1"/>
      <c r="C1" s="2">
        <v>4</v>
      </c>
      <c r="D1" s="2">
        <v>4</v>
      </c>
      <c r="E1" s="2">
        <v>4</v>
      </c>
      <c r="F1" s="3">
        <v>1</v>
      </c>
      <c r="G1" s="3">
        <v>2</v>
      </c>
      <c r="H1" s="3">
        <v>3</v>
      </c>
      <c r="I1" s="3">
        <v>4</v>
      </c>
      <c r="J1" s="2">
        <v>4</v>
      </c>
      <c r="K1" s="3">
        <v>1</v>
      </c>
      <c r="L1" s="3">
        <v>2</v>
      </c>
      <c r="M1" s="3">
        <v>3</v>
      </c>
      <c r="N1" s="3">
        <v>4</v>
      </c>
      <c r="O1" s="2">
        <v>4</v>
      </c>
      <c r="P1" s="3">
        <v>1</v>
      </c>
      <c r="Q1" s="3">
        <v>2</v>
      </c>
      <c r="R1" s="3">
        <v>3</v>
      </c>
      <c r="S1" s="3">
        <v>4</v>
      </c>
      <c r="T1" s="2">
        <f>S1</f>
        <v>4</v>
      </c>
      <c r="U1" s="3">
        <v>1</v>
      </c>
      <c r="V1" s="3">
        <v>2</v>
      </c>
      <c r="W1" s="3">
        <v>3</v>
      </c>
      <c r="X1" s="3">
        <v>4</v>
      </c>
      <c r="Y1" s="2">
        <f>X1</f>
        <v>4</v>
      </c>
      <c r="Z1" s="3">
        <v>1</v>
      </c>
      <c r="AA1" s="3">
        <v>2</v>
      </c>
      <c r="AB1" s="3">
        <v>3</v>
      </c>
      <c r="AC1" s="3">
        <v>4</v>
      </c>
      <c r="AD1" s="4">
        <f>AC1</f>
        <v>4</v>
      </c>
      <c r="AE1" s="3">
        <v>1</v>
      </c>
      <c r="AF1" s="3">
        <v>2</v>
      </c>
      <c r="AG1" s="3">
        <v>3</v>
      </c>
      <c r="AH1" s="3">
        <v>4</v>
      </c>
      <c r="AI1" s="4">
        <f>AH1</f>
        <v>4</v>
      </c>
      <c r="AJ1" s="3">
        <v>1</v>
      </c>
      <c r="AK1" s="3">
        <v>2</v>
      </c>
      <c r="AL1" s="3">
        <v>3</v>
      </c>
      <c r="AM1" s="3">
        <v>4</v>
      </c>
      <c r="AN1" s="4">
        <v>4</v>
      </c>
      <c r="AO1" s="3">
        <v>1</v>
      </c>
      <c r="AP1" s="3">
        <v>2</v>
      </c>
      <c r="AQ1" s="3">
        <v>3</v>
      </c>
      <c r="AR1" s="3">
        <v>4</v>
      </c>
      <c r="AS1" s="4">
        <v>4</v>
      </c>
      <c r="AT1" s="317"/>
      <c r="AU1" s="50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row>
    <row r="2" spans="1:269" s="149" customFormat="1">
      <c r="A2" t="s">
        <v>1</v>
      </c>
      <c r="B2" s="1"/>
      <c r="C2" s="2">
        <v>2016</v>
      </c>
      <c r="D2" s="2">
        <v>2017</v>
      </c>
      <c r="E2" s="2">
        <v>2018</v>
      </c>
      <c r="F2" s="3">
        <v>2019</v>
      </c>
      <c r="G2" s="3">
        <v>2019</v>
      </c>
      <c r="H2" s="3">
        <v>2019</v>
      </c>
      <c r="I2" s="3">
        <v>2019</v>
      </c>
      <c r="J2" s="2">
        <v>2019</v>
      </c>
      <c r="K2" s="3">
        <v>2020</v>
      </c>
      <c r="L2" s="3">
        <v>2020</v>
      </c>
      <c r="M2" s="3">
        <v>2020</v>
      </c>
      <c r="N2" s="3">
        <v>2020</v>
      </c>
      <c r="O2" s="2">
        <v>2020</v>
      </c>
      <c r="P2" s="3">
        <v>2021</v>
      </c>
      <c r="Q2" s="3">
        <v>2021</v>
      </c>
      <c r="R2" s="3">
        <v>2021</v>
      </c>
      <c r="S2" s="3">
        <v>2021</v>
      </c>
      <c r="T2" s="2">
        <v>2021</v>
      </c>
      <c r="U2" s="3">
        <v>2022</v>
      </c>
      <c r="V2" s="3">
        <v>2022</v>
      </c>
      <c r="W2" s="3">
        <v>2022</v>
      </c>
      <c r="X2" s="3">
        <v>2022</v>
      </c>
      <c r="Y2" s="2">
        <v>2022</v>
      </c>
      <c r="Z2" s="3">
        <v>2023</v>
      </c>
      <c r="AA2" s="3">
        <v>2023</v>
      </c>
      <c r="AB2" s="3">
        <v>2023</v>
      </c>
      <c r="AC2" s="3">
        <v>2023</v>
      </c>
      <c r="AD2" s="4">
        <v>2023</v>
      </c>
      <c r="AE2" s="3">
        <v>2024</v>
      </c>
      <c r="AF2" s="3">
        <v>2024</v>
      </c>
      <c r="AG2" s="3">
        <v>2024</v>
      </c>
      <c r="AH2" s="3">
        <v>2024</v>
      </c>
      <c r="AI2" s="4">
        <v>2024</v>
      </c>
      <c r="AJ2" s="3">
        <v>2025</v>
      </c>
      <c r="AK2" s="3">
        <v>2025</v>
      </c>
      <c r="AL2" s="3">
        <v>2025</v>
      </c>
      <c r="AM2" s="3">
        <v>2025</v>
      </c>
      <c r="AN2" s="4">
        <v>2025</v>
      </c>
      <c r="AO2" s="3">
        <v>2026</v>
      </c>
      <c r="AP2" s="3">
        <v>2026</v>
      </c>
      <c r="AQ2" s="3">
        <v>2026</v>
      </c>
      <c r="AR2" s="3">
        <v>2026</v>
      </c>
      <c r="AS2" s="4">
        <v>2026</v>
      </c>
      <c r="AT2" s="317"/>
      <c r="AU2" s="50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c r="HF2" s="3"/>
      <c r="HG2" s="3"/>
      <c r="HH2" s="3"/>
      <c r="HI2" s="3"/>
      <c r="HJ2" s="3"/>
      <c r="HK2" s="3"/>
      <c r="HL2" s="3"/>
      <c r="HM2" s="3"/>
      <c r="HN2" s="3"/>
      <c r="HO2" s="3"/>
      <c r="HP2" s="3"/>
      <c r="HQ2" s="3"/>
      <c r="HR2" s="3"/>
      <c r="HS2" s="3"/>
      <c r="HT2" s="3"/>
      <c r="HU2" s="3"/>
      <c r="HV2" s="3"/>
      <c r="HW2" s="3"/>
      <c r="HX2" s="3"/>
      <c r="HY2" s="3"/>
      <c r="HZ2" s="3"/>
      <c r="IA2" s="3"/>
      <c r="IB2" s="3"/>
      <c r="IC2" s="3"/>
      <c r="ID2" s="3"/>
      <c r="IE2" s="3"/>
      <c r="IF2" s="3"/>
      <c r="IG2" s="3"/>
      <c r="IH2" s="3"/>
      <c r="II2" s="3"/>
      <c r="IJ2" s="3"/>
      <c r="IK2" s="3"/>
      <c r="IL2" s="3"/>
      <c r="IM2" s="3"/>
      <c r="IN2" s="3"/>
      <c r="IO2" s="3"/>
      <c r="IP2" s="3"/>
      <c r="IQ2" s="3"/>
      <c r="IR2" s="3"/>
      <c r="IS2" s="3"/>
      <c r="IT2" s="3"/>
      <c r="IU2" s="3"/>
      <c r="IV2" s="3"/>
      <c r="IW2" s="3"/>
      <c r="IX2" s="3"/>
      <c r="IY2" s="3"/>
      <c r="IZ2" s="3"/>
      <c r="JA2" s="3"/>
      <c r="JB2" s="3"/>
      <c r="JC2" s="3"/>
      <c r="JD2" s="3"/>
      <c r="JE2" s="3"/>
      <c r="JF2" s="3"/>
      <c r="JG2" s="3"/>
      <c r="JH2" s="3"/>
      <c r="JI2" s="3"/>
    </row>
    <row r="3" spans="1:269" s="149" customFormat="1">
      <c r="A3" t="s">
        <v>60</v>
      </c>
      <c r="B3" s="1"/>
      <c r="C3" s="2"/>
      <c r="D3" s="2"/>
      <c r="E3" s="2"/>
      <c r="F3" s="3" t="str">
        <f t="shared" ref="F3:I3" si="0">F2&amp;"Q"&amp;F1</f>
        <v>2019Q1</v>
      </c>
      <c r="G3" s="3" t="str">
        <f t="shared" si="0"/>
        <v>2019Q2</v>
      </c>
      <c r="H3" s="3" t="str">
        <f t="shared" si="0"/>
        <v>2019Q3</v>
      </c>
      <c r="I3" s="3" t="str">
        <f t="shared" si="0"/>
        <v>2019Q4</v>
      </c>
      <c r="J3" s="2"/>
      <c r="K3" s="3" t="str">
        <f t="shared" ref="K3:N3" si="1">K2&amp;"Q"&amp;K1</f>
        <v>2020Q1</v>
      </c>
      <c r="L3" s="3" t="str">
        <f t="shared" si="1"/>
        <v>2020Q2</v>
      </c>
      <c r="M3" s="3" t="str">
        <f t="shared" si="1"/>
        <v>2020Q3</v>
      </c>
      <c r="N3" s="3" t="str">
        <f t="shared" si="1"/>
        <v>2020Q4</v>
      </c>
      <c r="O3" s="2"/>
      <c r="P3" s="3" t="str">
        <f t="shared" ref="P3:S3" si="2">P2&amp;"Q"&amp;P1</f>
        <v>2021Q1</v>
      </c>
      <c r="Q3" s="3" t="str">
        <f t="shared" si="2"/>
        <v>2021Q2</v>
      </c>
      <c r="R3" s="3" t="str">
        <f t="shared" si="2"/>
        <v>2021Q3</v>
      </c>
      <c r="S3" s="3" t="str">
        <f t="shared" si="2"/>
        <v>2021Q4</v>
      </c>
      <c r="T3" s="2"/>
      <c r="U3" s="3" t="str">
        <f t="shared" ref="U3:X3" si="3">U2&amp;"Q"&amp;U1</f>
        <v>2022Q1</v>
      </c>
      <c r="V3" s="3" t="str">
        <f t="shared" si="3"/>
        <v>2022Q2</v>
      </c>
      <c r="W3" s="3" t="str">
        <f t="shared" si="3"/>
        <v>2022Q3</v>
      </c>
      <c r="X3" s="3" t="str">
        <f t="shared" si="3"/>
        <v>2022Q4</v>
      </c>
      <c r="Y3" s="2"/>
      <c r="Z3" s="3" t="str">
        <f>Z2&amp;"Q"&amp;Z1</f>
        <v>2023Q1</v>
      </c>
      <c r="AA3" s="3" t="str">
        <f>AA2&amp;"Q"&amp;AA1</f>
        <v>2023Q2</v>
      </c>
      <c r="AB3" s="3" t="str">
        <f>AB2&amp;"Q"&amp;AB1</f>
        <v>2023Q3</v>
      </c>
      <c r="AC3" s="3" t="str">
        <f>AC2&amp;"Q"&amp;AC1</f>
        <v>2023Q4</v>
      </c>
      <c r="AD3" s="4"/>
      <c r="AE3" s="3" t="str">
        <f t="shared" ref="AE3:AH3" si="4">AE2&amp;"Q"&amp;AE1</f>
        <v>2024Q1</v>
      </c>
      <c r="AF3" s="3" t="str">
        <f t="shared" si="4"/>
        <v>2024Q2</v>
      </c>
      <c r="AG3" s="3" t="str">
        <f t="shared" si="4"/>
        <v>2024Q3</v>
      </c>
      <c r="AH3" s="3" t="str">
        <f t="shared" si="4"/>
        <v>2024Q4</v>
      </c>
      <c r="AI3" s="4"/>
      <c r="AJ3" s="3" t="str">
        <f t="shared" ref="AJ3" si="5">AJ2&amp;"Q"&amp;AJ1</f>
        <v>2025Q1</v>
      </c>
      <c r="AK3" s="3" t="str">
        <f t="shared" ref="AK3" si="6">AK2&amp;"Q"&amp;AK1</f>
        <v>2025Q2</v>
      </c>
      <c r="AL3" s="3" t="str">
        <f t="shared" ref="AL3" si="7">AL2&amp;"Q"&amp;AL1</f>
        <v>2025Q3</v>
      </c>
      <c r="AM3" s="3" t="str">
        <f t="shared" ref="AM3" si="8">AM2&amp;"Q"&amp;AM1</f>
        <v>2025Q4</v>
      </c>
      <c r="AN3" s="4"/>
      <c r="AO3" s="3" t="str">
        <f t="shared" ref="AO3:AR3" si="9">AO2&amp;"Q"&amp;AO1</f>
        <v>2026Q1</v>
      </c>
      <c r="AP3" s="3" t="str">
        <f t="shared" si="9"/>
        <v>2026Q2</v>
      </c>
      <c r="AQ3" s="3" t="str">
        <f t="shared" si="9"/>
        <v>2026Q3</v>
      </c>
      <c r="AR3" s="3" t="str">
        <f t="shared" si="9"/>
        <v>2026Q4</v>
      </c>
      <c r="AS3" s="4"/>
      <c r="AT3" s="317"/>
      <c r="AU3" s="503"/>
      <c r="AV3" s="3"/>
      <c r="AW3" s="3"/>
      <c r="AX3" s="3"/>
      <c r="AY3" s="3"/>
      <c r="AZ3" s="3"/>
      <c r="BA3" s="3"/>
      <c r="BB3" s="3"/>
      <c r="BC3" s="3"/>
      <c r="BD3" s="3"/>
      <c r="BE3" s="3"/>
      <c r="BF3" s="3"/>
      <c r="BG3" s="3"/>
      <c r="BH3" s="3"/>
      <c r="BI3" s="3"/>
      <c r="BJ3" s="3"/>
      <c r="BK3" s="3"/>
      <c r="BL3" s="3"/>
      <c r="BM3" s="3"/>
      <c r="BN3" s="3"/>
      <c r="BO3" s="3"/>
      <c r="BP3" s="3"/>
      <c r="BQ3" s="3"/>
      <c r="BR3" s="3"/>
      <c r="BS3" s="3"/>
      <c r="BT3" s="3"/>
      <c r="BU3" s="3"/>
      <c r="BV3" s="3"/>
      <c r="BW3" s="3"/>
      <c r="BX3" s="3"/>
      <c r="BY3" s="3"/>
      <c r="BZ3" s="3"/>
      <c r="CA3" s="3"/>
      <c r="CB3" s="3"/>
      <c r="CC3" s="3"/>
      <c r="CD3" s="3"/>
      <c r="CE3" s="3"/>
      <c r="CF3" s="3"/>
      <c r="CG3" s="3"/>
      <c r="CH3" s="3"/>
      <c r="CI3" s="3"/>
      <c r="CJ3" s="3"/>
      <c r="CK3" s="3"/>
      <c r="CL3" s="3"/>
      <c r="CM3" s="3"/>
      <c r="CN3" s="3"/>
      <c r="CO3" s="3"/>
      <c r="CP3" s="3"/>
      <c r="CQ3" s="3"/>
      <c r="CR3" s="3"/>
      <c r="CS3" s="3"/>
      <c r="CT3" s="3"/>
      <c r="CU3" s="3"/>
      <c r="CV3" s="3"/>
      <c r="CW3" s="3"/>
      <c r="CX3" s="3"/>
      <c r="CY3" s="3"/>
      <c r="CZ3" s="3"/>
      <c r="DA3" s="3"/>
      <c r="DB3" s="3"/>
      <c r="DC3" s="3"/>
      <c r="DD3" s="3"/>
      <c r="DE3" s="3"/>
      <c r="DF3" s="3"/>
      <c r="DG3" s="3"/>
      <c r="DH3" s="3"/>
      <c r="DI3" s="3"/>
      <c r="DJ3" s="3"/>
      <c r="DK3" s="3"/>
      <c r="DL3" s="3"/>
      <c r="DM3" s="3"/>
      <c r="DN3" s="3"/>
      <c r="DO3" s="3"/>
      <c r="DP3" s="3"/>
      <c r="DQ3" s="3"/>
      <c r="DR3" s="3"/>
      <c r="DS3" s="3"/>
      <c r="DT3" s="3"/>
      <c r="DU3" s="3"/>
      <c r="DV3" s="3"/>
      <c r="DW3" s="3"/>
      <c r="DX3" s="3"/>
      <c r="DY3" s="3"/>
      <c r="DZ3" s="3"/>
      <c r="EA3" s="3"/>
      <c r="EB3" s="3"/>
      <c r="EC3" s="3"/>
      <c r="ED3" s="3"/>
      <c r="EE3" s="3"/>
      <c r="EF3" s="3"/>
      <c r="EG3" s="3"/>
      <c r="EH3" s="3"/>
      <c r="EI3" s="3"/>
      <c r="EJ3" s="3"/>
      <c r="EK3" s="3"/>
      <c r="EL3" s="3"/>
      <c r="EM3" s="3"/>
      <c r="EN3" s="3"/>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c r="HF3" s="3"/>
      <c r="HG3" s="3"/>
      <c r="HH3" s="3"/>
      <c r="HI3" s="3"/>
      <c r="HJ3" s="3"/>
      <c r="HK3" s="3"/>
      <c r="HL3" s="3"/>
      <c r="HM3" s="3"/>
      <c r="HN3" s="3"/>
      <c r="HO3" s="3"/>
      <c r="HP3" s="3"/>
      <c r="HQ3" s="3"/>
      <c r="HR3" s="3"/>
      <c r="HS3" s="3"/>
      <c r="HT3" s="3"/>
      <c r="HU3" s="3"/>
      <c r="HV3" s="3"/>
      <c r="HW3" s="3"/>
      <c r="HX3" s="3"/>
      <c r="HY3" s="3"/>
      <c r="HZ3" s="3"/>
      <c r="IA3" s="3"/>
      <c r="IB3" s="3"/>
      <c r="IC3" s="3"/>
      <c r="ID3" s="3"/>
      <c r="IE3" s="3"/>
      <c r="IF3" s="3"/>
      <c r="IG3" s="3"/>
      <c r="IH3" s="3"/>
      <c r="II3" s="3"/>
      <c r="IJ3" s="3"/>
      <c r="IK3" s="3"/>
      <c r="IL3" s="3"/>
      <c r="IM3" s="3"/>
      <c r="IN3" s="3"/>
      <c r="IO3" s="3"/>
      <c r="IP3" s="3"/>
      <c r="IQ3" s="3"/>
      <c r="IR3" s="3"/>
      <c r="IS3" s="3"/>
      <c r="IT3" s="3"/>
      <c r="IU3" s="3"/>
      <c r="IV3" s="3"/>
      <c r="IW3" s="3"/>
      <c r="IX3" s="3"/>
      <c r="IY3" s="3"/>
      <c r="IZ3" s="3"/>
      <c r="JA3" s="3"/>
      <c r="JB3" s="3"/>
      <c r="JC3" s="3"/>
      <c r="JD3" s="3"/>
      <c r="JE3" s="3"/>
      <c r="JF3" s="3"/>
      <c r="JG3" s="3"/>
      <c r="JH3" s="3"/>
      <c r="JI3" s="3"/>
    </row>
    <row r="4" spans="1:269" s="149" customFormat="1">
      <c r="A4" s="6" t="s">
        <v>2</v>
      </c>
      <c r="B4" s="1"/>
      <c r="C4" s="2" t="str">
        <f>"FY-"&amp;C2</f>
        <v>FY-2016</v>
      </c>
      <c r="D4" s="2" t="str">
        <f>"FY-"&amp;D2</f>
        <v>FY-2017</v>
      </c>
      <c r="E4" s="2" t="str">
        <f>"FY-"&amp;E2</f>
        <v>FY-2018</v>
      </c>
      <c r="F4" s="3" t="str">
        <f t="shared" ref="F4:I4" si="10">F1&amp;"QFY-"&amp;F2</f>
        <v>1QFY-2019</v>
      </c>
      <c r="G4" s="3" t="str">
        <f t="shared" si="10"/>
        <v>2QFY-2019</v>
      </c>
      <c r="H4" s="3" t="str">
        <f t="shared" si="10"/>
        <v>3QFY-2019</v>
      </c>
      <c r="I4" s="3" t="str">
        <f t="shared" si="10"/>
        <v>4QFY-2019</v>
      </c>
      <c r="J4" s="2" t="str">
        <f>"FY-"&amp;J2</f>
        <v>FY-2019</v>
      </c>
      <c r="K4" s="3" t="str">
        <f>K1&amp;"QFY-"&amp;K2</f>
        <v>1QFY-2020</v>
      </c>
      <c r="L4" s="3" t="str">
        <f>L1&amp;"QFY-"&amp;L2</f>
        <v>2QFY-2020</v>
      </c>
      <c r="M4" s="3" t="str">
        <f>M1&amp;"QFY-"&amp;M2</f>
        <v>3QFY-2020</v>
      </c>
      <c r="N4" s="3" t="str">
        <f>N1&amp;"QFY-"&amp;N2</f>
        <v>4QFY-2020</v>
      </c>
      <c r="O4" s="2" t="str">
        <f>"FY-"&amp;O2</f>
        <v>FY-2020</v>
      </c>
      <c r="P4" s="3" t="str">
        <f>P1&amp;"QFY-"&amp;P2</f>
        <v>1QFY-2021</v>
      </c>
      <c r="Q4" s="3" t="str">
        <f>Q1&amp;"QFY-"&amp;Q2</f>
        <v>2QFY-2021</v>
      </c>
      <c r="R4" s="3" t="str">
        <f>R1&amp;"QFY-"&amp;R2</f>
        <v>3QFY-2021</v>
      </c>
      <c r="S4" s="3" t="str">
        <f>S1&amp;"QFY-"&amp;S2</f>
        <v>4QFY-2021</v>
      </c>
      <c r="T4" s="2" t="str">
        <f>"FY-"&amp;T2</f>
        <v>FY-2021</v>
      </c>
      <c r="U4" s="3" t="str">
        <f>U1&amp;"QFY-"&amp;U2</f>
        <v>1QFY-2022</v>
      </c>
      <c r="V4" s="3" t="str">
        <f>V1&amp;"QFY-"&amp;V2</f>
        <v>2QFY-2022</v>
      </c>
      <c r="W4" s="3" t="str">
        <f>W1&amp;"QFY-"&amp;W2</f>
        <v>3QFY-2022</v>
      </c>
      <c r="X4" s="3" t="str">
        <f>X1&amp;"QFY-"&amp;X2</f>
        <v>4QFY-2022</v>
      </c>
      <c r="Y4" s="2" t="str">
        <f>"FY-"&amp;Y2</f>
        <v>FY-2022</v>
      </c>
      <c r="Z4" s="3" t="str">
        <f>Z1&amp;"QFY-"&amp;Z2</f>
        <v>1QFY-2023</v>
      </c>
      <c r="AA4" s="3" t="str">
        <f>AA1&amp;"QFY-"&amp;AA2</f>
        <v>2QFY-2023</v>
      </c>
      <c r="AB4" s="3" t="str">
        <f>AB1&amp;"QFY-"&amp;AB2</f>
        <v>3QFY-2023</v>
      </c>
      <c r="AC4" s="3" t="str">
        <f>AC1&amp;"QFY-"&amp;AC2</f>
        <v>4QFY-2023</v>
      </c>
      <c r="AD4" s="4" t="str">
        <f>"FY-"&amp;AD2</f>
        <v>FY-2023</v>
      </c>
      <c r="AE4" s="3" t="str">
        <f>AE1&amp;"QFY-"&amp;AE2</f>
        <v>1QFY-2024</v>
      </c>
      <c r="AF4" s="3" t="str">
        <f>AF1&amp;"QFY-"&amp;AF2</f>
        <v>2QFY-2024</v>
      </c>
      <c r="AG4" s="3" t="str">
        <f>AG1&amp;"QFY-"&amp;AG2</f>
        <v>3QFY-2024</v>
      </c>
      <c r="AH4" s="3" t="str">
        <f>AH1&amp;"QFY-"&amp;AH2</f>
        <v>4QFY-2024</v>
      </c>
      <c r="AI4" s="4" t="str">
        <f>"FY-"&amp;AI2</f>
        <v>FY-2024</v>
      </c>
      <c r="AJ4" s="3" t="str">
        <f>AJ1&amp;"QFY-"&amp;AJ2</f>
        <v>1QFY-2025</v>
      </c>
      <c r="AK4" s="3" t="str">
        <f>AK1&amp;"QFY-"&amp;AK2</f>
        <v>2QFY-2025</v>
      </c>
      <c r="AL4" s="3" t="str">
        <f>AL1&amp;"QFY-"&amp;AL2</f>
        <v>3QFY-2025</v>
      </c>
      <c r="AM4" s="3" t="str">
        <f>AM1&amp;"QFY-"&amp;AM2</f>
        <v>4QFY-2025</v>
      </c>
      <c r="AN4" s="4" t="str">
        <f>"FY-"&amp;AN2</f>
        <v>FY-2025</v>
      </c>
      <c r="AO4" s="3" t="str">
        <f>AO1&amp;"QFY-"&amp;AO2</f>
        <v>1QFY-2026</v>
      </c>
      <c r="AP4" s="3" t="str">
        <f>AP1&amp;"QFY-"&amp;AP2</f>
        <v>2QFY-2026</v>
      </c>
      <c r="AQ4" s="3" t="str">
        <f>AQ1&amp;"QFY-"&amp;AQ2</f>
        <v>3QFY-2026</v>
      </c>
      <c r="AR4" s="3" t="str">
        <f>AR1&amp;"QFY-"&amp;AR2</f>
        <v>4QFY-2026</v>
      </c>
      <c r="AS4" s="4" t="str">
        <f>"FY-"&amp;AS2</f>
        <v>FY-2026</v>
      </c>
      <c r="AT4" s="317"/>
      <c r="AU4" s="50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3"/>
      <c r="CH4" s="3"/>
      <c r="CI4" s="3"/>
      <c r="CJ4" s="3"/>
      <c r="CK4" s="3"/>
      <c r="CL4" s="3"/>
      <c r="CM4" s="3"/>
      <c r="CN4" s="3"/>
      <c r="CO4" s="3"/>
      <c r="CP4" s="3"/>
      <c r="CQ4" s="3"/>
      <c r="CR4" s="3"/>
      <c r="CS4" s="3"/>
      <c r="CT4" s="3"/>
      <c r="CU4" s="3"/>
      <c r="CV4" s="3"/>
      <c r="CW4" s="3"/>
      <c r="CX4" s="3"/>
      <c r="CY4" s="3"/>
      <c r="CZ4" s="3"/>
      <c r="DA4" s="3"/>
      <c r="DB4" s="3"/>
      <c r="DC4" s="3"/>
      <c r="DD4" s="3"/>
      <c r="DE4" s="3"/>
      <c r="DF4" s="3"/>
      <c r="DG4" s="3"/>
      <c r="DH4" s="3"/>
      <c r="DI4" s="3"/>
      <c r="DJ4" s="3"/>
      <c r="DK4" s="3"/>
      <c r="DL4" s="3"/>
      <c r="DM4" s="3"/>
      <c r="DN4" s="3"/>
      <c r="DO4" s="3"/>
      <c r="DP4" s="3"/>
      <c r="DQ4" s="3"/>
      <c r="DR4" s="3"/>
      <c r="DS4" s="3"/>
      <c r="DT4" s="3"/>
      <c r="DU4" s="3"/>
      <c r="DV4" s="3"/>
      <c r="DW4" s="3"/>
      <c r="DX4" s="3"/>
      <c r="DY4" s="3"/>
      <c r="DZ4" s="3"/>
      <c r="EA4" s="3"/>
      <c r="EB4" s="3"/>
      <c r="EC4" s="3"/>
      <c r="ED4" s="3"/>
      <c r="EE4" s="3"/>
      <c r="EF4" s="3"/>
      <c r="EG4" s="3"/>
      <c r="EH4" s="3"/>
      <c r="EI4" s="3"/>
      <c r="EJ4" s="3"/>
      <c r="EK4" s="3"/>
      <c r="EL4" s="3"/>
      <c r="EM4" s="3"/>
      <c r="EN4" s="3"/>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c r="HF4" s="3"/>
      <c r="HG4" s="3"/>
      <c r="HH4" s="3"/>
      <c r="HI4" s="3"/>
      <c r="HJ4" s="3"/>
      <c r="HK4" s="3"/>
      <c r="HL4" s="3"/>
      <c r="HM4" s="3"/>
      <c r="HN4" s="3"/>
      <c r="HO4" s="3"/>
      <c r="HP4" s="3"/>
      <c r="HQ4" s="3"/>
      <c r="HR4" s="3"/>
      <c r="HS4" s="3"/>
      <c r="HT4" s="3"/>
      <c r="HU4" s="3"/>
      <c r="HV4" s="3"/>
      <c r="HW4" s="3"/>
      <c r="HX4" s="3"/>
      <c r="HY4" s="3"/>
      <c r="HZ4" s="3"/>
      <c r="IA4" s="3"/>
      <c r="IB4" s="3"/>
      <c r="IC4" s="3"/>
      <c r="ID4" s="3"/>
      <c r="IE4" s="3"/>
      <c r="IF4" s="3"/>
      <c r="IG4" s="3"/>
      <c r="IH4" s="3"/>
      <c r="II4" s="3"/>
      <c r="IJ4" s="3"/>
      <c r="IK4" s="3"/>
      <c r="IL4" s="3"/>
      <c r="IM4" s="3"/>
      <c r="IN4" s="3"/>
      <c r="IO4" s="3"/>
      <c r="IP4" s="3"/>
      <c r="IQ4" s="3"/>
      <c r="IR4" s="3"/>
      <c r="IS4" s="3"/>
      <c r="IT4" s="3"/>
      <c r="IU4" s="3"/>
      <c r="IV4" s="3"/>
      <c r="IW4" s="3"/>
      <c r="IX4" s="3"/>
      <c r="IY4" s="3"/>
      <c r="IZ4" s="3"/>
      <c r="JA4" s="3"/>
      <c r="JB4" s="3"/>
      <c r="JC4" s="3"/>
      <c r="JD4" s="3"/>
      <c r="JE4" s="3"/>
      <c r="JF4" s="3"/>
      <c r="JG4" s="3"/>
      <c r="JH4" s="3"/>
      <c r="JI4" s="3"/>
    </row>
    <row r="5" spans="1:269" s="330" customFormat="1">
      <c r="A5" s="7" t="s">
        <v>3</v>
      </c>
      <c r="B5" s="8"/>
      <c r="C5" s="63"/>
      <c r="D5" s="63"/>
      <c r="E5" s="63"/>
      <c r="F5" s="64">
        <f t="shared" ref="F5:I6" si="11">K5-365</f>
        <v>43556</v>
      </c>
      <c r="G5" s="64">
        <f t="shared" si="11"/>
        <v>43647</v>
      </c>
      <c r="H5" s="64">
        <f t="shared" si="11"/>
        <v>43739</v>
      </c>
      <c r="I5" s="64">
        <f t="shared" si="11"/>
        <v>43831</v>
      </c>
      <c r="J5" s="63"/>
      <c r="K5" s="64">
        <f>P5-365</f>
        <v>43921</v>
      </c>
      <c r="L5" s="64">
        <f>Q5-365</f>
        <v>44012</v>
      </c>
      <c r="M5" s="64" t="str" cm="1">
        <f t="array" ref="M5">_xll.BDP(bbg_ticker, "LATEST_PERIOD_END_DT_FULL_RECORD", "FUND_PER=Q"&amp;M1, "EQY_FUND_YEAR="&amp;M2)</f>
        <v>9/30/2020</v>
      </c>
      <c r="N5" s="64" t="str" cm="1">
        <f t="array" ref="N5">_xll.BDP(bbg_ticker, "LATEST_PERIOD_END_DT_FULL_RECORD", "FUND_PER=Q"&amp;N1, "EQY_FUND_YEAR="&amp;N2)</f>
        <v>12/31/2020</v>
      </c>
      <c r="O5" s="63" t="str">
        <f>N5</f>
        <v>12/31/2020</v>
      </c>
      <c r="P5" s="64" t="str" cm="1">
        <f t="array" ref="P5">_xll.BDP(bbg_ticker, "LATEST_PERIOD_END_DT_FULL_RECORD", "FUND_PER=Q"&amp;P1, "EQY_FUND_YEAR="&amp;P2)</f>
        <v>3/31/2021</v>
      </c>
      <c r="Q5" s="64" t="str" cm="1">
        <f t="array" ref="Q5">_xll.BDP(bbg_ticker, "LATEST_PERIOD_END_DT_FULL_RECORD", "FUND_PER=Q"&amp;Q1, "EQY_FUND_YEAR="&amp;Q2)</f>
        <v>6/30/2021</v>
      </c>
      <c r="R5" s="64" t="str" cm="1">
        <f t="array" ref="R5">_xll.BDP(bbg_ticker, "LATEST_PERIOD_END_DT_FULL_RECORD", "FUND_PER=Q"&amp;R1, "EQY_FUND_YEAR="&amp;R2)</f>
        <v>9/30/2021</v>
      </c>
      <c r="S5" s="64" t="str" cm="1">
        <f t="array" ref="S5">_xll.BDP(bbg_ticker, "LATEST_PERIOD_END_DT_FULL_RECORD", "FUND_PER=Q"&amp;S1, "EQY_FUND_YEAR="&amp;S2)</f>
        <v>12/31/2021</v>
      </c>
      <c r="T5" s="63" t="str">
        <f>S5</f>
        <v>12/31/2021</v>
      </c>
      <c r="U5" s="64" t="str" cm="1">
        <f t="array" ref="U5">_xll.BDP(bbg_ticker, "LATEST_PERIOD_END_DT_FULL_RECORD", "FUND_PER=Q"&amp;U1, "EQY_FUND_YEAR="&amp;U2)</f>
        <v>3/31/2022</v>
      </c>
      <c r="V5" s="64" t="str" cm="1">
        <f t="array" ref="V5">_xll.BDP(bbg_ticker, "LATEST_PERIOD_END_DT_FULL_RECORD", "FUND_PER=Q"&amp;V1, "EQY_FUND_YEAR="&amp;V2)</f>
        <v>6/30/2022</v>
      </c>
      <c r="W5" s="64" t="str" cm="1">
        <f t="array" ref="W5">_xll.BDP(bbg_ticker, "LATEST_PERIOD_END_DT_FULL_RECORD", "FUND_PER=Q"&amp;W1, "EQY_FUND_YEAR="&amp;W2)</f>
        <v>9/30/2022</v>
      </c>
      <c r="X5" s="64" t="str" cm="1">
        <f t="array" ref="X5">_xll.BDP(bbg_ticker, "LATEST_PERIOD_END_DT_FULL_RECORD", "FUND_PER=Q"&amp;X1, "EQY_FUND_YEAR="&amp;X2)</f>
        <v>12/31/2022</v>
      </c>
      <c r="Y5" s="63" t="str">
        <f>X5</f>
        <v>12/31/2022</v>
      </c>
      <c r="Z5" s="64" t="str" cm="1">
        <f t="array" ref="Z5">_xll.BDP(bbg_ticker, "LATEST_PERIOD_END_DT_FULL_RECORD", "FUND_PER=Q"&amp;Z1, "EQY_FUND_YEAR="&amp;Z2)</f>
        <v>3/31/2023</v>
      </c>
      <c r="AA5" s="64" t="str" cm="1">
        <f t="array" ref="AA5">_xll.BDP(bbg_ticker, "LATEST_PERIOD_END_DT_FULL_RECORD", "FUND_PER=Q"&amp;AA1, "EQY_FUND_YEAR="&amp;AA2)</f>
        <v>6/30/2023</v>
      </c>
      <c r="AB5" s="64" t="str" cm="1">
        <f t="array" ref="AB5">_xll.BDP(bbg_ticker, "LATEST_PERIOD_END_DT_FULL_RECORD", "FUND_PER=Q"&amp;AB1, "EQY_FUND_YEAR="&amp;AB2)</f>
        <v>9/30/2023</v>
      </c>
      <c r="AC5" s="64">
        <f>X5+365</f>
        <v>45291</v>
      </c>
      <c r="AD5" s="65">
        <f>AC5</f>
        <v>45291</v>
      </c>
      <c r="AE5" s="64">
        <f t="shared" ref="AE5:AE6" si="12">Z5+365</f>
        <v>45381</v>
      </c>
      <c r="AF5" s="64">
        <f t="shared" ref="AF5:AF6" si="13">AA5+365</f>
        <v>45472</v>
      </c>
      <c r="AG5" s="64">
        <f t="shared" ref="AG5:AG6" si="14">AB5+365</f>
        <v>45564</v>
      </c>
      <c r="AH5" s="64">
        <f t="shared" ref="AH5:AH6" si="15">AC5+365</f>
        <v>45656</v>
      </c>
      <c r="AI5" s="65">
        <f>AH5</f>
        <v>45656</v>
      </c>
      <c r="AJ5" s="64">
        <f t="shared" ref="AJ5:AM6" si="16">AE5+365</f>
        <v>45746</v>
      </c>
      <c r="AK5" s="64">
        <f t="shared" si="16"/>
        <v>45837</v>
      </c>
      <c r="AL5" s="64">
        <f t="shared" si="16"/>
        <v>45929</v>
      </c>
      <c r="AM5" s="64">
        <f t="shared" si="16"/>
        <v>46021</v>
      </c>
      <c r="AN5" s="65">
        <f>AM5</f>
        <v>46021</v>
      </c>
      <c r="AO5" s="64">
        <f t="shared" ref="AO5:AO6" si="17">AJ5+365</f>
        <v>46111</v>
      </c>
      <c r="AP5" s="64">
        <f t="shared" ref="AP5:AP6" si="18">AK5+365</f>
        <v>46202</v>
      </c>
      <c r="AQ5" s="64">
        <f t="shared" ref="AQ5:AQ6" si="19">AL5+365</f>
        <v>46294</v>
      </c>
      <c r="AR5" s="64">
        <f t="shared" ref="AR5:AR6" si="20">AM5+365</f>
        <v>46386</v>
      </c>
      <c r="AS5" s="65">
        <f>AR5</f>
        <v>46386</v>
      </c>
      <c r="AT5" s="452"/>
      <c r="AU5" s="504"/>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c r="CD5" s="9"/>
      <c r="CE5" s="9"/>
      <c r="CF5" s="9"/>
      <c r="CG5" s="9"/>
      <c r="CH5" s="9"/>
      <c r="CI5" s="9"/>
      <c r="CJ5" s="9"/>
      <c r="CK5" s="9"/>
      <c r="CL5" s="9"/>
      <c r="CM5" s="9"/>
      <c r="CN5" s="9"/>
      <c r="CO5" s="9"/>
      <c r="CP5" s="9"/>
      <c r="CQ5" s="9"/>
      <c r="CR5" s="9"/>
      <c r="CS5" s="9"/>
      <c r="CT5" s="9"/>
      <c r="CU5" s="9"/>
      <c r="CV5" s="9"/>
      <c r="CW5" s="9"/>
      <c r="CX5" s="9"/>
      <c r="CY5" s="9"/>
      <c r="CZ5" s="9"/>
      <c r="DA5" s="9"/>
      <c r="DB5" s="9"/>
      <c r="DC5" s="9"/>
      <c r="DD5" s="9"/>
      <c r="DE5" s="9"/>
      <c r="DF5" s="9"/>
      <c r="DG5" s="9"/>
      <c r="DH5" s="9"/>
      <c r="DI5" s="9"/>
      <c r="DJ5" s="9"/>
      <c r="DK5" s="9"/>
      <c r="DL5" s="9"/>
      <c r="DM5" s="9"/>
      <c r="DN5" s="9"/>
      <c r="DO5" s="9"/>
      <c r="DP5" s="9"/>
      <c r="DQ5" s="9"/>
      <c r="DR5" s="9"/>
      <c r="DS5" s="9"/>
      <c r="DT5" s="9"/>
      <c r="DU5" s="9"/>
      <c r="DV5" s="9"/>
      <c r="DW5" s="9"/>
      <c r="DX5" s="9"/>
      <c r="DY5" s="9"/>
      <c r="DZ5" s="9"/>
      <c r="EA5" s="9"/>
      <c r="EB5" s="9"/>
      <c r="EC5" s="9"/>
      <c r="ED5" s="9"/>
      <c r="EE5" s="9"/>
      <c r="EF5" s="9"/>
      <c r="EG5" s="9"/>
      <c r="EH5" s="9"/>
      <c r="EI5" s="9"/>
      <c r="EJ5" s="9"/>
      <c r="EK5" s="9"/>
      <c r="EL5" s="9"/>
      <c r="EM5" s="9"/>
      <c r="EN5" s="9"/>
      <c r="EO5" s="9"/>
      <c r="EP5" s="9"/>
      <c r="EQ5" s="9"/>
      <c r="ER5" s="9"/>
      <c r="ES5" s="9"/>
      <c r="ET5" s="9"/>
      <c r="EU5" s="9"/>
      <c r="EV5" s="9"/>
      <c r="EW5" s="9"/>
      <c r="EX5" s="9"/>
      <c r="EY5" s="9"/>
      <c r="EZ5" s="9"/>
      <c r="FA5" s="9"/>
      <c r="FB5" s="9"/>
      <c r="FC5" s="9"/>
      <c r="FD5" s="9"/>
      <c r="FE5" s="9"/>
      <c r="FF5" s="9"/>
      <c r="FG5" s="9"/>
      <c r="FH5" s="9"/>
      <c r="FI5" s="9"/>
      <c r="FJ5" s="9"/>
      <c r="FK5" s="9"/>
      <c r="FL5" s="9"/>
      <c r="FM5" s="9"/>
      <c r="FN5" s="9"/>
      <c r="FO5" s="9"/>
      <c r="FP5" s="9"/>
      <c r="FQ5" s="9"/>
      <c r="FR5" s="9"/>
      <c r="FS5" s="9"/>
      <c r="FT5" s="9"/>
      <c r="FU5" s="9"/>
      <c r="FV5" s="9"/>
      <c r="FW5" s="9"/>
      <c r="FX5" s="9"/>
      <c r="FY5" s="9"/>
      <c r="FZ5" s="9"/>
      <c r="GA5" s="9"/>
      <c r="GB5" s="9"/>
      <c r="GC5" s="9"/>
      <c r="GD5" s="9"/>
      <c r="GE5" s="9"/>
      <c r="GF5" s="9"/>
      <c r="GG5" s="9"/>
      <c r="GH5" s="9"/>
      <c r="GI5" s="9"/>
      <c r="GJ5" s="9"/>
      <c r="GK5" s="9"/>
      <c r="GL5" s="9"/>
      <c r="GM5" s="9"/>
      <c r="GN5" s="9"/>
      <c r="GO5" s="9"/>
      <c r="GP5" s="9"/>
      <c r="GQ5" s="9"/>
      <c r="GR5" s="9"/>
      <c r="GS5" s="9"/>
      <c r="GT5" s="9"/>
      <c r="GU5" s="9"/>
      <c r="GV5" s="9"/>
      <c r="GW5" s="9"/>
      <c r="GX5" s="9"/>
      <c r="GY5" s="9"/>
      <c r="GZ5" s="9"/>
      <c r="HA5" s="9"/>
      <c r="HB5" s="9"/>
      <c r="HC5" s="9"/>
      <c r="HD5" s="9"/>
      <c r="HE5" s="9"/>
      <c r="HF5" s="9"/>
      <c r="HG5" s="9"/>
      <c r="HH5" s="9"/>
      <c r="HI5" s="9"/>
      <c r="HJ5" s="9"/>
      <c r="HK5" s="9"/>
      <c r="HL5" s="9"/>
      <c r="HM5" s="9"/>
      <c r="HN5" s="9"/>
      <c r="HO5" s="9"/>
      <c r="HP5" s="9"/>
      <c r="HQ5" s="9"/>
      <c r="HR5" s="9"/>
      <c r="HS5" s="9"/>
      <c r="HT5" s="9"/>
      <c r="HU5" s="9"/>
      <c r="HV5" s="9"/>
      <c r="HW5" s="9"/>
      <c r="HX5" s="9"/>
      <c r="HY5" s="9"/>
      <c r="HZ5" s="9"/>
      <c r="IA5" s="9"/>
      <c r="IB5" s="9"/>
      <c r="IC5" s="9"/>
      <c r="ID5" s="9"/>
      <c r="IE5" s="9"/>
      <c r="IF5" s="9"/>
      <c r="IG5" s="9"/>
      <c r="IH5" s="9"/>
      <c r="II5" s="9"/>
      <c r="IJ5" s="9"/>
      <c r="IK5" s="9"/>
      <c r="IL5" s="9"/>
      <c r="IM5" s="9"/>
      <c r="IN5" s="9"/>
      <c r="IO5" s="9"/>
      <c r="IP5" s="9"/>
      <c r="IQ5" s="9"/>
      <c r="IR5" s="9"/>
      <c r="IS5" s="9"/>
      <c r="IT5" s="9"/>
      <c r="IU5" s="9"/>
      <c r="IV5" s="9"/>
      <c r="IW5" s="9"/>
      <c r="IX5" s="9"/>
      <c r="IY5" s="9"/>
      <c r="IZ5" s="9"/>
      <c r="JA5" s="9"/>
      <c r="JB5" s="9"/>
      <c r="JC5" s="9"/>
      <c r="JD5" s="9"/>
      <c r="JE5" s="9"/>
      <c r="JF5" s="9"/>
      <c r="JG5" s="9"/>
      <c r="JH5" s="9"/>
      <c r="JI5" s="9"/>
    </row>
    <row r="6" spans="1:269" s="330" customFormat="1">
      <c r="A6" s="7" t="s">
        <v>4</v>
      </c>
      <c r="B6" s="8"/>
      <c r="C6" s="63"/>
      <c r="D6" s="63"/>
      <c r="E6" s="63"/>
      <c r="F6" s="64">
        <f t="shared" si="11"/>
        <v>43599</v>
      </c>
      <c r="G6" s="64">
        <f t="shared" si="11"/>
        <v>43688</v>
      </c>
      <c r="H6" s="64">
        <f t="shared" si="11"/>
        <v>43786</v>
      </c>
      <c r="I6" s="64">
        <f t="shared" si="11"/>
        <v>43908</v>
      </c>
      <c r="J6" s="63"/>
      <c r="K6" s="64">
        <f t="shared" ref="K6:L6" si="21">P6-365</f>
        <v>43964</v>
      </c>
      <c r="L6" s="64">
        <f t="shared" si="21"/>
        <v>44053</v>
      </c>
      <c r="M6" s="64" t="str" cm="1">
        <f t="array" ref="M6">_xll.BDP(bbg_ticker, "ANNOUNCEMENT_DT", "FUND_PER=Q"&amp;M1, "EQY_FUND_YEAR="&amp;M2)</f>
        <v>11/16/2020</v>
      </c>
      <c r="N6" s="64" t="str" cm="1">
        <f t="array" ref="N6">_xll.BDP(bbg_ticker, "ANNOUNCEMENT_DT", "FUND_PER=Q"&amp;N1, "EQY_FUND_YEAR="&amp;N2)</f>
        <v>3/18/2021</v>
      </c>
      <c r="O6" s="63" t="str">
        <f>N6</f>
        <v>3/18/2021</v>
      </c>
      <c r="P6" s="64" t="str" cm="1">
        <f t="array" ref="P6">_xll.BDP(bbg_ticker, "ANNOUNCEMENT_DT", "FUND_PER=Q"&amp;P1, "EQY_FUND_YEAR="&amp;P2)</f>
        <v>5/13/2021</v>
      </c>
      <c r="Q6" s="64" t="str" cm="1">
        <f t="array" ref="Q6">_xll.BDP(bbg_ticker, "ANNOUNCEMENT_DT", "FUND_PER=Q"&amp;Q1, "EQY_FUND_YEAR="&amp;Q2)</f>
        <v>8/10/2021</v>
      </c>
      <c r="R6" s="64" t="str" cm="1">
        <f t="array" ref="R6">_xll.BDP(bbg_ticker, "ANNOUNCEMENT_DT", "FUND_PER=Q"&amp;R1, "EQY_FUND_YEAR="&amp;R2)</f>
        <v>8/9/2022</v>
      </c>
      <c r="S6" s="64" t="str" cm="1">
        <f t="array" ref="S6">_xll.BDP(bbg_ticker, "ANNOUNCEMENT_DT", "FUND_PER=Q"&amp;S1, "EQY_FUND_YEAR="&amp;S2)</f>
        <v>2/22/2022</v>
      </c>
      <c r="T6" s="63" t="str">
        <f>S6</f>
        <v>2/22/2022</v>
      </c>
      <c r="U6" s="64" t="str" cm="1">
        <f t="array" ref="U6">_xll.BDP(bbg_ticker, "ANNOUNCEMENT_DT", "FUND_PER=Q"&amp;U1, "EQY_FUND_YEAR="&amp;U2)</f>
        <v>8/9/2022</v>
      </c>
      <c r="V6" s="64" t="str" cm="1">
        <f t="array" ref="V6">_xll.BDP(bbg_ticker, "ANNOUNCEMENT_DT", "FUND_PER=Q"&amp;V1, "EQY_FUND_YEAR="&amp;V2)</f>
        <v>8/9/2022</v>
      </c>
      <c r="W6" s="64" t="str" cm="1">
        <f t="array" ref="W6">_xll.BDP(bbg_ticker, "ANNOUNCEMENT_DT", "FUND_PER=Q"&amp;W1, "EQY_FUND_YEAR="&amp;W2)</f>
        <v>11/8/2022</v>
      </c>
      <c r="X6" s="64" t="str" cm="1">
        <f t="array" ref="X6">_xll.BDP(bbg_ticker, "ANNOUNCEMENT_DT", "FUND_PER=Q"&amp;X1, "EQY_FUND_YEAR="&amp;X2)</f>
        <v>2/28/2023</v>
      </c>
      <c r="Y6" s="63" t="str">
        <f>X6</f>
        <v>2/28/2023</v>
      </c>
      <c r="Z6" s="64" t="str" cm="1">
        <f t="array" ref="Z6">_xll.BDP(bbg_ticker, "ANNOUNCEMENT_DT", "FUND_PER=Q"&amp;Z1, "EQY_FUND_YEAR="&amp;Z2)</f>
        <v>5/10/2023</v>
      </c>
      <c r="AA6" s="64" t="str" cm="1">
        <f t="array" ref="AA6">_xll.BDP(bbg_ticker, "ANNOUNCEMENT_DT", "FUND_PER=Q"&amp;AA1, "EQY_FUND_YEAR="&amp;AA2)</f>
        <v>8/9/2023</v>
      </c>
      <c r="AB6" s="64" t="str" cm="1">
        <f t="array" ref="AB6">_xll.BDP(bbg_ticker, "ANNOUNCEMENT_DT", "FUND_PER=Q"&amp;AB1, "EQY_FUND_YEAR="&amp;AB2)</f>
        <v>11/13/2023</v>
      </c>
      <c r="AC6" s="64">
        <f>X6+365</f>
        <v>45350</v>
      </c>
      <c r="AD6" s="65">
        <f>AC6</f>
        <v>45350</v>
      </c>
      <c r="AE6" s="64">
        <f t="shared" si="12"/>
        <v>45421</v>
      </c>
      <c r="AF6" s="64">
        <f t="shared" si="13"/>
        <v>45512</v>
      </c>
      <c r="AG6" s="64">
        <f t="shared" si="14"/>
        <v>45608</v>
      </c>
      <c r="AH6" s="64">
        <f t="shared" si="15"/>
        <v>45715</v>
      </c>
      <c r="AI6" s="65">
        <f>AH6</f>
        <v>45715</v>
      </c>
      <c r="AJ6" s="64">
        <f t="shared" si="16"/>
        <v>45786</v>
      </c>
      <c r="AK6" s="64">
        <f t="shared" si="16"/>
        <v>45877</v>
      </c>
      <c r="AL6" s="64">
        <f t="shared" si="16"/>
        <v>45973</v>
      </c>
      <c r="AM6" s="64">
        <f t="shared" si="16"/>
        <v>46080</v>
      </c>
      <c r="AN6" s="65">
        <f>AM6</f>
        <v>46080</v>
      </c>
      <c r="AO6" s="64">
        <f t="shared" si="17"/>
        <v>46151</v>
      </c>
      <c r="AP6" s="64">
        <f t="shared" si="18"/>
        <v>46242</v>
      </c>
      <c r="AQ6" s="64">
        <f t="shared" si="19"/>
        <v>46338</v>
      </c>
      <c r="AR6" s="64">
        <f t="shared" si="20"/>
        <v>46445</v>
      </c>
      <c r="AS6" s="65">
        <f>AR6</f>
        <v>46445</v>
      </c>
      <c r="AT6" s="452"/>
      <c r="AU6" s="504"/>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c r="GD6" s="9"/>
      <c r="GE6" s="9"/>
      <c r="GF6" s="9"/>
      <c r="GG6" s="9"/>
      <c r="GH6" s="9"/>
      <c r="GI6" s="9"/>
      <c r="GJ6" s="9"/>
      <c r="GK6" s="9"/>
      <c r="GL6" s="9"/>
      <c r="GM6" s="9"/>
      <c r="GN6" s="9"/>
      <c r="GO6" s="9"/>
      <c r="GP6" s="9"/>
      <c r="GQ6" s="9"/>
      <c r="GR6" s="9"/>
      <c r="GS6" s="9"/>
      <c r="GT6" s="9"/>
      <c r="GU6" s="9"/>
      <c r="GV6" s="9"/>
      <c r="GW6" s="9"/>
      <c r="GX6" s="9"/>
      <c r="GY6" s="9"/>
      <c r="GZ6" s="9"/>
      <c r="HA6" s="9"/>
      <c r="HB6" s="9"/>
      <c r="HC6" s="9"/>
      <c r="HD6" s="9"/>
      <c r="HE6" s="9"/>
      <c r="HF6" s="9"/>
      <c r="HG6" s="9"/>
      <c r="HH6" s="9"/>
      <c r="HI6" s="9"/>
      <c r="HJ6" s="9"/>
      <c r="HK6" s="9"/>
      <c r="HL6" s="9"/>
      <c r="HM6" s="9"/>
      <c r="HN6" s="9"/>
      <c r="HO6" s="9"/>
      <c r="HP6" s="9"/>
      <c r="HQ6" s="9"/>
      <c r="HR6" s="9"/>
      <c r="HS6" s="9"/>
      <c r="HT6" s="9"/>
      <c r="HU6" s="9"/>
      <c r="HV6" s="9"/>
      <c r="HW6" s="9"/>
      <c r="HX6" s="9"/>
      <c r="HY6" s="9"/>
      <c r="HZ6" s="9"/>
      <c r="IA6" s="9"/>
      <c r="IB6" s="9"/>
      <c r="IC6" s="9"/>
      <c r="ID6" s="9"/>
      <c r="IE6" s="9"/>
      <c r="IF6" s="9"/>
      <c r="IG6" s="9"/>
      <c r="IH6" s="9"/>
      <c r="II6" s="9"/>
      <c r="IJ6" s="9"/>
      <c r="IK6" s="9"/>
      <c r="IL6" s="9"/>
      <c r="IM6" s="9"/>
      <c r="IN6" s="9"/>
      <c r="IO6" s="9"/>
      <c r="IP6" s="9"/>
      <c r="IQ6" s="9"/>
      <c r="IR6" s="9"/>
      <c r="IS6" s="9"/>
      <c r="IT6" s="9"/>
      <c r="IU6" s="9"/>
      <c r="IV6" s="9"/>
      <c r="IW6" s="9"/>
      <c r="IX6" s="9"/>
      <c r="IY6" s="9"/>
      <c r="IZ6" s="9"/>
      <c r="JA6" s="9"/>
      <c r="JB6" s="9"/>
      <c r="JC6" s="9"/>
      <c r="JD6" s="9"/>
      <c r="JE6" s="9"/>
      <c r="JF6" s="9"/>
      <c r="JG6" s="9"/>
      <c r="JH6" s="9"/>
      <c r="JI6" s="9"/>
    </row>
    <row r="7" spans="1:269" s="149" customFormat="1">
      <c r="A7"/>
      <c r="B7" s="1"/>
      <c r="C7" s="2"/>
      <c r="D7" s="2"/>
      <c r="E7" s="2"/>
      <c r="F7" s="3">
        <f>365-G7-H7-I7</f>
        <v>90</v>
      </c>
      <c r="G7" s="3">
        <f>G5-F5</f>
        <v>91</v>
      </c>
      <c r="H7" s="3">
        <f>H5-G5</f>
        <v>92</v>
      </c>
      <c r="I7" s="3">
        <f t="shared" ref="I7" si="22">I5-H5</f>
        <v>92</v>
      </c>
      <c r="J7" s="2"/>
      <c r="K7" s="3">
        <f>365-L7-M7-N7</f>
        <v>90</v>
      </c>
      <c r="L7" s="3">
        <f>L5-K5</f>
        <v>91</v>
      </c>
      <c r="M7" s="3">
        <f>M5-L5</f>
        <v>92</v>
      </c>
      <c r="N7" s="3">
        <f t="shared" ref="N7" si="23">N5-M5</f>
        <v>92</v>
      </c>
      <c r="O7" s="2">
        <f>SUM(K7:N7)</f>
        <v>365</v>
      </c>
      <c r="P7" s="3">
        <f t="shared" ref="P7:S7" si="24">P5-O5</f>
        <v>90</v>
      </c>
      <c r="Q7" s="3">
        <f t="shared" si="24"/>
        <v>91</v>
      </c>
      <c r="R7" s="3">
        <f t="shared" si="24"/>
        <v>92</v>
      </c>
      <c r="S7" s="3">
        <f t="shared" si="24"/>
        <v>92</v>
      </c>
      <c r="T7" s="2">
        <f>SUM(P7:S7)</f>
        <v>365</v>
      </c>
      <c r="U7" s="3">
        <f>U5-T5</f>
        <v>90</v>
      </c>
      <c r="V7" s="3">
        <f>V5-U5</f>
        <v>91</v>
      </c>
      <c r="W7" s="3">
        <f>W5-V5</f>
        <v>92</v>
      </c>
      <c r="X7" s="3">
        <f>X5-W5</f>
        <v>92</v>
      </c>
      <c r="Y7" s="2">
        <f>Y5-T5</f>
        <v>365</v>
      </c>
      <c r="Z7" s="3">
        <f>Z5-Y5</f>
        <v>90</v>
      </c>
      <c r="AA7" s="3">
        <f>AA5-Z5</f>
        <v>91</v>
      </c>
      <c r="AB7" s="3">
        <f>AB5-AA5</f>
        <v>92</v>
      </c>
      <c r="AC7" s="3">
        <f>AC5-AB5</f>
        <v>92</v>
      </c>
      <c r="AD7" s="4">
        <f>SUM(Z7:AC7)</f>
        <v>365</v>
      </c>
      <c r="AE7" s="3">
        <f>AE5-AD5</f>
        <v>90</v>
      </c>
      <c r="AF7" s="3">
        <f>AF5-AE5</f>
        <v>91</v>
      </c>
      <c r="AG7" s="11">
        <f>(AI7-AE7-AF7)/2</f>
        <v>92</v>
      </c>
      <c r="AH7" s="11">
        <f>AG7</f>
        <v>92</v>
      </c>
      <c r="AI7" s="12">
        <v>365</v>
      </c>
      <c r="AJ7" s="10">
        <v>91.25</v>
      </c>
      <c r="AK7" s="10">
        <v>91.25</v>
      </c>
      <c r="AL7" s="10">
        <v>91.25</v>
      </c>
      <c r="AM7" s="10">
        <v>91.25</v>
      </c>
      <c r="AN7" s="4">
        <f>SUM(AJ7:AM7)</f>
        <v>365</v>
      </c>
      <c r="AO7" s="10">
        <v>91.25</v>
      </c>
      <c r="AP7" s="10">
        <v>91.25</v>
      </c>
      <c r="AQ7" s="10">
        <v>91.25</v>
      </c>
      <c r="AR7" s="10">
        <v>91.25</v>
      </c>
      <c r="AS7" s="4">
        <f>SUM(AO7:AR7)</f>
        <v>365</v>
      </c>
      <c r="AT7" s="317"/>
      <c r="AU7" s="50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3"/>
      <c r="GC7" s="3"/>
      <c r="GD7" s="3"/>
      <c r="GE7" s="3"/>
      <c r="GF7" s="3"/>
      <c r="GG7" s="3"/>
      <c r="GH7" s="3"/>
      <c r="GI7" s="3"/>
      <c r="GJ7" s="3"/>
      <c r="GK7" s="3"/>
      <c r="GL7" s="3"/>
      <c r="GM7" s="3"/>
      <c r="GN7" s="3"/>
      <c r="GO7" s="3"/>
      <c r="GP7" s="3"/>
      <c r="GQ7" s="3"/>
      <c r="GR7" s="3"/>
      <c r="GS7" s="3"/>
      <c r="GT7" s="3"/>
      <c r="GU7" s="3"/>
      <c r="GV7" s="3"/>
      <c r="GW7" s="3"/>
      <c r="GX7" s="3"/>
      <c r="GY7" s="3"/>
      <c r="GZ7" s="3"/>
      <c r="HA7" s="3"/>
      <c r="HB7" s="3"/>
      <c r="HC7" s="3"/>
      <c r="HD7" s="3"/>
      <c r="HE7" s="3"/>
      <c r="HF7" s="3"/>
      <c r="HG7" s="3"/>
      <c r="HH7" s="3"/>
      <c r="HI7" s="3"/>
      <c r="HJ7" s="3"/>
      <c r="HK7" s="3"/>
      <c r="HL7" s="3"/>
      <c r="HM7" s="3"/>
      <c r="HN7" s="3"/>
      <c r="HO7" s="3"/>
      <c r="HP7" s="3"/>
      <c r="HQ7" s="3"/>
      <c r="HR7" s="3"/>
      <c r="HS7" s="3"/>
      <c r="HT7" s="3"/>
      <c r="HU7" s="3"/>
      <c r="HV7" s="3"/>
      <c r="HW7" s="3"/>
      <c r="HX7" s="3"/>
      <c r="HY7" s="3"/>
      <c r="HZ7" s="3"/>
      <c r="IA7" s="3"/>
      <c r="IB7" s="3"/>
      <c r="IC7" s="3"/>
      <c r="ID7" s="3"/>
      <c r="IE7" s="3"/>
      <c r="IF7" s="3"/>
      <c r="IG7" s="3"/>
      <c r="IH7" s="3"/>
      <c r="II7" s="3"/>
      <c r="IJ7" s="3"/>
      <c r="IK7" s="3"/>
      <c r="IL7" s="3"/>
      <c r="IM7" s="3"/>
      <c r="IN7" s="3"/>
      <c r="IO7" s="3"/>
      <c r="IP7" s="3"/>
      <c r="IQ7" s="3"/>
      <c r="IR7" s="3"/>
      <c r="IS7" s="3"/>
      <c r="IT7" s="3"/>
      <c r="IU7" s="3"/>
      <c r="IV7" s="3"/>
      <c r="IW7" s="3"/>
      <c r="IX7" s="3"/>
      <c r="IY7" s="3"/>
      <c r="IZ7" s="3"/>
      <c r="JA7" s="3"/>
      <c r="JB7" s="3"/>
      <c r="JC7" s="3"/>
      <c r="JD7" s="3"/>
      <c r="JE7" s="3"/>
      <c r="JF7" s="3"/>
      <c r="JG7" s="3"/>
      <c r="JH7" s="3"/>
      <c r="JI7" s="3"/>
    </row>
    <row r="8" spans="1:269" ht="4.5" customHeight="1"/>
    <row r="9" spans="1:269">
      <c r="A9" t="s">
        <v>193</v>
      </c>
      <c r="F9" s="276"/>
      <c r="G9" s="276"/>
      <c r="H9" s="276"/>
      <c r="I9" s="276"/>
      <c r="K9" s="276"/>
      <c r="L9" s="276"/>
      <c r="M9" s="276"/>
      <c r="N9" s="276" cm="1">
        <f t="array" ref="N9">_xll.BDH(bbg_ticker,"px_last",N6-1)</f>
        <v>11.22</v>
      </c>
      <c r="P9" s="276" cm="1">
        <f t="array" ref="P9">_xll.BDH(bbg_ticker,"px_last",P6-1)</f>
        <v>11.98</v>
      </c>
      <c r="Q9" s="276" cm="1">
        <f t="array" ref="Q9">_xll.BDH(bbg_ticker,"px_last",Q6-1)</f>
        <v>18.399999999999999</v>
      </c>
      <c r="R9" s="276" cm="1">
        <f t="array" ref="R9">_xll.BDH(bbg_ticker,"px_last",R6-1)</f>
        <v>15.27</v>
      </c>
      <c r="S9" s="276" cm="1">
        <f t="array" ref="S9">_xll.BDH(bbg_ticker,"px_last",S6)</f>
        <v>12.84</v>
      </c>
      <c r="U9" s="276" cm="1">
        <f t="array" ref="U9">_xll.BDH(bbg_ticker,"px_last",U6-1)</f>
        <v>15.27</v>
      </c>
      <c r="V9" s="276" cm="1">
        <f t="array" ref="V9">_xll.BDH(bbg_ticker,"px_last",V6-1)</f>
        <v>15.27</v>
      </c>
      <c r="W9" s="276" cm="1">
        <f t="array" ref="W9">_xll.BDH(bbg_ticker,"px_last",W6-1)</f>
        <v>11.3</v>
      </c>
      <c r="X9" s="276" cm="1">
        <f t="array" ref="X9">_xll.BDH(bbg_ticker,"px_last",X6-1)</f>
        <v>11.32</v>
      </c>
      <c r="Z9" s="276" cm="1">
        <f t="array" ref="Z9">_xll.BDH(bbg_ticker,"px_last",Z6-1)</f>
        <v>11</v>
      </c>
      <c r="AA9" s="276" cm="1">
        <f t="array" ref="AA9">_xll.BDH(bbg_ticker,"px_last",AA6)</f>
        <v>7.12</v>
      </c>
      <c r="AB9" s="276" cm="1">
        <f t="array" ref="AB9">_xll.BDH(bbg_ticker,"px_last",AB6)</f>
        <v>3.9</v>
      </c>
      <c r="AC9" s="276"/>
      <c r="AE9" s="276"/>
      <c r="AF9" s="276"/>
      <c r="AG9" s="276"/>
      <c r="AH9" s="276"/>
    </row>
    <row r="10" spans="1:269">
      <c r="A10" t="s">
        <v>194</v>
      </c>
      <c r="F10" s="276"/>
      <c r="G10" s="276"/>
      <c r="H10" s="276"/>
      <c r="I10" s="276"/>
      <c r="K10" s="276"/>
      <c r="L10" s="276"/>
      <c r="M10" s="276"/>
      <c r="N10" s="276" cm="1">
        <f t="array" ref="N10">_xll.BDH(bbg_ticker,"px_last",N6)</f>
        <v>11.35</v>
      </c>
      <c r="P10" s="276" cm="1">
        <f t="array" ref="P10">_xll.BDH(bbg_ticker,"px_last",P6)</f>
        <v>12.15</v>
      </c>
      <c r="Q10" s="276" cm="1">
        <f t="array" ref="Q10">_xll.BDH(bbg_ticker,"px_last",Q6+1)</f>
        <v>20.350000000000001</v>
      </c>
      <c r="R10" s="276" cm="1">
        <f t="array" ref="R10">_xll.BDH(bbg_ticker,"px_last",R6+1)</f>
        <v>14</v>
      </c>
      <c r="S10" s="276" cm="1">
        <f t="array" ref="S10">_xll.BDH(bbg_ticker,"px_last",S6+1)</f>
        <v>16.54</v>
      </c>
      <c r="U10" s="276" cm="1">
        <f t="array" ref="U10">_xll.BDH(bbg_ticker,"px_last",U6+1)</f>
        <v>14</v>
      </c>
      <c r="V10" s="276" cm="1">
        <f t="array" ref="V10">_xll.BDH(bbg_ticker,"px_last",V6+1)</f>
        <v>14</v>
      </c>
      <c r="W10" s="276" cm="1">
        <f t="array" ref="W10">_xll.BDH(bbg_ticker,"px_last",W6+3)</f>
        <v>9.91</v>
      </c>
      <c r="X10" s="276" cm="1">
        <f t="array" ref="X10">_xll.BDH(bbg_ticker,"px_last",X6+1)</f>
        <v>12.3</v>
      </c>
      <c r="Z10" s="276" cm="1">
        <f t="array" ref="Z10">_xll.BDH(bbg_ticker,"px_last",Z6+1)</f>
        <v>10.69</v>
      </c>
      <c r="AA10" s="276" cm="1">
        <f t="array" ref="AA10">_xll.BDH(bbg_ticker,"px_last",AA6+1)</f>
        <v>7.08</v>
      </c>
      <c r="AB10" s="276" cm="1">
        <f t="array" ref="AB10">_xll.BDH(bbg_ticker,"px_last",AB6+1)</f>
        <v>1.39</v>
      </c>
      <c r="AC10" s="276"/>
      <c r="AE10" s="276"/>
      <c r="AF10" s="276"/>
      <c r="AG10" s="276"/>
      <c r="AH10" s="276"/>
    </row>
    <row r="11" spans="1:269">
      <c r="A11" t="s">
        <v>195</v>
      </c>
      <c r="C11" s="62"/>
      <c r="D11" s="62"/>
      <c r="E11" s="62"/>
      <c r="F11" s="75"/>
      <c r="G11" s="75"/>
      <c r="H11" s="75"/>
      <c r="I11" s="75"/>
      <c r="J11" s="62"/>
      <c r="K11" s="75"/>
      <c r="L11" s="75"/>
      <c r="M11" s="75"/>
      <c r="N11" s="75">
        <f>N10/N9-1</f>
        <v>1.1586452762923249E-2</v>
      </c>
      <c r="O11" s="62"/>
      <c r="P11" s="75">
        <f t="shared" ref="P11:Q11" si="25">P10/P9-1</f>
        <v>1.4190317195325486E-2</v>
      </c>
      <c r="Q11" s="75">
        <f t="shared" si="25"/>
        <v>0.10597826086956541</v>
      </c>
      <c r="R11" s="75">
        <f>R10/R9-1</f>
        <v>-8.316961362148001E-2</v>
      </c>
      <c r="S11" s="75">
        <f>S10/S9-1</f>
        <v>0.28816199376947038</v>
      </c>
      <c r="T11" s="62"/>
      <c r="U11" s="75">
        <f>U10/U9-1</f>
        <v>-8.316961362148001E-2</v>
      </c>
      <c r="V11" s="75">
        <f>V10/V9-1</f>
        <v>-8.316961362148001E-2</v>
      </c>
      <c r="W11" s="75">
        <f>W10/W9-1</f>
        <v>-0.12300884955752212</v>
      </c>
      <c r="X11" s="75">
        <f>X10/X9-1</f>
        <v>8.6572438162544119E-2</v>
      </c>
      <c r="Y11" s="62"/>
      <c r="Z11" s="75">
        <f>Z10/Z9-1</f>
        <v>-2.8181818181818197E-2</v>
      </c>
      <c r="AA11" s="75">
        <f>AA10/AA9-1</f>
        <v>-5.6179775280899014E-3</v>
      </c>
      <c r="AB11" s="75">
        <f>AB10/AB9-1</f>
        <v>-0.64358974358974352</v>
      </c>
      <c r="AC11" s="75"/>
      <c r="AD11" s="76"/>
      <c r="AE11" s="75"/>
      <c r="AF11" s="75"/>
      <c r="AG11" s="75"/>
      <c r="AH11" s="75"/>
    </row>
    <row r="12" spans="1:269">
      <c r="A12" t="s">
        <v>199</v>
      </c>
      <c r="C12" s="62"/>
      <c r="D12" s="62"/>
      <c r="E12" s="62"/>
      <c r="F12" s="75"/>
      <c r="G12" s="75"/>
      <c r="H12" s="75"/>
      <c r="I12" s="75"/>
      <c r="J12" s="62"/>
      <c r="K12" s="75"/>
      <c r="L12" s="75"/>
      <c r="M12" s="75"/>
      <c r="N12" s="75"/>
      <c r="O12" s="62"/>
      <c r="P12" s="75">
        <f>P10/N9-1</f>
        <v>8.2887700534759245E-2</v>
      </c>
      <c r="Q12" s="75">
        <f t="shared" ref="Q12" si="26">Q10/P10-1</f>
        <v>0.67489711934156382</v>
      </c>
      <c r="R12" s="75">
        <f t="shared" ref="R12:S12" si="27">R10/Q10-1</f>
        <v>-0.31203931203931212</v>
      </c>
      <c r="S12" s="75">
        <f t="shared" si="27"/>
        <v>0.18142857142857127</v>
      </c>
      <c r="T12" s="62"/>
      <c r="U12" s="75">
        <f>U10/S10-1</f>
        <v>-0.15356711003627566</v>
      </c>
      <c r="V12" s="75">
        <f t="shared" ref="V12:X12" si="28">V10/U10-1</f>
        <v>0</v>
      </c>
      <c r="W12" s="75">
        <f t="shared" si="28"/>
        <v>-0.29214285714285715</v>
      </c>
      <c r="X12" s="75">
        <f t="shared" si="28"/>
        <v>0.24117053481331996</v>
      </c>
      <c r="Y12" s="62"/>
      <c r="Z12" s="75">
        <f>Z10/X10-1</f>
        <v>-0.13089430894308951</v>
      </c>
      <c r="AA12" s="75">
        <f>AA10/Z10-1</f>
        <v>-0.33769878391019637</v>
      </c>
      <c r="AB12" s="75">
        <f>AB10/AA10-1</f>
        <v>-0.8036723163841808</v>
      </c>
      <c r="AC12" s="75"/>
      <c r="AD12" s="76"/>
      <c r="AE12" s="75"/>
      <c r="AF12" s="75"/>
      <c r="AG12" s="75"/>
      <c r="AH12" s="75"/>
    </row>
    <row r="13" spans="1:269">
      <c r="B13" s="19"/>
      <c r="C13" s="77"/>
      <c r="D13" s="77"/>
      <c r="E13" s="77"/>
      <c r="F13" s="78"/>
      <c r="G13" s="78"/>
      <c r="H13" s="78"/>
      <c r="I13" s="78"/>
      <c r="J13" s="77"/>
      <c r="K13" s="78"/>
      <c r="L13" s="78"/>
      <c r="M13" s="78"/>
      <c r="N13" s="78"/>
      <c r="O13" s="77"/>
      <c r="P13" s="78"/>
      <c r="Q13" s="78"/>
      <c r="R13" s="78"/>
      <c r="S13" s="78"/>
      <c r="T13" s="77"/>
      <c r="U13" s="78"/>
      <c r="V13" s="78"/>
      <c r="W13" s="78"/>
      <c r="X13" s="78"/>
      <c r="Y13" s="77"/>
      <c r="Z13" s="282"/>
      <c r="AA13" s="78"/>
      <c r="AB13" s="78"/>
      <c r="AC13" s="78"/>
      <c r="AD13" s="79"/>
      <c r="AE13" s="78"/>
      <c r="AF13" s="78"/>
      <c r="AG13" s="78"/>
      <c r="AH13" s="78"/>
      <c r="AI13" s="79"/>
      <c r="AJ13" s="78"/>
      <c r="AK13" s="78"/>
      <c r="AL13" s="78"/>
      <c r="AM13" s="78"/>
      <c r="AN13" s="79"/>
      <c r="AO13" s="78"/>
      <c r="AP13" s="78"/>
      <c r="AQ13" s="78"/>
      <c r="AR13" s="78"/>
      <c r="AS13" s="79"/>
      <c r="AT13" s="453"/>
    </row>
    <row r="14" spans="1:269" s="315" customFormat="1">
      <c r="A14" s="409"/>
      <c r="B14" s="340"/>
      <c r="C14" s="388"/>
      <c r="D14" s="388"/>
      <c r="E14" s="388"/>
      <c r="F14" s="388"/>
      <c r="G14" s="388"/>
      <c r="H14" s="388"/>
      <c r="I14" s="388"/>
      <c r="J14" s="388"/>
      <c r="K14" s="388"/>
      <c r="L14" s="388"/>
      <c r="M14" s="388"/>
      <c r="N14" s="388"/>
      <c r="O14" s="388"/>
      <c r="P14" s="388"/>
      <c r="Q14" s="388"/>
      <c r="R14" s="388"/>
      <c r="S14" s="388"/>
      <c r="T14" s="388"/>
      <c r="U14" s="388"/>
      <c r="V14" s="388"/>
      <c r="W14" s="388"/>
      <c r="X14" s="388"/>
      <c r="Y14" s="388"/>
      <c r="Z14" s="388"/>
      <c r="AA14" s="388"/>
      <c r="AB14" s="408"/>
      <c r="AC14" s="55"/>
      <c r="AD14" s="55"/>
      <c r="AE14" s="55"/>
      <c r="AF14" s="55"/>
      <c r="AG14" s="55"/>
      <c r="AH14" s="55"/>
      <c r="AI14" s="55"/>
      <c r="AJ14" s="55"/>
      <c r="AK14" s="55"/>
      <c r="AL14" s="55"/>
      <c r="AM14" s="55"/>
      <c r="AN14" s="55"/>
      <c r="AO14" s="55"/>
      <c r="AP14" s="55"/>
      <c r="AQ14" s="55"/>
      <c r="AR14" s="55"/>
      <c r="AS14" s="55"/>
      <c r="AT14" s="317"/>
      <c r="AU14" s="506"/>
      <c r="AV14" s="428"/>
      <c r="AW14" s="428"/>
      <c r="AX14" s="428"/>
      <c r="BK14" s="318"/>
      <c r="BL14" s="318"/>
      <c r="BM14" s="318"/>
      <c r="BN14" s="318"/>
      <c r="BO14" s="318"/>
      <c r="BP14" s="318"/>
      <c r="BQ14" s="318"/>
      <c r="BR14" s="318"/>
      <c r="BS14" s="318"/>
      <c r="BT14" s="318"/>
      <c r="BU14" s="318"/>
      <c r="BV14" s="318"/>
      <c r="BW14" s="318"/>
      <c r="BX14" s="318"/>
      <c r="BY14" s="318"/>
      <c r="BZ14" s="318"/>
      <c r="CA14" s="318"/>
      <c r="CB14" s="318"/>
      <c r="CC14" s="318"/>
      <c r="CD14" s="318"/>
      <c r="CE14" s="318"/>
      <c r="CF14" s="318"/>
      <c r="CG14" s="318"/>
      <c r="CH14" s="318"/>
      <c r="CI14" s="318"/>
      <c r="CJ14" s="318"/>
      <c r="CK14" s="318"/>
      <c r="CL14" s="318"/>
      <c r="CM14" s="318"/>
      <c r="CN14" s="318"/>
      <c r="CO14" s="318"/>
      <c r="CP14" s="318"/>
      <c r="CQ14" s="318"/>
      <c r="CR14" s="318"/>
      <c r="CS14" s="318"/>
      <c r="CT14" s="318"/>
      <c r="CU14" s="318"/>
      <c r="CV14" s="318"/>
      <c r="CW14" s="318"/>
      <c r="CX14" s="318"/>
      <c r="CY14" s="318"/>
      <c r="CZ14" s="318"/>
      <c r="DA14" s="318"/>
      <c r="DB14" s="318"/>
      <c r="DC14" s="318"/>
      <c r="DD14" s="318"/>
      <c r="DE14" s="318"/>
      <c r="DF14" s="318"/>
      <c r="DG14" s="318"/>
      <c r="DH14" s="318"/>
      <c r="DI14" s="318"/>
      <c r="DJ14" s="318"/>
      <c r="DK14" s="318"/>
      <c r="DL14" s="318"/>
      <c r="DM14" s="318"/>
      <c r="DN14" s="318"/>
      <c r="DO14" s="318"/>
      <c r="DP14" s="318"/>
      <c r="DQ14" s="318"/>
      <c r="DR14" s="318"/>
      <c r="DS14" s="318"/>
      <c r="DT14" s="318"/>
      <c r="DU14" s="318"/>
      <c r="DV14" s="318"/>
      <c r="DW14" s="318"/>
      <c r="DX14" s="318"/>
      <c r="DY14" s="318"/>
      <c r="DZ14" s="318"/>
      <c r="EA14" s="318"/>
      <c r="EB14" s="318"/>
      <c r="EC14" s="318"/>
      <c r="ED14" s="318"/>
      <c r="EE14" s="318"/>
      <c r="EF14" s="318"/>
      <c r="EG14" s="318"/>
      <c r="EH14" s="318"/>
      <c r="EI14" s="318"/>
      <c r="EJ14" s="318"/>
      <c r="EK14" s="318"/>
      <c r="EL14" s="318"/>
      <c r="EM14" s="318"/>
      <c r="EN14" s="318"/>
      <c r="EO14" s="318"/>
      <c r="EP14" s="318"/>
      <c r="EQ14" s="318"/>
      <c r="ER14" s="318"/>
      <c r="ES14" s="318"/>
      <c r="ET14" s="318"/>
      <c r="EU14" s="318"/>
      <c r="EV14" s="318"/>
      <c r="EW14" s="318"/>
      <c r="EX14" s="318"/>
      <c r="EY14" s="318"/>
      <c r="EZ14" s="318"/>
      <c r="FA14" s="318"/>
      <c r="FB14" s="318"/>
      <c r="FC14" s="318"/>
      <c r="FD14" s="318"/>
      <c r="FE14" s="318"/>
      <c r="FF14" s="318"/>
      <c r="FG14" s="318"/>
      <c r="FH14" s="318"/>
      <c r="FI14" s="318"/>
      <c r="FJ14" s="318"/>
      <c r="FK14" s="318"/>
      <c r="FL14" s="318"/>
      <c r="FM14" s="318"/>
      <c r="FN14" s="318"/>
      <c r="FO14" s="318"/>
      <c r="FP14" s="318"/>
      <c r="FQ14" s="318"/>
      <c r="FR14" s="318"/>
      <c r="FS14" s="318"/>
      <c r="FT14" s="318"/>
      <c r="FU14" s="318"/>
      <c r="FV14" s="318"/>
      <c r="FW14" s="318"/>
      <c r="FX14" s="318"/>
      <c r="FY14" s="318"/>
      <c r="FZ14" s="318"/>
      <c r="GA14" s="318"/>
      <c r="GB14" s="318"/>
      <c r="GC14" s="318"/>
      <c r="GD14" s="318"/>
      <c r="GE14" s="318"/>
      <c r="GF14" s="318"/>
      <c r="GG14" s="318"/>
      <c r="GH14" s="318"/>
      <c r="GI14" s="318"/>
      <c r="GJ14" s="318"/>
      <c r="GK14" s="318"/>
      <c r="GL14" s="318"/>
      <c r="GM14" s="318"/>
      <c r="GN14" s="318"/>
      <c r="GO14" s="318"/>
      <c r="GP14" s="318"/>
      <c r="GQ14" s="318"/>
      <c r="GR14" s="318"/>
      <c r="GS14" s="318"/>
      <c r="GT14" s="318"/>
      <c r="GU14" s="318"/>
      <c r="GV14" s="318"/>
      <c r="GW14" s="318"/>
      <c r="GX14" s="318"/>
      <c r="GY14" s="318"/>
      <c r="GZ14" s="318"/>
      <c r="HA14" s="318"/>
      <c r="HB14" s="318"/>
      <c r="HC14" s="318"/>
      <c r="HD14" s="318"/>
      <c r="HE14" s="318"/>
      <c r="HF14" s="318"/>
      <c r="HG14" s="318"/>
      <c r="HH14" s="318"/>
      <c r="HI14" s="318"/>
      <c r="HJ14" s="318"/>
      <c r="HK14" s="318"/>
      <c r="HL14" s="318"/>
      <c r="HM14" s="318"/>
      <c r="HN14" s="318"/>
      <c r="HO14" s="318"/>
      <c r="HP14" s="318"/>
      <c r="HQ14" s="318"/>
      <c r="HR14" s="318"/>
      <c r="HS14" s="318"/>
      <c r="HT14" s="318"/>
      <c r="HU14" s="318"/>
      <c r="HV14" s="318"/>
      <c r="HW14" s="318"/>
      <c r="HX14" s="318"/>
      <c r="HY14" s="318"/>
      <c r="HZ14" s="318"/>
      <c r="IA14" s="318"/>
      <c r="IB14" s="318"/>
      <c r="IC14" s="318"/>
      <c r="ID14" s="318"/>
      <c r="IE14" s="318"/>
      <c r="IF14" s="318"/>
      <c r="IG14" s="318"/>
      <c r="IH14" s="318"/>
      <c r="II14" s="318"/>
      <c r="IJ14" s="318"/>
      <c r="IK14" s="318"/>
      <c r="IL14" s="318"/>
      <c r="IM14" s="318"/>
      <c r="IN14" s="318"/>
      <c r="IO14" s="318"/>
      <c r="IP14" s="318"/>
      <c r="IQ14" s="318"/>
      <c r="IR14" s="318"/>
      <c r="IS14" s="318"/>
      <c r="IT14" s="318"/>
      <c r="IU14" s="318"/>
      <c r="IV14" s="318"/>
      <c r="IW14" s="318"/>
      <c r="IX14" s="318"/>
      <c r="IY14" s="318"/>
      <c r="IZ14" s="318"/>
      <c r="JA14" s="318"/>
      <c r="JB14" s="318"/>
      <c r="JC14" s="318"/>
      <c r="JD14" s="318"/>
      <c r="JE14" s="318"/>
      <c r="JF14" s="318"/>
      <c r="JG14" s="318"/>
      <c r="JH14" s="318"/>
      <c r="JI14" s="318"/>
    </row>
    <row r="15" spans="1:269" s="315" customFormat="1" ht="26">
      <c r="A15" s="410" t="s">
        <v>206</v>
      </c>
      <c r="B15" s="340"/>
      <c r="C15" s="388"/>
      <c r="D15" s="388"/>
      <c r="E15" s="388"/>
      <c r="F15" s="388"/>
      <c r="G15" s="388"/>
      <c r="H15" s="388"/>
      <c r="I15" s="388"/>
      <c r="J15" s="388"/>
      <c r="K15" s="388"/>
      <c r="L15" s="388"/>
      <c r="M15" s="388"/>
      <c r="N15" s="388"/>
      <c r="O15" s="388"/>
      <c r="P15" s="388"/>
      <c r="Q15" s="388"/>
      <c r="R15" s="388"/>
      <c r="S15" s="388"/>
      <c r="T15" s="388"/>
      <c r="U15" s="388"/>
      <c r="V15" s="388"/>
      <c r="W15" s="388"/>
      <c r="X15" s="388"/>
      <c r="Y15" s="388"/>
      <c r="Z15" s="388"/>
      <c r="AA15" s="388"/>
      <c r="AB15" s="408"/>
      <c r="AC15" s="55"/>
      <c r="AD15" s="55"/>
      <c r="AE15" s="55"/>
      <c r="AF15" s="55"/>
      <c r="AG15" s="55"/>
      <c r="AH15" s="55"/>
      <c r="AI15" s="55"/>
      <c r="AJ15" s="55"/>
      <c r="AK15" s="55"/>
      <c r="AL15" s="55"/>
      <c r="AM15" s="55"/>
      <c r="AN15" s="55"/>
      <c r="AO15" s="55"/>
      <c r="AP15" s="55"/>
      <c r="AQ15" s="55"/>
      <c r="AR15" s="55"/>
      <c r="AS15" s="55"/>
      <c r="AT15" s="317"/>
      <c r="AU15" s="506"/>
      <c r="AV15" s="428"/>
      <c r="AW15" s="428"/>
      <c r="AX15" s="428"/>
      <c r="BK15" s="318"/>
      <c r="BL15" s="318"/>
      <c r="BM15" s="318"/>
      <c r="BN15" s="318"/>
      <c r="BO15" s="318"/>
      <c r="BP15" s="318"/>
      <c r="BQ15" s="318"/>
      <c r="BR15" s="318"/>
      <c r="BS15" s="318"/>
      <c r="BT15" s="318"/>
      <c r="BU15" s="318"/>
      <c r="BV15" s="318"/>
      <c r="BW15" s="318"/>
      <c r="BX15" s="318"/>
      <c r="BY15" s="318"/>
      <c r="BZ15" s="318"/>
      <c r="CA15" s="318"/>
      <c r="CB15" s="318"/>
      <c r="CC15" s="318"/>
      <c r="CD15" s="318"/>
      <c r="CE15" s="318"/>
      <c r="CF15" s="318"/>
      <c r="CG15" s="318"/>
      <c r="CH15" s="318"/>
      <c r="CI15" s="318"/>
      <c r="CJ15" s="318"/>
      <c r="CK15" s="318"/>
      <c r="CL15" s="318"/>
      <c r="CM15" s="318"/>
      <c r="CN15" s="318"/>
      <c r="CO15" s="318"/>
      <c r="CP15" s="318"/>
      <c r="CQ15" s="318"/>
      <c r="CR15" s="318"/>
      <c r="CS15" s="318"/>
      <c r="CT15" s="318"/>
      <c r="CU15" s="318"/>
      <c r="CV15" s="318"/>
      <c r="CW15" s="318"/>
      <c r="CX15" s="318"/>
      <c r="CY15" s="318"/>
      <c r="CZ15" s="318"/>
      <c r="DA15" s="318"/>
      <c r="DB15" s="318"/>
      <c r="DC15" s="318"/>
      <c r="DD15" s="318"/>
      <c r="DE15" s="318"/>
      <c r="DF15" s="318"/>
      <c r="DG15" s="318"/>
      <c r="DH15" s="318"/>
      <c r="DI15" s="318"/>
      <c r="DJ15" s="318"/>
      <c r="DK15" s="318"/>
      <c r="DL15" s="318"/>
      <c r="DM15" s="318"/>
      <c r="DN15" s="318"/>
      <c r="DO15" s="318"/>
      <c r="DP15" s="318"/>
      <c r="DQ15" s="318"/>
      <c r="DR15" s="318"/>
      <c r="DS15" s="318"/>
      <c r="DT15" s="318"/>
      <c r="DU15" s="318"/>
      <c r="DV15" s="318"/>
      <c r="DW15" s="318"/>
      <c r="DX15" s="318"/>
      <c r="DY15" s="318"/>
      <c r="DZ15" s="318"/>
      <c r="EA15" s="318"/>
      <c r="EB15" s="318"/>
      <c r="EC15" s="318"/>
      <c r="ED15" s="318"/>
      <c r="EE15" s="318"/>
      <c r="EF15" s="318"/>
      <c r="EG15" s="318"/>
      <c r="EH15" s="318"/>
      <c r="EI15" s="318"/>
      <c r="EJ15" s="318"/>
      <c r="EK15" s="318"/>
      <c r="EL15" s="318"/>
      <c r="EM15" s="318"/>
      <c r="EN15" s="318"/>
      <c r="EO15" s="318"/>
      <c r="EP15" s="318"/>
      <c r="EQ15" s="318"/>
      <c r="ER15" s="318"/>
      <c r="ES15" s="318"/>
      <c r="ET15" s="318"/>
      <c r="EU15" s="318"/>
      <c r="EV15" s="318"/>
      <c r="EW15" s="318"/>
      <c r="EX15" s="318"/>
      <c r="EY15" s="318"/>
      <c r="EZ15" s="318"/>
      <c r="FA15" s="318"/>
      <c r="FB15" s="318"/>
      <c r="FC15" s="318"/>
      <c r="FD15" s="318"/>
      <c r="FE15" s="318"/>
      <c r="FF15" s="318"/>
      <c r="FG15" s="318"/>
      <c r="FH15" s="318"/>
      <c r="FI15" s="318"/>
      <c r="FJ15" s="318"/>
      <c r="FK15" s="318"/>
      <c r="FL15" s="318"/>
      <c r="FM15" s="318"/>
      <c r="FN15" s="318"/>
      <c r="FO15" s="318"/>
      <c r="FP15" s="318"/>
      <c r="FQ15" s="318"/>
      <c r="FR15" s="318"/>
      <c r="FS15" s="318"/>
      <c r="FT15" s="318"/>
      <c r="FU15" s="318"/>
      <c r="FV15" s="318"/>
      <c r="FW15" s="318"/>
      <c r="FX15" s="318"/>
      <c r="FY15" s="318"/>
      <c r="FZ15" s="318"/>
      <c r="GA15" s="318"/>
      <c r="GB15" s="318"/>
      <c r="GC15" s="318"/>
      <c r="GD15" s="318"/>
      <c r="GE15" s="318"/>
      <c r="GF15" s="318"/>
      <c r="GG15" s="318"/>
      <c r="GH15" s="318"/>
      <c r="GI15" s="318"/>
      <c r="GJ15" s="318"/>
      <c r="GK15" s="318"/>
      <c r="GL15" s="318"/>
      <c r="GM15" s="318"/>
      <c r="GN15" s="318"/>
      <c r="GO15" s="318"/>
      <c r="GP15" s="318"/>
      <c r="GQ15" s="318"/>
      <c r="GR15" s="318"/>
      <c r="GS15" s="318"/>
      <c r="GT15" s="318"/>
      <c r="GU15" s="318"/>
      <c r="GV15" s="318"/>
      <c r="GW15" s="318"/>
      <c r="GX15" s="318"/>
      <c r="GY15" s="318"/>
      <c r="GZ15" s="318"/>
      <c r="HA15" s="318"/>
      <c r="HB15" s="318"/>
      <c r="HC15" s="318"/>
      <c r="HD15" s="318"/>
      <c r="HE15" s="318"/>
      <c r="HF15" s="318"/>
      <c r="HG15" s="318"/>
      <c r="HH15" s="318"/>
      <c r="HI15" s="318"/>
      <c r="HJ15" s="318"/>
      <c r="HK15" s="318"/>
      <c r="HL15" s="318"/>
      <c r="HM15" s="318"/>
      <c r="HN15" s="318"/>
      <c r="HO15" s="318"/>
      <c r="HP15" s="318"/>
      <c r="HQ15" s="318"/>
      <c r="HR15" s="318"/>
      <c r="HS15" s="318"/>
      <c r="HT15" s="318"/>
      <c r="HU15" s="318"/>
      <c r="HV15" s="318"/>
      <c r="HW15" s="318"/>
      <c r="HX15" s="318"/>
      <c r="HY15" s="318"/>
      <c r="HZ15" s="318"/>
      <c r="IA15" s="318"/>
      <c r="IB15" s="318"/>
      <c r="IC15" s="318"/>
      <c r="ID15" s="318"/>
      <c r="IE15" s="318"/>
      <c r="IF15" s="318"/>
      <c r="IG15" s="318"/>
      <c r="IH15" s="318"/>
      <c r="II15" s="318"/>
      <c r="IJ15" s="318"/>
      <c r="IK15" s="318"/>
      <c r="IL15" s="318"/>
      <c r="IM15" s="318"/>
      <c r="IN15" s="318"/>
      <c r="IO15" s="318"/>
      <c r="IP15" s="318"/>
      <c r="IQ15" s="318"/>
      <c r="IR15" s="318"/>
      <c r="IS15" s="318"/>
      <c r="IT15" s="318"/>
      <c r="IU15" s="318"/>
      <c r="IV15" s="318"/>
      <c r="IW15" s="318"/>
      <c r="IX15" s="318"/>
      <c r="IY15" s="318"/>
      <c r="IZ15" s="318"/>
      <c r="JA15" s="318"/>
      <c r="JB15" s="318"/>
      <c r="JC15" s="318"/>
      <c r="JD15" s="318"/>
      <c r="JE15" s="318"/>
      <c r="JF15" s="318"/>
      <c r="JG15" s="318"/>
      <c r="JH15" s="318"/>
      <c r="JI15" s="318"/>
    </row>
    <row r="16" spans="1:269" s="315" customFormat="1" ht="26">
      <c r="A16" s="410"/>
      <c r="B16" s="340"/>
      <c r="C16" s="388"/>
      <c r="D16" s="388"/>
      <c r="E16" s="388"/>
      <c r="F16" s="388"/>
      <c r="G16" s="388"/>
      <c r="H16" s="388"/>
      <c r="I16" s="388"/>
      <c r="J16" s="388"/>
      <c r="K16" s="388"/>
      <c r="L16" s="388"/>
      <c r="M16" s="388"/>
      <c r="N16" s="388"/>
      <c r="O16" s="388"/>
      <c r="P16" s="388"/>
      <c r="Q16" s="388"/>
      <c r="R16" s="388"/>
      <c r="S16" s="388"/>
      <c r="T16" s="388"/>
      <c r="U16" s="388"/>
      <c r="V16" s="388"/>
      <c r="W16" s="388"/>
      <c r="X16" s="388"/>
      <c r="Y16" s="388"/>
      <c r="Z16" s="388"/>
      <c r="AA16" s="388"/>
      <c r="AB16" s="408"/>
      <c r="AC16" s="55"/>
      <c r="AD16" s="55"/>
      <c r="AE16" s="55"/>
      <c r="AF16" s="55"/>
      <c r="AG16" s="55"/>
      <c r="AH16" s="55"/>
      <c r="AI16" s="55"/>
      <c r="AJ16" s="55"/>
      <c r="AK16" s="55"/>
      <c r="AL16" s="55"/>
      <c r="AM16" s="55"/>
      <c r="AN16" s="55"/>
      <c r="AO16" s="55"/>
      <c r="AP16" s="55"/>
      <c r="AQ16" s="55"/>
      <c r="AR16" s="55"/>
      <c r="AS16" s="55"/>
      <c r="AT16" s="317"/>
      <c r="AU16" s="506"/>
      <c r="AV16" s="428"/>
      <c r="AW16" s="428"/>
      <c r="AX16" s="428"/>
      <c r="BK16" s="318"/>
      <c r="BL16" s="318"/>
      <c r="BM16" s="318"/>
      <c r="BN16" s="318"/>
      <c r="BO16" s="318"/>
      <c r="BP16" s="318"/>
      <c r="BQ16" s="318"/>
      <c r="BR16" s="318"/>
      <c r="BS16" s="318"/>
      <c r="BT16" s="318"/>
      <c r="BU16" s="318"/>
      <c r="BV16" s="318"/>
      <c r="BW16" s="318"/>
      <c r="BX16" s="318"/>
      <c r="BY16" s="318"/>
      <c r="BZ16" s="318"/>
      <c r="CA16" s="318"/>
      <c r="CB16" s="318"/>
      <c r="CC16" s="318"/>
      <c r="CD16" s="318"/>
      <c r="CE16" s="318"/>
      <c r="CF16" s="318"/>
      <c r="CG16" s="318"/>
      <c r="CH16" s="318"/>
      <c r="CI16" s="318"/>
      <c r="CJ16" s="318"/>
      <c r="CK16" s="318"/>
      <c r="CL16" s="318"/>
      <c r="CM16" s="318"/>
      <c r="CN16" s="318"/>
      <c r="CO16" s="318"/>
      <c r="CP16" s="318"/>
      <c r="CQ16" s="318"/>
      <c r="CR16" s="318"/>
      <c r="CS16" s="318"/>
      <c r="CT16" s="318"/>
      <c r="CU16" s="318"/>
      <c r="CV16" s="318"/>
      <c r="CW16" s="318"/>
      <c r="CX16" s="318"/>
      <c r="CY16" s="318"/>
      <c r="CZ16" s="318"/>
      <c r="DA16" s="318"/>
      <c r="DB16" s="318"/>
      <c r="DC16" s="318"/>
      <c r="DD16" s="318"/>
      <c r="DE16" s="318"/>
      <c r="DF16" s="318"/>
      <c r="DG16" s="318"/>
      <c r="DH16" s="318"/>
      <c r="DI16" s="318"/>
      <c r="DJ16" s="318"/>
      <c r="DK16" s="318"/>
      <c r="DL16" s="318"/>
      <c r="DM16" s="318"/>
      <c r="DN16" s="318"/>
      <c r="DO16" s="318"/>
      <c r="DP16" s="318"/>
      <c r="DQ16" s="318"/>
      <c r="DR16" s="318"/>
      <c r="DS16" s="318"/>
      <c r="DT16" s="318"/>
      <c r="DU16" s="318"/>
      <c r="DV16" s="318"/>
      <c r="DW16" s="318"/>
      <c r="DX16" s="318"/>
      <c r="DY16" s="318"/>
      <c r="DZ16" s="318"/>
      <c r="EA16" s="318"/>
      <c r="EB16" s="318"/>
      <c r="EC16" s="318"/>
      <c r="ED16" s="318"/>
      <c r="EE16" s="318"/>
      <c r="EF16" s="318"/>
      <c r="EG16" s="318"/>
      <c r="EH16" s="318"/>
      <c r="EI16" s="318"/>
      <c r="EJ16" s="318"/>
      <c r="EK16" s="318"/>
      <c r="EL16" s="318"/>
      <c r="EM16" s="318"/>
      <c r="EN16" s="318"/>
      <c r="EO16" s="318"/>
      <c r="EP16" s="318"/>
      <c r="EQ16" s="318"/>
      <c r="ER16" s="318"/>
      <c r="ES16" s="318"/>
      <c r="ET16" s="318"/>
      <c r="EU16" s="318"/>
      <c r="EV16" s="318"/>
      <c r="EW16" s="318"/>
      <c r="EX16" s="318"/>
      <c r="EY16" s="318"/>
      <c r="EZ16" s="318"/>
      <c r="FA16" s="318"/>
      <c r="FB16" s="318"/>
      <c r="FC16" s="318"/>
      <c r="FD16" s="318"/>
      <c r="FE16" s="318"/>
      <c r="FF16" s="318"/>
      <c r="FG16" s="318"/>
      <c r="FH16" s="318"/>
      <c r="FI16" s="318"/>
      <c r="FJ16" s="318"/>
      <c r="FK16" s="318"/>
      <c r="FL16" s="318"/>
      <c r="FM16" s="318"/>
      <c r="FN16" s="318"/>
      <c r="FO16" s="318"/>
      <c r="FP16" s="318"/>
      <c r="FQ16" s="318"/>
      <c r="FR16" s="318"/>
      <c r="FS16" s="318"/>
      <c r="FT16" s="318"/>
      <c r="FU16" s="318"/>
      <c r="FV16" s="318"/>
      <c r="FW16" s="318"/>
      <c r="FX16" s="318"/>
      <c r="FY16" s="318"/>
      <c r="FZ16" s="318"/>
      <c r="GA16" s="318"/>
      <c r="GB16" s="318"/>
      <c r="GC16" s="318"/>
      <c r="GD16" s="318"/>
      <c r="GE16" s="318"/>
      <c r="GF16" s="318"/>
      <c r="GG16" s="318"/>
      <c r="GH16" s="318"/>
      <c r="GI16" s="318"/>
      <c r="GJ16" s="318"/>
      <c r="GK16" s="318"/>
      <c r="GL16" s="318"/>
      <c r="GM16" s="318"/>
      <c r="GN16" s="318"/>
      <c r="GO16" s="318"/>
      <c r="GP16" s="318"/>
      <c r="GQ16" s="318"/>
      <c r="GR16" s="318"/>
      <c r="GS16" s="318"/>
      <c r="GT16" s="318"/>
      <c r="GU16" s="318"/>
      <c r="GV16" s="318"/>
      <c r="GW16" s="318"/>
      <c r="GX16" s="318"/>
      <c r="GY16" s="318"/>
      <c r="GZ16" s="318"/>
      <c r="HA16" s="318"/>
      <c r="HB16" s="318"/>
      <c r="HC16" s="318"/>
      <c r="HD16" s="318"/>
      <c r="HE16" s="318"/>
      <c r="HF16" s="318"/>
      <c r="HG16" s="318"/>
      <c r="HH16" s="318"/>
      <c r="HI16" s="318"/>
      <c r="HJ16" s="318"/>
      <c r="HK16" s="318"/>
      <c r="HL16" s="318"/>
      <c r="HM16" s="318"/>
      <c r="HN16" s="318"/>
      <c r="HO16" s="318"/>
      <c r="HP16" s="318"/>
      <c r="HQ16" s="318"/>
      <c r="HR16" s="318"/>
      <c r="HS16" s="318"/>
      <c r="HT16" s="318"/>
      <c r="HU16" s="318"/>
      <c r="HV16" s="318"/>
      <c r="HW16" s="318"/>
      <c r="HX16" s="318"/>
      <c r="HY16" s="318"/>
      <c r="HZ16" s="318"/>
      <c r="IA16" s="318"/>
      <c r="IB16" s="318"/>
      <c r="IC16" s="318"/>
      <c r="ID16" s="318"/>
      <c r="IE16" s="318"/>
      <c r="IF16" s="318"/>
      <c r="IG16" s="318"/>
      <c r="IH16" s="318"/>
      <c r="II16" s="318"/>
      <c r="IJ16" s="318"/>
      <c r="IK16" s="318"/>
      <c r="IL16" s="318"/>
      <c r="IM16" s="318"/>
      <c r="IN16" s="318"/>
      <c r="IO16" s="318"/>
      <c r="IP16" s="318"/>
      <c r="IQ16" s="318"/>
      <c r="IR16" s="318"/>
      <c r="IS16" s="318"/>
      <c r="IT16" s="318"/>
      <c r="IU16" s="318"/>
      <c r="IV16" s="318"/>
      <c r="IW16" s="318"/>
      <c r="IX16" s="318"/>
      <c r="IY16" s="318"/>
      <c r="IZ16" s="318"/>
      <c r="JA16" s="318"/>
      <c r="JB16" s="318"/>
      <c r="JC16" s="318"/>
      <c r="JD16" s="318"/>
      <c r="JE16" s="318"/>
      <c r="JF16" s="318"/>
      <c r="JG16" s="318"/>
      <c r="JH16" s="318"/>
      <c r="JI16" s="318"/>
    </row>
    <row r="17" spans="1:269">
      <c r="B17" s="19"/>
    </row>
    <row r="18" spans="1:269" s="429" customFormat="1">
      <c r="A18" s="430" t="s">
        <v>549</v>
      </c>
      <c r="B18" s="431"/>
      <c r="C18" s="432"/>
      <c r="D18" s="432"/>
      <c r="E18" s="432"/>
      <c r="F18" s="432"/>
      <c r="G18" s="432"/>
      <c r="H18" s="432"/>
      <c r="I18" s="432"/>
      <c r="J18" s="432"/>
      <c r="K18" s="432"/>
      <c r="L18" s="432"/>
      <c r="M18" s="432"/>
      <c r="N18" s="432"/>
      <c r="O18" s="432"/>
      <c r="P18" s="432"/>
      <c r="Q18" s="432"/>
      <c r="R18" s="432"/>
      <c r="S18" s="432"/>
      <c r="T18" s="432"/>
      <c r="U18" s="432"/>
      <c r="V18" s="432"/>
      <c r="W18" s="432"/>
      <c r="X18" s="432"/>
      <c r="Y18" s="432"/>
      <c r="Z18" s="432"/>
      <c r="AA18" s="432"/>
      <c r="AB18" s="432"/>
      <c r="AC18" s="55"/>
      <c r="AD18" s="55"/>
      <c r="AE18" s="55"/>
      <c r="AF18" s="55"/>
      <c r="AG18" s="55"/>
      <c r="AH18" s="55"/>
      <c r="AI18" s="55"/>
      <c r="AJ18" s="55"/>
      <c r="AK18" s="55"/>
      <c r="AL18" s="55"/>
      <c r="AM18" s="55"/>
      <c r="AN18" s="55"/>
      <c r="AO18" s="55"/>
      <c r="AP18" s="55"/>
      <c r="AQ18" s="55"/>
      <c r="AR18" s="55"/>
      <c r="AS18" s="55"/>
      <c r="AT18" s="317"/>
      <c r="AU18" s="507"/>
      <c r="AV18" s="317"/>
      <c r="AW18" s="317"/>
      <c r="AX18" s="317"/>
      <c r="AY18" s="317"/>
      <c r="AZ18" s="317"/>
      <c r="BA18" s="317"/>
      <c r="BB18" s="317"/>
      <c r="BC18" s="317"/>
      <c r="BD18" s="317"/>
      <c r="BE18" s="317"/>
      <c r="BF18" s="317"/>
      <c r="BG18" s="317"/>
      <c r="BH18" s="317"/>
      <c r="BI18" s="317"/>
      <c r="BJ18" s="317"/>
      <c r="BK18" s="317"/>
      <c r="BL18" s="317"/>
      <c r="BM18" s="317"/>
      <c r="BN18" s="317"/>
      <c r="BO18" s="317"/>
      <c r="BP18" s="317"/>
      <c r="BQ18" s="317"/>
      <c r="BR18" s="317"/>
      <c r="BS18" s="317"/>
      <c r="BT18" s="317"/>
      <c r="BU18" s="317"/>
      <c r="BV18" s="317"/>
      <c r="BW18" s="317"/>
      <c r="BX18" s="317"/>
      <c r="BY18" s="317"/>
      <c r="BZ18" s="317"/>
      <c r="CA18" s="317"/>
      <c r="CB18" s="317"/>
      <c r="CC18" s="317"/>
      <c r="CD18" s="317"/>
      <c r="CE18" s="317"/>
      <c r="CF18" s="317"/>
      <c r="CG18" s="317"/>
      <c r="CH18" s="317"/>
      <c r="CI18" s="317"/>
      <c r="CJ18" s="317"/>
      <c r="CK18" s="317"/>
      <c r="CL18" s="317"/>
      <c r="CM18" s="317"/>
      <c r="CN18" s="317"/>
      <c r="CO18" s="317"/>
      <c r="CP18" s="317"/>
      <c r="CQ18" s="317"/>
      <c r="CR18" s="317"/>
      <c r="CS18" s="317"/>
      <c r="CT18" s="317"/>
      <c r="CU18" s="317"/>
      <c r="CV18" s="317"/>
      <c r="CW18" s="317"/>
      <c r="CX18" s="317"/>
      <c r="CY18" s="317"/>
      <c r="CZ18" s="317"/>
      <c r="DA18" s="317"/>
      <c r="DB18" s="317"/>
      <c r="DC18" s="317"/>
      <c r="DD18" s="317"/>
      <c r="DE18" s="317"/>
      <c r="DF18" s="317"/>
      <c r="DG18" s="317"/>
      <c r="DH18" s="317"/>
      <c r="DI18" s="317"/>
      <c r="DJ18" s="317"/>
      <c r="DK18" s="317"/>
      <c r="DL18" s="317"/>
      <c r="DM18" s="317"/>
      <c r="DN18" s="317"/>
      <c r="DO18" s="317"/>
      <c r="DP18" s="317"/>
      <c r="DQ18" s="317"/>
      <c r="DR18" s="317"/>
      <c r="DS18" s="317"/>
      <c r="DT18" s="317"/>
      <c r="DU18" s="317"/>
      <c r="DV18" s="317"/>
      <c r="DW18" s="317"/>
      <c r="DX18" s="317"/>
      <c r="DY18" s="317"/>
      <c r="DZ18" s="317"/>
      <c r="EA18" s="317"/>
      <c r="EB18" s="317"/>
      <c r="EC18" s="317"/>
      <c r="ED18" s="317"/>
      <c r="EE18" s="317"/>
      <c r="EF18" s="317"/>
      <c r="EG18" s="317"/>
      <c r="EH18" s="317"/>
      <c r="EI18" s="317"/>
      <c r="EJ18" s="317"/>
      <c r="EK18" s="317"/>
      <c r="EL18" s="317"/>
      <c r="EM18" s="317"/>
      <c r="EN18" s="317"/>
      <c r="EO18" s="317"/>
      <c r="EP18" s="317"/>
      <c r="EQ18" s="317"/>
      <c r="ER18" s="317"/>
      <c r="ES18" s="317"/>
      <c r="ET18" s="317"/>
      <c r="EU18" s="317"/>
      <c r="EV18" s="317"/>
      <c r="EW18" s="317"/>
      <c r="EX18" s="317"/>
      <c r="EY18" s="317"/>
      <c r="EZ18" s="317"/>
      <c r="FA18" s="317"/>
      <c r="FB18" s="317"/>
      <c r="FC18" s="317"/>
      <c r="FD18" s="317"/>
      <c r="FE18" s="317"/>
      <c r="FF18" s="317"/>
      <c r="FG18" s="317"/>
      <c r="FH18" s="317"/>
      <c r="FI18" s="317"/>
      <c r="FJ18" s="317"/>
      <c r="FK18" s="317"/>
      <c r="FL18" s="317"/>
      <c r="FM18" s="317"/>
      <c r="FN18" s="317"/>
      <c r="FO18" s="317"/>
      <c r="FP18" s="317"/>
      <c r="FQ18" s="317"/>
      <c r="FR18" s="317"/>
      <c r="FS18" s="317"/>
      <c r="FT18" s="317"/>
      <c r="FU18" s="317"/>
      <c r="FV18" s="317"/>
      <c r="FW18" s="317"/>
      <c r="FX18" s="317"/>
      <c r="FY18" s="317"/>
      <c r="FZ18" s="317"/>
      <c r="GA18" s="317"/>
      <c r="GB18" s="317"/>
      <c r="GC18" s="317"/>
      <c r="GD18" s="317"/>
      <c r="GE18" s="317"/>
      <c r="GF18" s="317"/>
      <c r="GG18" s="317"/>
      <c r="GH18" s="317"/>
      <c r="GI18" s="317"/>
      <c r="GJ18" s="317"/>
      <c r="GK18" s="317"/>
      <c r="GL18" s="317"/>
      <c r="GM18" s="317"/>
      <c r="GN18" s="317"/>
      <c r="GO18" s="317"/>
      <c r="GP18" s="317"/>
      <c r="GQ18" s="317"/>
      <c r="GR18" s="317"/>
      <c r="GS18" s="317"/>
      <c r="GT18" s="317"/>
      <c r="GU18" s="317"/>
      <c r="GV18" s="317"/>
      <c r="GW18" s="317"/>
      <c r="GX18" s="317"/>
      <c r="GY18" s="317"/>
      <c r="GZ18" s="317"/>
      <c r="HA18" s="317"/>
      <c r="HB18" s="317"/>
      <c r="HC18" s="317"/>
      <c r="HD18" s="317"/>
      <c r="HE18" s="317"/>
      <c r="HF18" s="317"/>
      <c r="HG18" s="317"/>
      <c r="HH18" s="317"/>
      <c r="HI18" s="317"/>
      <c r="HJ18" s="317"/>
      <c r="HK18" s="317"/>
      <c r="HL18" s="317"/>
      <c r="HM18" s="317"/>
      <c r="HN18" s="317"/>
      <c r="HO18" s="317"/>
      <c r="HP18" s="317"/>
      <c r="HQ18" s="317"/>
      <c r="HR18" s="317"/>
      <c r="HS18" s="317"/>
      <c r="HT18" s="317"/>
      <c r="HU18" s="317"/>
      <c r="HV18" s="317"/>
      <c r="HW18" s="317"/>
      <c r="HX18" s="317"/>
      <c r="HY18" s="317"/>
      <c r="HZ18" s="317"/>
      <c r="IA18" s="317"/>
      <c r="IB18" s="317"/>
      <c r="IC18" s="317"/>
      <c r="ID18" s="317"/>
      <c r="IE18" s="317"/>
      <c r="IF18" s="317"/>
      <c r="IG18" s="317"/>
      <c r="IH18" s="317"/>
      <c r="II18" s="317"/>
      <c r="IJ18" s="317"/>
      <c r="IK18" s="317"/>
      <c r="IL18" s="317"/>
      <c r="IM18" s="317"/>
      <c r="IN18" s="317"/>
      <c r="IO18" s="317"/>
      <c r="IP18" s="317"/>
      <c r="IQ18" s="317"/>
      <c r="IR18" s="317"/>
      <c r="IS18" s="317"/>
      <c r="IT18" s="317"/>
      <c r="IU18" s="317"/>
      <c r="IV18" s="317"/>
      <c r="IW18" s="317"/>
      <c r="IX18" s="317"/>
      <c r="IY18" s="317"/>
      <c r="IZ18" s="317"/>
      <c r="JA18" s="317"/>
      <c r="JB18" s="317"/>
      <c r="JC18" s="317"/>
      <c r="JD18" s="317"/>
      <c r="JE18" s="317"/>
      <c r="JF18" s="317"/>
      <c r="JG18" s="317"/>
      <c r="JH18" s="317"/>
      <c r="JI18" s="317"/>
    </row>
    <row r="19" spans="1:269">
      <c r="B19" s="19"/>
    </row>
    <row r="20" spans="1:269" ht="15" thickBot="1">
      <c r="A20" s="60" t="s">
        <v>552</v>
      </c>
      <c r="B20" s="67"/>
      <c r="C20" s="792"/>
      <c r="D20" s="792"/>
      <c r="E20" s="792"/>
      <c r="F20" s="67"/>
      <c r="G20" s="67"/>
      <c r="H20" s="67"/>
      <c r="I20" s="67"/>
      <c r="J20" s="792"/>
      <c r="K20" s="67"/>
      <c r="L20" s="67"/>
      <c r="M20" s="67"/>
      <c r="N20" s="67"/>
      <c r="O20" s="792"/>
      <c r="P20" s="67"/>
      <c r="Q20" s="67"/>
      <c r="R20" s="67"/>
      <c r="S20" s="67"/>
      <c r="T20" s="792"/>
      <c r="U20" s="67"/>
      <c r="V20" s="67"/>
      <c r="W20" s="67"/>
      <c r="X20" s="67"/>
      <c r="Y20" s="792"/>
      <c r="Z20" s="67"/>
      <c r="AA20" s="67"/>
      <c r="AB20" s="67"/>
      <c r="AC20" s="67"/>
      <c r="AD20" s="69"/>
      <c r="AE20" s="67"/>
      <c r="AF20" s="67"/>
      <c r="AG20" s="67"/>
      <c r="AH20" s="67"/>
      <c r="AI20" s="69"/>
      <c r="AJ20" s="67"/>
      <c r="AK20" s="67"/>
      <c r="AL20" s="67"/>
      <c r="AM20" s="67"/>
      <c r="AN20" s="69"/>
      <c r="AO20" s="67"/>
      <c r="AP20" s="67"/>
      <c r="AQ20" s="67"/>
      <c r="AR20" s="67"/>
      <c r="AS20" s="69"/>
    </row>
    <row r="21" spans="1:269" ht="15" thickTop="1">
      <c r="A21" s="58" t="s">
        <v>562</v>
      </c>
      <c r="E21" s="61">
        <v>2802</v>
      </c>
      <c r="F21" s="66">
        <v>866</v>
      </c>
      <c r="G21" s="66">
        <v>1018</v>
      </c>
      <c r="H21" s="66">
        <v>972</v>
      </c>
      <c r="I21" s="66">
        <v>1247</v>
      </c>
      <c r="J21" s="61">
        <v>4103</v>
      </c>
      <c r="K21" s="66">
        <v>747</v>
      </c>
      <c r="L21" s="66">
        <v>283</v>
      </c>
      <c r="M21" s="66">
        <v>812</v>
      </c>
      <c r="N21" s="66">
        <v>805</v>
      </c>
      <c r="O21" s="61">
        <v>2647</v>
      </c>
      <c r="P21" s="66">
        <v>1166.9090909090908</v>
      </c>
      <c r="Q21" s="66">
        <v>1553.0666666666666</v>
      </c>
      <c r="R21" s="66">
        <v>1539.6595744680851</v>
      </c>
      <c r="S21" s="66">
        <v>1931.3747680050699</v>
      </c>
      <c r="T21" s="61">
        <v>6191.010100048913</v>
      </c>
      <c r="U21" s="66">
        <v>1827</v>
      </c>
      <c r="V21" s="66">
        <v>2738</v>
      </c>
      <c r="W21" s="66">
        <v>1860</v>
      </c>
      <c r="X21" s="66">
        <v>2067</v>
      </c>
      <c r="Y21" s="61">
        <v>8492</v>
      </c>
      <c r="Z21" s="66">
        <v>1774</v>
      </c>
      <c r="AA21" s="66">
        <v>2822</v>
      </c>
      <c r="AB21" s="66">
        <v>2140</v>
      </c>
      <c r="AC21" s="19">
        <f>AC36+AC46</f>
        <v>300</v>
      </c>
      <c r="AD21" s="76">
        <f>SUM(Z21:AC21)</f>
        <v>7036</v>
      </c>
      <c r="AE21" s="19">
        <f>AE36+AE46</f>
        <v>300</v>
      </c>
      <c r="AF21" s="19">
        <f>AF36+AF46</f>
        <v>400</v>
      </c>
      <c r="AG21" s="19">
        <f>AG36+AG46</f>
        <v>500</v>
      </c>
      <c r="AH21" s="19">
        <f>AH36+AH46</f>
        <v>751.13974999999994</v>
      </c>
      <c r="AI21" s="76">
        <f>SUM(AE21:AH21)</f>
        <v>1951.1397499999998</v>
      </c>
      <c r="AJ21" s="19">
        <f>AJ36+AJ46</f>
        <v>824.09462200000007</v>
      </c>
      <c r="AK21" s="19">
        <f>AK36+AK46</f>
        <v>1038.4039544</v>
      </c>
      <c r="AL21" s="19">
        <f>AL36+AL46</f>
        <v>1096.3257368</v>
      </c>
      <c r="AM21" s="19">
        <f>AM36+AM46</f>
        <v>1065.6646807999998</v>
      </c>
      <c r="AN21" s="76">
        <f>SUM(AJ21:AM21)</f>
        <v>4024.4889939999994</v>
      </c>
      <c r="AO21" s="19">
        <f>AO36+AO46</f>
        <v>1041.3865888</v>
      </c>
      <c r="AP21" s="19">
        <f>AP36+AP46</f>
        <v>1188.0559209199998</v>
      </c>
      <c r="AQ21" s="19">
        <f>AQ36+AQ46</f>
        <v>1142.69157068</v>
      </c>
      <c r="AR21" s="19">
        <f>AR36+AR46</f>
        <v>1389.4410829999997</v>
      </c>
      <c r="AS21" s="76">
        <f>SUM(AO21:AR21)</f>
        <v>4761.5751633999998</v>
      </c>
    </row>
    <row r="22" spans="1:269">
      <c r="A22" s="58" t="s">
        <v>563</v>
      </c>
      <c r="E22" s="74">
        <f t="shared" ref="E22:AB22" si="29">E23*1000*1000/E21</f>
        <v>20366.523911491793</v>
      </c>
      <c r="F22" s="71">
        <f t="shared" si="29"/>
        <v>19630.484988452656</v>
      </c>
      <c r="G22" s="71">
        <f t="shared" si="29"/>
        <v>20530.451866404714</v>
      </c>
      <c r="H22" s="71">
        <f t="shared" si="29"/>
        <v>19547.325102880659</v>
      </c>
      <c r="I22" s="71">
        <f t="shared" si="29"/>
        <v>19700.882117080993</v>
      </c>
      <c r="J22" s="74">
        <f t="shared" si="29"/>
        <v>19855.471606141848</v>
      </c>
      <c r="K22" s="71">
        <f t="shared" si="29"/>
        <v>18850.066934404287</v>
      </c>
      <c r="L22" s="71">
        <f t="shared" si="29"/>
        <v>21113.074204946995</v>
      </c>
      <c r="M22" s="71">
        <f t="shared" si="29"/>
        <v>19612.068965517243</v>
      </c>
      <c r="N22" s="71">
        <f t="shared" si="29"/>
        <v>21603.726708074533</v>
      </c>
      <c r="O22" s="74">
        <f t="shared" si="29"/>
        <v>20163.203626747261</v>
      </c>
      <c r="P22" s="71">
        <f t="shared" si="29"/>
        <v>22000</v>
      </c>
      <c r="Q22" s="71">
        <f t="shared" si="29"/>
        <v>22500</v>
      </c>
      <c r="R22" s="71">
        <f t="shared" si="29"/>
        <v>23500</v>
      </c>
      <c r="S22" s="71">
        <f t="shared" si="29"/>
        <v>22091</v>
      </c>
      <c r="T22" s="74">
        <f t="shared" si="29"/>
        <v>22526.85712770815</v>
      </c>
      <c r="U22" s="71">
        <f t="shared" si="29"/>
        <v>22795.29282977559</v>
      </c>
      <c r="V22" s="71">
        <f t="shared" si="29"/>
        <v>23660.701241782324</v>
      </c>
      <c r="W22" s="71">
        <f t="shared" si="29"/>
        <v>26394.62365591398</v>
      </c>
      <c r="X22" s="71">
        <f t="shared" si="29"/>
        <v>24528.301886792451</v>
      </c>
      <c r="Y22" s="74">
        <f t="shared" si="29"/>
        <v>24284.503061705134</v>
      </c>
      <c r="Z22" s="71">
        <f t="shared" si="29"/>
        <v>25565.388951521985</v>
      </c>
      <c r="AA22" s="71">
        <f t="shared" si="29"/>
        <v>23242.381289865345</v>
      </c>
      <c r="AB22" s="71">
        <f t="shared" si="29"/>
        <v>23831.775700934581</v>
      </c>
      <c r="AC22" s="19"/>
      <c r="AD22" s="76">
        <f t="shared" ref="AD22:AS22" si="30">AD23*1000*1000/AD21</f>
        <v>24085.485951547213</v>
      </c>
      <c r="AE22" s="19"/>
      <c r="AF22" s="19"/>
      <c r="AG22" s="19"/>
      <c r="AH22" s="19">
        <f t="shared" si="30"/>
        <v>22012.745178547542</v>
      </c>
      <c r="AI22" s="76">
        <f t="shared" si="30"/>
        <v>23938.659836152183</v>
      </c>
      <c r="AJ22" s="19">
        <f t="shared" si="30"/>
        <v>23744.559660279669</v>
      </c>
      <c r="AK22" s="19">
        <f t="shared" si="30"/>
        <v>20824.970063299963</v>
      </c>
      <c r="AL22" s="19">
        <f t="shared" si="30"/>
        <v>23971.893375357366</v>
      </c>
      <c r="AM22" s="19">
        <f t="shared" si="30"/>
        <v>22858.3601793532</v>
      </c>
      <c r="AN22" s="76">
        <f t="shared" si="30"/>
        <v>22818.510894195402</v>
      </c>
      <c r="AO22" s="19">
        <f t="shared" si="30"/>
        <v>24276.346302159149</v>
      </c>
      <c r="AP22" s="19">
        <f t="shared" si="30"/>
        <v>21024.109001644436</v>
      </c>
      <c r="AQ22" s="19">
        <f t="shared" si="30"/>
        <v>23977.816175853706</v>
      </c>
      <c r="AR22" s="19">
        <f t="shared" si="30"/>
        <v>23321.474740471665</v>
      </c>
      <c r="AS22" s="76">
        <f t="shared" si="30"/>
        <v>23114.607754093533</v>
      </c>
    </row>
    <row r="23" spans="1:269">
      <c r="A23" s="58" t="s">
        <v>558</v>
      </c>
      <c r="E23" s="608">
        <v>57.067</v>
      </c>
      <c r="F23" s="609">
        <v>17</v>
      </c>
      <c r="G23" s="609">
        <v>20.9</v>
      </c>
      <c r="H23" s="609">
        <v>19</v>
      </c>
      <c r="I23" s="609">
        <f>+J23-SUM(F23:H23)</f>
        <v>24.567</v>
      </c>
      <c r="J23" s="608">
        <v>81.466999999999999</v>
      </c>
      <c r="K23" s="609">
        <f>20.056-L23</f>
        <v>14.081000000000001</v>
      </c>
      <c r="L23" s="609">
        <v>5.9749999999999996</v>
      </c>
      <c r="M23" s="609">
        <v>15.925000000000001</v>
      </c>
      <c r="N23" s="609">
        <f>+O23-SUM(K23:M23)</f>
        <v>17.390999999999998</v>
      </c>
      <c r="O23" s="608">
        <v>53.372</v>
      </c>
      <c r="P23" s="609">
        <f>60.616-Q23</f>
        <v>25.671999999999997</v>
      </c>
      <c r="Q23" s="609">
        <v>34.944000000000003</v>
      </c>
      <c r="R23" s="609">
        <v>36.182000000000002</v>
      </c>
      <c r="S23" s="609">
        <f>+T23-SUM(P23:R23)</f>
        <v>42.665999999999997</v>
      </c>
      <c r="T23" s="608">
        <v>139.464</v>
      </c>
      <c r="U23" s="609">
        <v>41.646999999999998</v>
      </c>
      <c r="V23" s="609">
        <v>64.783000000000001</v>
      </c>
      <c r="W23" s="609">
        <v>49.094000000000001</v>
      </c>
      <c r="X23" s="609">
        <v>50.7</v>
      </c>
      <c r="Y23" s="608">
        <f>+SUM(U23:X23)</f>
        <v>206.22399999999999</v>
      </c>
      <c r="Z23" s="609">
        <v>45.353000000000002</v>
      </c>
      <c r="AA23" s="609">
        <v>65.59</v>
      </c>
      <c r="AB23" s="609">
        <v>51</v>
      </c>
      <c r="AC23" s="611">
        <f>AC42+AC50</f>
        <v>7.5224791550861587</v>
      </c>
      <c r="AD23" s="617">
        <f>SUM(Z23:AC23)</f>
        <v>169.46547915508617</v>
      </c>
      <c r="AE23" s="565">
        <f>AE42+AE50</f>
        <v>8.0128973105134467</v>
      </c>
      <c r="AF23" s="565">
        <f>AF42+AF50</f>
        <v>9.039765592298032</v>
      </c>
      <c r="AG23" s="565">
        <f>AG42+AG50</f>
        <v>13.120359955005624</v>
      </c>
      <c r="AH23" s="565">
        <f>AH42+AH50</f>
        <v>16.534647910227903</v>
      </c>
      <c r="AI23" s="617">
        <f>SUM(AE23:AH23)</f>
        <v>46.707670768045006</v>
      </c>
      <c r="AJ23" s="565">
        <f>AJ42+AJ50</f>
        <v>19.567763917794622</v>
      </c>
      <c r="AK23" s="565">
        <f>AK42+AK50</f>
        <v>21.624731263992299</v>
      </c>
      <c r="AL23" s="565">
        <f>AL42+AL50</f>
        <v>26.281003667229697</v>
      </c>
      <c r="AM23" s="565">
        <f>AM42+AM50</f>
        <v>24.359347104141854</v>
      </c>
      <c r="AN23" s="617">
        <f>SUM(AJ23:AM23)</f>
        <v>91.832845953158483</v>
      </c>
      <c r="AO23" s="565">
        <f>AO42+AO50</f>
        <v>25.28106146413301</v>
      </c>
      <c r="AP23" s="565">
        <f>AP42+AP50</f>
        <v>24.977817181471138</v>
      </c>
      <c r="AQ23" s="565">
        <f>AQ42+AQ50</f>
        <v>27.399248427462584</v>
      </c>
      <c r="AR23" s="565">
        <f>AR42+AR50</f>
        <v>32.403815120558086</v>
      </c>
      <c r="AS23" s="617">
        <f>SUM(AO23:AR23)</f>
        <v>110.06194219362482</v>
      </c>
    </row>
    <row r="24" spans="1:269" hidden="1" outlineLevel="1">
      <c r="A24" s="58"/>
      <c r="E24" s="61"/>
      <c r="F24" s="66"/>
      <c r="G24" s="66"/>
      <c r="H24" s="66"/>
      <c r="I24" s="66"/>
      <c r="J24" s="61"/>
      <c r="K24" s="66"/>
      <c r="L24" s="66"/>
      <c r="M24" s="66"/>
      <c r="N24" s="66"/>
      <c r="O24" s="61"/>
      <c r="P24" s="66"/>
      <c r="Q24" s="66"/>
      <c r="R24" s="66"/>
      <c r="S24" s="66"/>
      <c r="T24" s="61"/>
      <c r="U24" s="66"/>
      <c r="V24" s="66"/>
      <c r="W24" s="66"/>
      <c r="X24" s="66"/>
      <c r="Y24" s="61"/>
      <c r="Z24" s="66"/>
      <c r="AA24" s="66"/>
      <c r="AB24" s="66"/>
    </row>
    <row r="25" spans="1:269" hidden="1" outlineLevel="1">
      <c r="A25" s="58" t="s">
        <v>35</v>
      </c>
      <c r="B25" s="143"/>
      <c r="E25" s="61"/>
      <c r="F25" s="66"/>
      <c r="G25" s="66"/>
      <c r="H25" s="66"/>
      <c r="I25" s="66"/>
      <c r="J25" s="61"/>
      <c r="K25" s="66"/>
      <c r="L25" s="66"/>
      <c r="M25" s="66"/>
      <c r="N25" s="66"/>
      <c r="O25" s="61"/>
      <c r="P25" s="66"/>
      <c r="Q25" s="66"/>
      <c r="R25" s="66"/>
      <c r="S25" s="66"/>
      <c r="T25" s="61"/>
      <c r="U25" s="66"/>
      <c r="V25" s="66"/>
      <c r="W25" s="66"/>
      <c r="X25" s="66"/>
      <c r="Y25" s="61"/>
      <c r="Z25" s="66"/>
      <c r="AA25" s="66"/>
      <c r="AB25" s="66"/>
    </row>
    <row r="26" spans="1:269" hidden="1" outlineLevel="1">
      <c r="A26" s="59" t="s">
        <v>543</v>
      </c>
      <c r="E26" s="600"/>
      <c r="F26" s="71">
        <f>F28*1000000/F27</f>
        <v>827.46491490591541</v>
      </c>
      <c r="G26" s="71">
        <f t="shared" ref="G26:AS26" si="31">G28*1000000/G27</f>
        <v>976.56606218172863</v>
      </c>
      <c r="H26" s="71">
        <f t="shared" si="31"/>
        <v>945.89395548584469</v>
      </c>
      <c r="I26" s="71">
        <f t="shared" si="31"/>
        <v>1188.1067964656881</v>
      </c>
      <c r="J26" s="74">
        <f t="shared" si="31"/>
        <v>4053.1042457548101</v>
      </c>
      <c r="K26" s="71">
        <f t="shared" si="31"/>
        <v>731.56298151854799</v>
      </c>
      <c r="L26" s="71">
        <f t="shared" si="31"/>
        <v>288.79721466415793</v>
      </c>
      <c r="M26" s="71">
        <f t="shared" si="31"/>
        <v>811.73649755359941</v>
      </c>
      <c r="N26" s="71">
        <f t="shared" si="31"/>
        <v>833.05505627161654</v>
      </c>
      <c r="O26" s="74">
        <f t="shared" si="31"/>
        <v>2667.7715524388327</v>
      </c>
      <c r="P26" s="71">
        <f t="shared" si="31"/>
        <v>1209.1874593328689</v>
      </c>
      <c r="Q26" s="71">
        <f t="shared" si="31"/>
        <v>1586.061077352949</v>
      </c>
      <c r="R26" s="71">
        <f t="shared" si="31"/>
        <v>1524.3084268342004</v>
      </c>
      <c r="S26" s="71">
        <f t="shared" si="31"/>
        <v>1868.5455667978026</v>
      </c>
      <c r="T26" s="74">
        <f t="shared" si="31"/>
        <v>6282.8520938851743</v>
      </c>
      <c r="U26" s="71">
        <f t="shared" si="31"/>
        <v>1898.3953494932123</v>
      </c>
      <c r="V26" s="71">
        <f t="shared" si="31"/>
        <v>2748.4518710452107</v>
      </c>
      <c r="W26" s="71">
        <f t="shared" si="31"/>
        <v>1887.2442759931432</v>
      </c>
      <c r="X26" s="71">
        <f t="shared" si="31"/>
        <v>2074.8951570743729</v>
      </c>
      <c r="Y26" s="74">
        <f t="shared" si="31"/>
        <v>8506.344991055159</v>
      </c>
      <c r="Z26" s="71">
        <f t="shared" si="31"/>
        <v>1780.4043906363424</v>
      </c>
      <c r="AA26" s="71">
        <f t="shared" si="31"/>
        <v>2853.9408302523561</v>
      </c>
      <c r="AB26" s="71">
        <f t="shared" si="31"/>
        <v>2181.5216089060182</v>
      </c>
      <c r="AC26" s="71">
        <f>AC28*1000000/AC27</f>
        <v>1929.8534694235175</v>
      </c>
      <c r="AD26" s="283">
        <f t="shared" si="31"/>
        <v>8668.5216292136029</v>
      </c>
      <c r="AE26" s="71">
        <f t="shared" si="31"/>
        <v>1802.8729449067862</v>
      </c>
      <c r="AF26" s="71">
        <f t="shared" si="31"/>
        <v>2290.0309804829772</v>
      </c>
      <c r="AG26" s="71">
        <f t="shared" si="31"/>
        <v>2245.6834155387351</v>
      </c>
      <c r="AH26" s="71">
        <f t="shared" si="31"/>
        <v>2101.8507888189247</v>
      </c>
      <c r="AI26" s="283">
        <f t="shared" si="31"/>
        <v>8355.3072548949021</v>
      </c>
      <c r="AJ26" s="71">
        <f t="shared" si="31"/>
        <v>1749.5912558930411</v>
      </c>
      <c r="AK26" s="71">
        <f t="shared" si="31"/>
        <v>1929.1859363723829</v>
      </c>
      <c r="AL26" s="71">
        <f t="shared" si="31"/>
        <v>1971.2561091691653</v>
      </c>
      <c r="AM26" s="71">
        <f t="shared" si="31"/>
        <v>1857.4874892195598</v>
      </c>
      <c r="AN26" s="283">
        <f t="shared" si="31"/>
        <v>8053.6849991050112</v>
      </c>
      <c r="AO26" s="71">
        <f t="shared" si="31"/>
        <v>1775.4500807815355</v>
      </c>
      <c r="AP26" s="71">
        <f t="shared" si="31"/>
        <v>2082.1587368109463</v>
      </c>
      <c r="AQ26" s="71">
        <f t="shared" si="31"/>
        <v>2103.1121468816837</v>
      </c>
      <c r="AR26" s="71">
        <f t="shared" si="31"/>
        <v>1955.6667558139609</v>
      </c>
      <c r="AS26" s="283">
        <f t="shared" si="31"/>
        <v>7905.502987498935</v>
      </c>
    </row>
    <row r="27" spans="1:269" hidden="1" outlineLevel="1">
      <c r="A27" s="59" t="s">
        <v>546</v>
      </c>
      <c r="B27" s="442" t="s">
        <v>539</v>
      </c>
      <c r="E27" s="588" cm="1">
        <f t="array" ref="E27">_xll.VAData("SKIN_US", E$4, $B27, "consensus", "CD", "IMPL","", "")</f>
        <v>20365.150245040601</v>
      </c>
      <c r="F27" s="445" cm="1">
        <f t="array" ref="F27">_xll.VAData("SKIN_US", F$4, $B27, "consensus", "CD", "IMPL","", "")</f>
        <v>20195.89588707445</v>
      </c>
      <c r="G27" s="445" cm="1">
        <f t="array" ref="G27">_xll.VAData("SKIN_US", G$4, $B27, "consensus", "CD", "IMPL","", "")</f>
        <v>20856.875659133482</v>
      </c>
      <c r="H27" s="445" cm="1">
        <f t="array" ref="H27">_xll.VAData("SKIN_US", H$4, $B27, "consensus", "CD", "IMPL","", "")</f>
        <v>19760.685620895587</v>
      </c>
      <c r="I27" s="445" cm="1">
        <f t="array" ref="I27">_xll.VAData("SKIN_US", I$4, $B27, "consensus", "CD", "IMPL","", "")</f>
        <v>20171.698095154057</v>
      </c>
      <c r="J27" s="588" cm="1">
        <f t="array" ref="J27">_xll.VAData("SKIN_US", J$4, $B27, "consensus", "CD", "IMPL","", "")</f>
        <v>20037.452434403094</v>
      </c>
      <c r="K27" s="445" cm="1">
        <f t="array" ref="K27">_xll.VAData("SKIN_US", K$4, $B27, "consensus", "CD", "IMPL","", "")</f>
        <v>19275.949965784181</v>
      </c>
      <c r="L27" s="445" cm="1">
        <f t="array" ref="L27">_xll.VAData("SKIN_US", L$4, $B27, "consensus", "CD", "IMPL","", "")</f>
        <v>20726.210541748933</v>
      </c>
      <c r="M27" s="445" cm="1">
        <f t="array" ref="M27">_xll.VAData("SKIN_US", M$4, $B27, "consensus", "CD", "IMPL","", "")</f>
        <v>19615.355534692622</v>
      </c>
      <c r="N27" s="445" cm="1">
        <f t="array" ref="N27">_xll.VAData("SKIN_US", N$4, $B27, "consensus", "CD", "IMPL","", "")</f>
        <v>20880.430373950938</v>
      </c>
      <c r="O27" s="588" cm="1">
        <f t="array" ref="O27">_xll.VAData("SKIN_US", O$4, $B27, "consensus", "CD", "IMPL","", "")</f>
        <v>20016.340407228745</v>
      </c>
      <c r="P27" s="445" cm="1">
        <f t="array" ref="P27">_xll.VAData("SKIN_US", P$4, $B27, "consensus", "CD", "IMPL","", "")</f>
        <v>21212.132367462458</v>
      </c>
      <c r="Q27" s="445" cm="1">
        <f t="array" ref="Q27">_xll.VAData("SKIN_US", Q$4, $B27, "consensus", "CD", "IMPL","", "")</f>
        <v>22016.52638360839</v>
      </c>
      <c r="R27" s="445" cm="1">
        <f t="array" ref="R27">_xll.VAData("SKIN_US", R$4, $B27, "consensus", "CD", "IMPL","", "")</f>
        <v>23740.310634319998</v>
      </c>
      <c r="S27" s="445" cm="1">
        <f t="array" ref="S27">_xll.VAData("SKIN_US", S$4, $B27, "consensus", "CD", "IMPL","", "")</f>
        <v>22846.884337749751</v>
      </c>
      <c r="T27" s="588" cm="1">
        <f t="array" ref="T27">_xll.VAData("SKIN_US", T$4, $B27, "consensus", "CD", "IMPL","", "")</f>
        <v>22194.856399009881</v>
      </c>
      <c r="U27" s="445" cm="1">
        <f t="array" ref="U27">_xll.VAData("SKIN_US", U$4, $B27, "consensus", "CD", "IMPL","", "")</f>
        <v>21927.875976355797</v>
      </c>
      <c r="V27" s="445" cm="1">
        <f t="array" ref="V27">_xll.VAData("SKIN_US", V$4, $B27, "consensus", "CD", "IMPL","", "")</f>
        <v>23572.260043827599</v>
      </c>
      <c r="W27" s="445" cm="1">
        <f t="array" ref="W27">_xll.VAData("SKIN_US", W$4, $B27, "consensus", "CD", "IMPL","", "")</f>
        <v>26130.869204720009</v>
      </c>
      <c r="X27" s="445" cm="1">
        <f t="array" ref="X27">_xll.VAData("SKIN_US", X$4, $B27, "consensus", "CD", "IMPL","", "")</f>
        <v>24438.075471698117</v>
      </c>
      <c r="Y27" s="588" cm="1">
        <f t="array" ref="Y27">_xll.VAData("SKIN_US", Y$4, $B27, "consensus", "CD", "IMPL","", "")</f>
        <v>24268.563994859865</v>
      </c>
      <c r="Z27" s="445" cm="1">
        <f t="array" ref="Z27">_xll.VAData("SKIN_US", Z$4, $B27, "consensus", "CD", "IMPL","", "")</f>
        <v>25485.158949013599</v>
      </c>
      <c r="AA27" s="445" cm="1">
        <f t="array" ref="AA27">_xll.VAData("SKIN_US", AA$4, $B27, "consensus", "CD", "IMPL","", "")</f>
        <v>22983.035081502479</v>
      </c>
      <c r="AB27" s="445" cm="1">
        <f t="array" ref="AB27">_xll.VAData("SKIN_US", AB$4, $B27, "consensus", "CD", "IMPL","", "")</f>
        <v>23378.177778204681</v>
      </c>
      <c r="AC27" s="445" cm="1">
        <f t="array" ref="AC27">_xll.VAData("SKIN_US", AC$4, $B27, "consensus", "CD", "IMPL","", "")</f>
        <v>23384.206252009168</v>
      </c>
      <c r="AD27" s="446" cm="1">
        <f t="array" ref="AD27">_xll.VAData("SKIN_US", AD$4, $B27, "consensus", "CD", "IMPL","", "")</f>
        <v>24037.63011479711</v>
      </c>
      <c r="AE27" s="445" cm="1">
        <f t="array" ref="AE27">_xll.VAData("SKIN_US", AE$4, $B27, "consensus", "CD", "IMPL","", "")</f>
        <v>24600.804618242139</v>
      </c>
      <c r="AF27" s="445" cm="1">
        <f t="array" ref="AF27">_xll.VAData("SKIN_US", AF$4, $B27, "consensus", "CD", "IMPL","", "")</f>
        <v>24523.854907917244</v>
      </c>
      <c r="AG27" s="445" cm="1">
        <f t="array" ref="AG27">_xll.VAData("SKIN_US", AG$4, $B27, "consensus", "CD", "IMPL","", "")</f>
        <v>24748.791592246893</v>
      </c>
      <c r="AH27" s="445" cm="1">
        <f t="array" ref="AH27">_xll.VAData("SKIN_US", AH$4, $B27, "consensus", "CD", "IMPL","", "")</f>
        <v>24856.278871219907</v>
      </c>
      <c r="AI27" s="446" cm="1">
        <f t="array" ref="AI27">_xll.VAData("SKIN_US", AI$4, $B27, "consensus", "CD", "IMPL","", "")</f>
        <v>24006.208798439882</v>
      </c>
      <c r="AJ27" s="445" cm="1">
        <f t="array" ref="AJ27">_xll.VAData("SKIN_US", AJ$4, $B27, "consensus", "CD", "IMPL","", "")</f>
        <v>26202.950984851996</v>
      </c>
      <c r="AK27" s="445" cm="1">
        <f t="array" ref="AK27">_xll.VAData("SKIN_US", AK$4, $B27, "consensus", "CD", "IMPL","", "")</f>
        <v>26185.815286287081</v>
      </c>
      <c r="AL27" s="445" cm="1">
        <f t="array" ref="AL27">_xll.VAData("SKIN_US", AL$4, $B27, "consensus", "CD", "IMPL","", "")</f>
        <v>26408.127701727601</v>
      </c>
      <c r="AM27" s="445" cm="1">
        <f t="array" ref="AM27">_xll.VAData("SKIN_US", AM$4, $B27, "consensus", "CD", "IMPL","", "")</f>
        <v>25906.808441594803</v>
      </c>
      <c r="AN27" s="446" cm="1">
        <f t="array" ref="AN27">_xll.VAData("SKIN_US", AN$4, $B27, "consensus", "CD", "IMPL","", "")</f>
        <v>24618.560287240576</v>
      </c>
      <c r="AO27" s="445" cm="1">
        <f t="array" ref="AO27">_xll.VAData("SKIN_US", AO$4, $B27, "consensus", "CD", "IMPL","", "")</f>
        <v>26976.092679629652</v>
      </c>
      <c r="AP27" s="445" cm="1">
        <f t="array" ref="AP27">_xll.VAData("SKIN_US", AP$4, $B27, "consensus", "CD", "IMPL","", "")</f>
        <v>27168.88220338985</v>
      </c>
      <c r="AQ27" s="445" cm="1">
        <f t="array" ref="AQ27">_xll.VAData("SKIN_US", AQ$4, $B27, "consensus", "CD", "IMPL","", "")</f>
        <v>27056.201918604649</v>
      </c>
      <c r="AR27" s="445" cm="1">
        <f t="array" ref="AR27">_xll.VAData("SKIN_US", AR$4, $B27, "consensus", "CD", "IMPL","", "")</f>
        <v>26810.486978604651</v>
      </c>
      <c r="AS27" s="446" cm="1">
        <f t="array" ref="AS27">_xll.VAData("SKIN_US", AS$4, $B27, "consensus", "CD", "IMPL","", "")</f>
        <v>24876.927338657566</v>
      </c>
    </row>
    <row r="28" spans="1:269" hidden="1" outlineLevel="1">
      <c r="A28" s="59" t="s">
        <v>469</v>
      </c>
      <c r="B28" s="442" t="s">
        <v>529</v>
      </c>
      <c r="E28" s="600" t="str" cm="1">
        <f t="array" ref="E28">_xll.VAData("SKIN_US", E$4, $B28, "consensus", "CD", "IMPL","", "")</f>
        <v>-</v>
      </c>
      <c r="F28" s="605" cm="1">
        <f t="array" ref="F28">_xll.VAData("SKIN_US", F$4, $B28, "consensus", "CD", "IMPL","", "")</f>
        <v>16.711395271646786</v>
      </c>
      <c r="G28" s="605" cm="1">
        <f t="array" ref="G28">_xll.VAData("SKIN_US", G$4, $B28, "consensus", "CD", "IMPL","", "")</f>
        <v>20.36811693185393</v>
      </c>
      <c r="H28" s="605" cm="1">
        <f t="array" ref="H28">_xll.VAData("SKIN_US", H$4, $B28, "consensus", "CD", "IMPL","", "")</f>
        <v>18.691513085061182</v>
      </c>
      <c r="I28" s="605" cm="1">
        <f t="array" ref="I28">_xll.VAData("SKIN_US", I$4, $B28, "consensus", "CD", "IMPL","", "")</f>
        <v>23.966131603106511</v>
      </c>
      <c r="J28" s="600" cm="1">
        <f t="array" ref="J28">_xll.VAData("SKIN_US", J$4, $B28, "consensus", "CD", "IMPL","", "")</f>
        <v>81.21388353598924</v>
      </c>
      <c r="K28" s="605" cm="1">
        <f t="array" ref="K28">_xll.VAData("SKIN_US", K$4, $B28, "consensus", "CD", "IMPL","", "")</f>
        <v>14.101571428571429</v>
      </c>
      <c r="L28" s="605" cm="1">
        <f t="array" ref="L28">_xll.VAData("SKIN_US", L$4, $B28, "consensus", "CD", "IMPL","", "")</f>
        <v>5.9856718750000004</v>
      </c>
      <c r="M28" s="605" cm="1">
        <f t="array" ref="M28">_xll.VAData("SKIN_US", M$4, $B28, "consensus", "CD", "IMPL","", "")</f>
        <v>15.922499999999999</v>
      </c>
      <c r="N28" s="605" cm="1">
        <f t="array" ref="N28">_xll.VAData("SKIN_US", N$4, $B28, "consensus", "CD", "IMPL","", "")</f>
        <v>17.394548100147269</v>
      </c>
      <c r="O28" s="600" cm="1">
        <f t="array" ref="O28">_xll.VAData("SKIN_US", O$4, $B28, "consensus", "CD", "IMPL","", "")</f>
        <v>53.399023522336769</v>
      </c>
      <c r="P28" s="605" cm="1">
        <f t="array" ref="P28">_xll.VAData("SKIN_US", P$4, $B28, "consensus", "CD", "IMPL","", "")</f>
        <v>25.649444444444445</v>
      </c>
      <c r="Q28" s="605" cm="1">
        <f t="array" ref="Q28">_xll.VAData("SKIN_US", Q$4, $B28, "consensus", "CD", "IMPL","", "")</f>
        <v>34.919555555555554</v>
      </c>
      <c r="R28" s="605" cm="1">
        <f t="array" ref="R28">_xll.VAData("SKIN_US", R$4, $B28, "consensus", "CD", "IMPL","", "")</f>
        <v>36.187555555555555</v>
      </c>
      <c r="S28" s="605" cm="1">
        <f t="array" ref="S28">_xll.VAData("SKIN_US", S$4, $B28, "consensus", "CD", "IMPL","", "")</f>
        <v>42.690444444444445</v>
      </c>
      <c r="T28" s="600" cm="1">
        <f t="array" ref="T28">_xll.VAData("SKIN_US", T$4, $B28, "consensus", "CD", "IMPL","", "")</f>
        <v>139.447</v>
      </c>
      <c r="U28" s="605" cm="1">
        <f t="array" ref="U28">_xll.VAData("SKIN_US", U$4, $B28, "consensus", "CD", "IMPL","", "")</f>
        <v>41.627777777777773</v>
      </c>
      <c r="V28" s="605" cm="1">
        <f t="array" ref="V28">_xll.VAData("SKIN_US", V$4, $B28, "consensus", "CD", "IMPL","", "")</f>
        <v>64.787222222222226</v>
      </c>
      <c r="W28" s="605" cm="1">
        <f t="array" ref="W28">_xll.VAData("SKIN_US", W$4, $B28, "consensus", "CD", "IMPL","", "")</f>
        <v>49.315333333333335</v>
      </c>
      <c r="X28" s="605" cm="1">
        <f t="array" ref="X28">_xll.VAData("SKIN_US", X$4, $B28, "consensus", "CD", "IMPL","", "")</f>
        <v>50.70644444444445</v>
      </c>
      <c r="Y28" s="600" cm="1">
        <f t="array" ref="Y28">_xll.VAData("SKIN_US", Y$4, $B28, "consensus", "CD", "IMPL","", "")</f>
        <v>206.43677777777779</v>
      </c>
      <c r="Z28" s="605" cm="1">
        <f t="array" ref="Z28">_xll.VAData("SKIN_US", Z$4, $B28, "consensus", "CD", "IMPL","", "")</f>
        <v>45.373888888888885</v>
      </c>
      <c r="AA28" s="605" cm="1">
        <f t="array" ref="AA28">_xll.VAData("SKIN_US", AA$4, $B28, "consensus", "CD", "IMPL","", "")</f>
        <v>65.592222222222219</v>
      </c>
      <c r="AB28" s="605" cm="1">
        <f t="array" ref="AB28">_xll.VAData("SKIN_US", AB$4, $B28, "consensus", "CD", "IMPL","", "")</f>
        <v>51</v>
      </c>
      <c r="AC28" s="605" cm="1">
        <f t="array" ref="AC28">_xll.VAData("SKIN_US", AC$4, $B28, "consensus", "CD", "IMPL","", "")</f>
        <v>45.128091565154996</v>
      </c>
      <c r="AD28" s="606" cm="1">
        <f t="array" ref="AD28">_xll.VAData("SKIN_US", AD$4, $B28, "consensus", "CD", "IMPL","", "")</f>
        <v>208.37071656515499</v>
      </c>
      <c r="AE28" s="605" cm="1">
        <f t="array" ref="AE28">_xll.VAData("SKIN_US", AE$4, $B28, "consensus", "CD", "IMPL","", "")</f>
        <v>44.352125069166668</v>
      </c>
      <c r="AF28" s="605" cm="1">
        <f t="array" ref="AF28">_xll.VAData("SKIN_US", AF$4, $B28, "consensus", "CD", "IMPL","", "")</f>
        <v>56.160387499999999</v>
      </c>
      <c r="AG28" s="605" cm="1">
        <f t="array" ref="AG28">_xll.VAData("SKIN_US", AG$4, $B28, "consensus", "CD", "IMPL","", "")</f>
        <v>55.577950833333333</v>
      </c>
      <c r="AH28" s="605" cm="1">
        <f t="array" ref="AH28">_xll.VAData("SKIN_US", AH$4, $B28, "consensus", "CD", "IMPL","", "")</f>
        <v>52.244189352576733</v>
      </c>
      <c r="AI28" s="606" cm="1">
        <f t="array" ref="AI28">_xll.VAData("SKIN_US", AI$4, $B28, "consensus", "CD", "IMPL","", "")</f>
        <v>200.57925053612658</v>
      </c>
      <c r="AJ28" s="605" cm="1">
        <f t="array" ref="AJ28">_xll.VAData("SKIN_US", AJ$4, $B28, "consensus", "CD", "IMPL","", "")</f>
        <v>45.844453921690999</v>
      </c>
      <c r="AK28" s="605" cm="1">
        <f t="array" ref="AK28">_xll.VAData("SKIN_US", AK$4, $B28, "consensus", "CD", "IMPL","", "")</f>
        <v>50.517306582750003</v>
      </c>
      <c r="AL28" s="605" cm="1">
        <f t="array" ref="AL28">_xll.VAData("SKIN_US", AL$4, $B28, "consensus", "CD", "IMPL","", "")</f>
        <v>52.057183063749996</v>
      </c>
      <c r="AM28" s="605" cm="1">
        <f t="array" ref="AM28">_xll.VAData("SKIN_US", AM$4, $B28, "consensus", "CD", "IMPL","", "")</f>
        <v>48.121572565870032</v>
      </c>
      <c r="AN28" s="606" cm="1">
        <f t="array" ref="AN28">_xll.VAData("SKIN_US", AN$4, $B28, "consensus", "CD", "IMPL","", "")</f>
        <v>198.27012968491178</v>
      </c>
      <c r="AO28" s="605" cm="1">
        <f t="array" ref="AO28">_xll.VAData("SKIN_US", AO$4, $B28, "consensus", "CD", "IMPL","", "")</f>
        <v>47.894705927218652</v>
      </c>
      <c r="AP28" s="605" cm="1">
        <f t="array" ref="AP28">_xll.VAData("SKIN_US", AP$4, $B28, "consensus", "CD", "IMPL","", "")</f>
        <v>56.569925449175607</v>
      </c>
      <c r="AQ28" s="605" cm="1">
        <f t="array" ref="AQ28">_xll.VAData("SKIN_US", AQ$4, $B28, "consensus", "CD", "IMPL","", "")</f>
        <v>56.902226903500953</v>
      </c>
      <c r="AR28" s="605" cm="1">
        <f t="array" ref="AR28">_xll.VAData("SKIN_US", AR$4, $B28, "consensus", "CD", "IMPL","", "")</f>
        <v>52.432378091240196</v>
      </c>
      <c r="AS28" s="606" cm="1">
        <f t="array" ref="AS28">_xll.VAData("SKIN_US", AS$4, $B28, "consensus", "CD", "IMPL","", "")</f>
        <v>196.66462339555133</v>
      </c>
    </row>
    <row r="29" spans="1:269" hidden="1" outlineLevel="1">
      <c r="A29" s="59"/>
      <c r="B29" s="442"/>
      <c r="E29" s="600"/>
      <c r="F29" s="605"/>
      <c r="G29" s="605"/>
      <c r="H29" s="605"/>
      <c r="I29" s="605"/>
      <c r="J29" s="600"/>
      <c r="K29" s="605"/>
      <c r="L29" s="605"/>
      <c r="M29" s="605"/>
      <c r="N29" s="605"/>
      <c r="O29" s="600"/>
      <c r="P29" s="605"/>
      <c r="Q29" s="605"/>
      <c r="R29" s="605"/>
      <c r="S29" s="605"/>
      <c r="T29" s="600"/>
      <c r="U29" s="605"/>
      <c r="V29" s="605"/>
      <c r="W29" s="605"/>
      <c r="X29" s="605"/>
      <c r="Y29" s="600"/>
      <c r="Z29" s="605"/>
      <c r="AA29" s="605"/>
      <c r="AB29" s="605"/>
      <c r="AC29" s="605"/>
      <c r="AD29" s="606"/>
      <c r="AE29" s="605"/>
      <c r="AF29" s="605"/>
      <c r="AG29" s="605"/>
      <c r="AH29" s="605"/>
      <c r="AI29" s="606"/>
      <c r="AJ29" s="605"/>
      <c r="AK29" s="605"/>
      <c r="AL29" s="605"/>
      <c r="AM29" s="605"/>
      <c r="AN29" s="606"/>
      <c r="AO29" s="605"/>
      <c r="AP29" s="605"/>
      <c r="AQ29" s="605"/>
      <c r="AR29" s="605"/>
      <c r="AS29" s="606"/>
    </row>
    <row r="30" spans="1:269" hidden="1" outlineLevel="1">
      <c r="A30" s="58" t="s">
        <v>530</v>
      </c>
      <c r="B30" s="442"/>
      <c r="E30" s="600"/>
      <c r="F30" s="605"/>
      <c r="G30" s="605"/>
      <c r="H30" s="605"/>
      <c r="I30" s="605"/>
      <c r="J30" s="600"/>
      <c r="K30" s="605"/>
      <c r="L30" s="605"/>
      <c r="M30" s="605"/>
      <c r="N30" s="605"/>
      <c r="O30" s="600"/>
      <c r="P30" s="605"/>
      <c r="Q30" s="605"/>
      <c r="R30" s="605"/>
      <c r="S30" s="605"/>
      <c r="T30" s="600"/>
      <c r="U30" s="605"/>
      <c r="V30" s="605"/>
      <c r="W30" s="605"/>
      <c r="X30" s="605"/>
      <c r="Y30" s="600"/>
      <c r="Z30" s="605"/>
      <c r="AA30" s="605"/>
      <c r="AB30" s="605"/>
      <c r="AC30" s="605"/>
      <c r="AD30" s="606"/>
      <c r="AE30" s="605"/>
      <c r="AF30" s="605"/>
      <c r="AG30" s="605"/>
      <c r="AH30" s="605"/>
      <c r="AI30" s="606"/>
      <c r="AJ30" s="605"/>
      <c r="AK30" s="605"/>
      <c r="AL30" s="605"/>
      <c r="AM30" s="605"/>
      <c r="AN30" s="606"/>
      <c r="AO30" s="605"/>
      <c r="AP30" s="605"/>
      <c r="AQ30" s="605"/>
      <c r="AR30" s="605"/>
      <c r="AS30" s="606"/>
    </row>
    <row r="31" spans="1:269" hidden="1" outlineLevel="1">
      <c r="A31" s="59" t="s">
        <v>543</v>
      </c>
      <c r="B31" s="442"/>
      <c r="E31" s="607"/>
      <c r="F31" s="585">
        <f t="shared" ref="F31:AS31" si="32">(F21/F26)-1</f>
        <v>4.657005318281815E-2</v>
      </c>
      <c r="G31" s="585">
        <f t="shared" si="32"/>
        <v>4.2428197561672931E-2</v>
      </c>
      <c r="H31" s="585">
        <f t="shared" si="32"/>
        <v>2.7599335382946011E-2</v>
      </c>
      <c r="I31" s="585">
        <f t="shared" si="32"/>
        <v>4.9568947597559365E-2</v>
      </c>
      <c r="J31" s="586">
        <f t="shared" si="32"/>
        <v>1.2310503559697539E-2</v>
      </c>
      <c r="K31" s="585">
        <f t="shared" si="32"/>
        <v>2.1101421027904577E-2</v>
      </c>
      <c r="L31" s="585">
        <f t="shared" si="32"/>
        <v>-2.0073651579013752E-2</v>
      </c>
      <c r="M31" s="585">
        <f t="shared" si="32"/>
        <v>3.2461574315645336E-4</v>
      </c>
      <c r="N31" s="585">
        <f t="shared" si="32"/>
        <v>-3.3677313474548054E-2</v>
      </c>
      <c r="O31" s="586">
        <f t="shared" si="32"/>
        <v>-7.7861061303557966E-3</v>
      </c>
      <c r="P31" s="585">
        <f t="shared" si="32"/>
        <v>-3.4964279605665061E-2</v>
      </c>
      <c r="Q31" s="585">
        <f t="shared" si="32"/>
        <v>-2.0802736513368281E-2</v>
      </c>
      <c r="R31" s="585">
        <f t="shared" si="32"/>
        <v>1.0070893372784884E-2</v>
      </c>
      <c r="S31" s="585">
        <f t="shared" si="32"/>
        <v>3.3624655627178646E-2</v>
      </c>
      <c r="T31" s="586">
        <f t="shared" si="32"/>
        <v>-1.4617882525938652E-2</v>
      </c>
      <c r="U31" s="585">
        <f t="shared" si="32"/>
        <v>-3.7608261899857554E-2</v>
      </c>
      <c r="V31" s="585">
        <f t="shared" si="32"/>
        <v>-3.802821201026152E-3</v>
      </c>
      <c r="W31" s="585">
        <f t="shared" si="32"/>
        <v>-1.443600933896394E-2</v>
      </c>
      <c r="X31" s="585">
        <f t="shared" si="32"/>
        <v>-3.805087234144966E-3</v>
      </c>
      <c r="Y31" s="586">
        <f t="shared" si="32"/>
        <v>-1.6863871698412636E-3</v>
      </c>
      <c r="Z31" s="585">
        <f t="shared" si="32"/>
        <v>-3.5971550452386092E-3</v>
      </c>
      <c r="AA31" s="585">
        <f t="shared" si="32"/>
        <v>-1.1191833381329008E-2</v>
      </c>
      <c r="AB31" s="585">
        <f t="shared" si="32"/>
        <v>-1.9033324600823076E-2</v>
      </c>
      <c r="AC31" s="585">
        <f t="shared" si="32"/>
        <v>-0.84454778315909373</v>
      </c>
      <c r="AD31" s="589">
        <f t="shared" si="32"/>
        <v>-0.1883275717640106</v>
      </c>
      <c r="AE31" s="585">
        <f t="shared" si="32"/>
        <v>-0.83359892284838133</v>
      </c>
      <c r="AF31" s="585">
        <f t="shared" si="32"/>
        <v>-0.82532987395845692</v>
      </c>
      <c r="AG31" s="585">
        <f t="shared" si="32"/>
        <v>-0.77735062897098028</v>
      </c>
      <c r="AH31" s="585">
        <f t="shared" si="32"/>
        <v>-0.64262936551167771</v>
      </c>
      <c r="AI31" s="589">
        <f t="shared" si="32"/>
        <v>-0.76647899467049074</v>
      </c>
      <c r="AJ31" s="585">
        <f t="shared" si="32"/>
        <v>-0.52897877191358122</v>
      </c>
      <c r="AK31" s="585">
        <f t="shared" si="32"/>
        <v>-0.46173982775729649</v>
      </c>
      <c r="AL31" s="585">
        <f t="shared" si="32"/>
        <v>-0.4438440892076303</v>
      </c>
      <c r="AM31" s="585">
        <f t="shared" si="32"/>
        <v>-0.42628702105135119</v>
      </c>
      <c r="AN31" s="589">
        <f t="shared" si="32"/>
        <v>-0.50029222716716237</v>
      </c>
      <c r="AO31" s="585">
        <f t="shared" si="32"/>
        <v>-0.41345205924258255</v>
      </c>
      <c r="AP31" s="585">
        <f t="shared" si="32"/>
        <v>-0.42941145652533808</v>
      </c>
      <c r="AQ31" s="585">
        <f t="shared" si="32"/>
        <v>-0.45666636352498546</v>
      </c>
      <c r="AR31" s="585">
        <f t="shared" si="32"/>
        <v>-0.28953075524275329</v>
      </c>
      <c r="AS31" s="589">
        <f t="shared" si="32"/>
        <v>-0.39768852520459042</v>
      </c>
    </row>
    <row r="32" spans="1:269" hidden="1" outlineLevel="1">
      <c r="A32" s="59" t="s">
        <v>546</v>
      </c>
      <c r="B32" s="447"/>
      <c r="C32" s="148"/>
      <c r="D32" s="148"/>
      <c r="E32" s="417"/>
      <c r="F32" s="414">
        <f t="shared" ref="F32:AS32" si="33">(F22/F27)-1</f>
        <v>-2.7996326668710103E-2</v>
      </c>
      <c r="G32" s="414">
        <f t="shared" si="33"/>
        <v>-1.5650656314184053E-2</v>
      </c>
      <c r="H32" s="414">
        <f t="shared" si="33"/>
        <v>-1.0797222429838826E-2</v>
      </c>
      <c r="I32" s="414">
        <f t="shared" si="33"/>
        <v>-2.3340423590127557E-2</v>
      </c>
      <c r="J32" s="417">
        <f t="shared" si="33"/>
        <v>-9.0820341985589081E-3</v>
      </c>
      <c r="K32" s="414">
        <f t="shared" si="33"/>
        <v>-2.2094010003961273E-2</v>
      </c>
      <c r="L32" s="414">
        <f t="shared" si="33"/>
        <v>1.86654315036896E-2</v>
      </c>
      <c r="M32" s="414">
        <f t="shared" si="33"/>
        <v>-1.6755083381314595E-4</v>
      </c>
      <c r="N32" s="414">
        <f t="shared" si="33"/>
        <v>3.4639915038625402E-2</v>
      </c>
      <c r="O32" s="417">
        <f t="shared" si="33"/>
        <v>7.3371663616130789E-3</v>
      </c>
      <c r="P32" s="414">
        <f t="shared" si="33"/>
        <v>3.714231171525495E-2</v>
      </c>
      <c r="Q32" s="414">
        <f t="shared" si="33"/>
        <v>2.1959577454123913E-2</v>
      </c>
      <c r="R32" s="414">
        <f t="shared" si="33"/>
        <v>-1.0122472195986942E-2</v>
      </c>
      <c r="S32" s="414">
        <f t="shared" si="33"/>
        <v>-3.3084788567901535E-2</v>
      </c>
      <c r="T32" s="417">
        <f t="shared" si="33"/>
        <v>1.4958453559225537E-2</v>
      </c>
      <c r="U32" s="414">
        <f t="shared" si="33"/>
        <v>3.9557723436373982E-2</v>
      </c>
      <c r="V32" s="414">
        <f t="shared" si="33"/>
        <v>3.7519184749483792E-3</v>
      </c>
      <c r="W32" s="414">
        <f t="shared" si="33"/>
        <v>1.0093596547730899E-2</v>
      </c>
      <c r="X32" s="414">
        <f t="shared" si="33"/>
        <v>3.692042575072163E-3</v>
      </c>
      <c r="Y32" s="417">
        <f t="shared" si="33"/>
        <v>6.5677832642441203E-4</v>
      </c>
      <c r="Z32" s="414">
        <f t="shared" si="33"/>
        <v>3.148106812631557E-3</v>
      </c>
      <c r="AA32" s="414">
        <f t="shared" si="33"/>
        <v>1.1284245420292383E-2</v>
      </c>
      <c r="AB32" s="414">
        <f t="shared" si="33"/>
        <v>1.9402620984120711E-2</v>
      </c>
      <c r="AC32" s="414">
        <f t="shared" si="33"/>
        <v>-1</v>
      </c>
      <c r="AD32" s="422">
        <f t="shared" si="33"/>
        <v>1.9908716675294258E-3</v>
      </c>
      <c r="AE32" s="414">
        <f t="shared" si="33"/>
        <v>-1</v>
      </c>
      <c r="AF32" s="414">
        <f t="shared" si="33"/>
        <v>-1</v>
      </c>
      <c r="AG32" s="414">
        <f t="shared" si="33"/>
        <v>-1</v>
      </c>
      <c r="AH32" s="414">
        <f t="shared" si="33"/>
        <v>-0.11439900990026219</v>
      </c>
      <c r="AI32" s="422">
        <f t="shared" si="33"/>
        <v>-2.8138121622973689E-3</v>
      </c>
      <c r="AJ32" s="414">
        <f t="shared" si="33"/>
        <v>-9.3821162585600804E-2</v>
      </c>
      <c r="AK32" s="414">
        <f t="shared" si="33"/>
        <v>-0.20472325052237239</v>
      </c>
      <c r="AL32" s="414">
        <f t="shared" si="33"/>
        <v>-9.2253201510035798E-2</v>
      </c>
      <c r="AM32" s="414">
        <f t="shared" si="33"/>
        <v>-0.11766977275931656</v>
      </c>
      <c r="AN32" s="422">
        <f t="shared" si="33"/>
        <v>-7.3117573572249572E-2</v>
      </c>
      <c r="AO32" s="414">
        <f t="shared" si="33"/>
        <v>-0.10007922235191424</v>
      </c>
      <c r="AP32" s="414">
        <f t="shared" si="33"/>
        <v>-0.22616952570020465</v>
      </c>
      <c r="AQ32" s="414">
        <f t="shared" si="33"/>
        <v>-0.11377745302211661</v>
      </c>
      <c r="AR32" s="414">
        <f t="shared" si="33"/>
        <v>-0.13013610088161742</v>
      </c>
      <c r="AS32" s="422">
        <f t="shared" si="33"/>
        <v>-7.0841529605847775E-2</v>
      </c>
      <c r="AT32" s="315"/>
      <c r="AU32" s="508"/>
      <c r="AV32" s="143"/>
      <c r="AW32" s="143"/>
      <c r="AX32" s="143"/>
      <c r="AY32" s="143"/>
      <c r="AZ32" s="143"/>
      <c r="BA32" s="143"/>
      <c r="BB32" s="143"/>
      <c r="BC32" s="143"/>
      <c r="BD32" s="143"/>
      <c r="BE32" s="143"/>
      <c r="BF32" s="143"/>
      <c r="BG32" s="143"/>
      <c r="BH32" s="143"/>
      <c r="BI32" s="143"/>
      <c r="BJ32" s="143"/>
      <c r="BK32" s="143"/>
      <c r="BL32" s="143"/>
      <c r="BM32" s="143"/>
      <c r="BN32" s="143"/>
      <c r="BO32" s="143"/>
      <c r="BP32" s="143"/>
      <c r="BQ32" s="143"/>
      <c r="BR32" s="143"/>
      <c r="BS32" s="143"/>
      <c r="BT32" s="143"/>
      <c r="BU32" s="143"/>
      <c r="BV32" s="143"/>
      <c r="BW32" s="143"/>
      <c r="BX32" s="143"/>
      <c r="BY32" s="143"/>
      <c r="BZ32" s="143"/>
      <c r="CA32" s="143"/>
      <c r="CB32" s="143"/>
      <c r="CC32" s="143"/>
      <c r="CD32" s="143"/>
      <c r="CE32" s="143"/>
      <c r="CF32" s="143"/>
      <c r="CG32" s="143"/>
      <c r="CH32" s="143"/>
      <c r="CI32" s="143"/>
      <c r="CJ32" s="143"/>
      <c r="CK32" s="143"/>
      <c r="CL32" s="143"/>
      <c r="CM32" s="143"/>
      <c r="CN32" s="143"/>
      <c r="CO32" s="143"/>
      <c r="CP32" s="143"/>
      <c r="CQ32" s="143"/>
      <c r="CR32" s="143"/>
      <c r="CS32" s="143"/>
      <c r="CT32" s="143"/>
      <c r="CU32" s="143"/>
      <c r="CV32" s="143"/>
      <c r="CW32" s="143"/>
      <c r="CX32" s="143"/>
      <c r="CY32" s="143"/>
      <c r="CZ32" s="143"/>
      <c r="DA32" s="143"/>
      <c r="DB32" s="143"/>
      <c r="DC32" s="143"/>
      <c r="DD32" s="143"/>
      <c r="DE32" s="143"/>
      <c r="DF32" s="143"/>
      <c r="DG32" s="143"/>
      <c r="DH32" s="143"/>
      <c r="DI32" s="143"/>
      <c r="DJ32" s="143"/>
      <c r="DK32" s="143"/>
      <c r="DL32" s="143"/>
      <c r="DM32" s="143"/>
      <c r="DN32" s="143"/>
      <c r="DO32" s="143"/>
      <c r="DP32" s="143"/>
      <c r="DQ32" s="143"/>
      <c r="DR32" s="143"/>
      <c r="DS32" s="143"/>
      <c r="DT32" s="143"/>
      <c r="DU32" s="143"/>
      <c r="DV32" s="143"/>
      <c r="DW32" s="143"/>
      <c r="DX32" s="143"/>
      <c r="DY32" s="143"/>
      <c r="DZ32" s="143"/>
      <c r="EA32" s="143"/>
      <c r="EB32" s="143"/>
      <c r="EC32" s="143"/>
      <c r="ED32" s="143"/>
      <c r="EE32" s="143"/>
      <c r="EF32" s="143"/>
      <c r="EG32" s="143"/>
      <c r="EH32" s="143"/>
      <c r="EI32" s="143"/>
      <c r="EJ32" s="143"/>
      <c r="EK32" s="143"/>
      <c r="EL32" s="143"/>
      <c r="EM32" s="143"/>
      <c r="EN32" s="143"/>
      <c r="EO32" s="143"/>
      <c r="EP32" s="143"/>
      <c r="EQ32" s="143"/>
      <c r="ER32" s="143"/>
      <c r="ES32" s="143"/>
      <c r="ET32" s="143"/>
      <c r="EU32" s="143"/>
      <c r="EV32" s="143"/>
      <c r="EW32" s="143"/>
      <c r="EX32" s="143"/>
      <c r="EY32" s="143"/>
      <c r="EZ32" s="143"/>
      <c r="FA32" s="143"/>
      <c r="FB32" s="143"/>
      <c r="FC32" s="143"/>
      <c r="FD32" s="143"/>
      <c r="FE32" s="143"/>
      <c r="FF32" s="143"/>
      <c r="FG32" s="143"/>
      <c r="FH32" s="143"/>
      <c r="FI32" s="143"/>
      <c r="FJ32" s="143"/>
      <c r="FK32" s="143"/>
      <c r="FL32" s="143"/>
      <c r="FM32" s="143"/>
      <c r="FN32" s="143"/>
      <c r="FO32" s="143"/>
      <c r="FP32" s="143"/>
      <c r="FQ32" s="143"/>
      <c r="FR32" s="143"/>
      <c r="FS32" s="143"/>
      <c r="FT32" s="143"/>
      <c r="FU32" s="143"/>
      <c r="FV32" s="143"/>
      <c r="FW32" s="143"/>
      <c r="FX32" s="143"/>
      <c r="FY32" s="143"/>
      <c r="FZ32" s="143"/>
      <c r="GA32" s="143"/>
      <c r="GB32" s="143"/>
      <c r="GC32" s="143"/>
      <c r="GD32" s="143"/>
      <c r="GE32" s="143"/>
      <c r="GF32" s="143"/>
      <c r="GG32" s="143"/>
      <c r="GH32" s="143"/>
      <c r="GI32" s="143"/>
      <c r="GJ32" s="143"/>
      <c r="GK32" s="143"/>
      <c r="GL32" s="143"/>
      <c r="GM32" s="143"/>
      <c r="GN32" s="143"/>
      <c r="GO32" s="143"/>
      <c r="GP32" s="143"/>
      <c r="GQ32" s="143"/>
      <c r="GR32" s="143"/>
      <c r="GS32" s="143"/>
      <c r="GT32" s="143"/>
      <c r="GU32" s="143"/>
      <c r="GV32" s="143"/>
      <c r="GW32" s="143"/>
      <c r="GX32" s="143"/>
      <c r="GY32" s="143"/>
      <c r="GZ32" s="143"/>
      <c r="HA32" s="143"/>
      <c r="HB32" s="143"/>
      <c r="HC32" s="143"/>
      <c r="HD32" s="143"/>
      <c r="HE32" s="143"/>
      <c r="HF32" s="143"/>
      <c r="HG32" s="143"/>
      <c r="HH32" s="143"/>
      <c r="HI32" s="143"/>
      <c r="HJ32" s="143"/>
      <c r="HK32" s="143"/>
      <c r="HL32" s="143"/>
      <c r="HM32" s="143"/>
      <c r="HN32" s="143"/>
      <c r="HO32" s="143"/>
      <c r="HP32" s="143"/>
      <c r="HQ32" s="143"/>
      <c r="HR32" s="143"/>
      <c r="HS32" s="143"/>
      <c r="HT32" s="143"/>
      <c r="HU32" s="143"/>
      <c r="HV32" s="143"/>
      <c r="HW32" s="143"/>
      <c r="HX32" s="143"/>
      <c r="HY32" s="143"/>
      <c r="HZ32" s="143"/>
      <c r="IA32" s="143"/>
      <c r="IB32" s="143"/>
      <c r="IC32" s="143"/>
      <c r="ID32" s="143"/>
      <c r="IE32" s="143"/>
      <c r="IF32" s="143"/>
      <c r="IG32" s="143"/>
      <c r="IH32" s="143"/>
      <c r="II32" s="143"/>
      <c r="IJ32" s="143"/>
      <c r="IK32" s="143"/>
      <c r="IL32" s="143"/>
      <c r="IM32" s="143"/>
      <c r="IN32" s="143"/>
      <c r="IO32" s="143"/>
      <c r="IP32" s="143"/>
      <c r="IQ32" s="143"/>
      <c r="IR32" s="143"/>
      <c r="IS32" s="143"/>
      <c r="IT32" s="143"/>
      <c r="IU32" s="143"/>
      <c r="IV32" s="143"/>
      <c r="IW32" s="143"/>
      <c r="IX32" s="143"/>
      <c r="IY32" s="143"/>
      <c r="IZ32" s="143"/>
      <c r="JA32" s="143"/>
      <c r="JB32" s="143"/>
      <c r="JC32" s="143"/>
      <c r="JD32" s="143"/>
      <c r="JE32" s="143"/>
      <c r="JF32" s="143"/>
      <c r="JG32" s="143"/>
      <c r="JH32" s="143"/>
      <c r="JI32" s="143"/>
    </row>
    <row r="33" spans="1:47" hidden="1" outlineLevel="1">
      <c r="A33" s="59" t="s">
        <v>469</v>
      </c>
      <c r="B33" s="442"/>
      <c r="E33" s="607"/>
      <c r="F33" s="585">
        <f t="shared" ref="F33:AS33" si="34">(F23/F28)-1</f>
        <v>1.7269936092222826E-2</v>
      </c>
      <c r="G33" s="585">
        <f t="shared" si="34"/>
        <v>2.6113512109420922E-2</v>
      </c>
      <c r="H33" s="585">
        <f t="shared" si="34"/>
        <v>1.6504116790061918E-2</v>
      </c>
      <c r="I33" s="585">
        <f t="shared" si="34"/>
        <v>2.5071563773588101E-2</v>
      </c>
      <c r="J33" s="586">
        <f t="shared" si="34"/>
        <v>3.1166649468079566E-3</v>
      </c>
      <c r="K33" s="585">
        <f t="shared" si="34"/>
        <v>-1.4588039833453026E-3</v>
      </c>
      <c r="L33" s="585">
        <f t="shared" si="34"/>
        <v>-1.782903443901307E-3</v>
      </c>
      <c r="M33" s="585">
        <f t="shared" si="34"/>
        <v>1.570105197048477E-4</v>
      </c>
      <c r="N33" s="585">
        <f t="shared" si="34"/>
        <v>-2.0397771341007509E-4</v>
      </c>
      <c r="O33" s="586">
        <f t="shared" si="34"/>
        <v>-5.0606772473027473E-4</v>
      </c>
      <c r="P33" s="585">
        <f t="shared" si="34"/>
        <v>8.7937793757708604E-4</v>
      </c>
      <c r="Q33" s="585">
        <f t="shared" si="34"/>
        <v>7.0002163703253295E-4</v>
      </c>
      <c r="R33" s="585">
        <f t="shared" si="34"/>
        <v>-1.535211613568066E-4</v>
      </c>
      <c r="S33" s="585">
        <f t="shared" si="34"/>
        <v>-5.7259756281669016E-4</v>
      </c>
      <c r="T33" s="586">
        <f t="shared" si="34"/>
        <v>1.2191011638829075E-4</v>
      </c>
      <c r="U33" s="585">
        <f t="shared" si="34"/>
        <v>4.6176431335931412E-4</v>
      </c>
      <c r="V33" s="585">
        <f t="shared" si="34"/>
        <v>-6.5170601198816236E-5</v>
      </c>
      <c r="W33" s="585">
        <f t="shared" si="34"/>
        <v>-4.4881240452597781E-3</v>
      </c>
      <c r="X33" s="585">
        <f t="shared" si="34"/>
        <v>-1.270932031431915E-4</v>
      </c>
      <c r="Y33" s="586">
        <f t="shared" si="34"/>
        <v>-1.0307164259599766E-3</v>
      </c>
      <c r="Z33" s="585">
        <f t="shared" si="34"/>
        <v>-4.6037246091112927E-4</v>
      </c>
      <c r="AA33" s="585">
        <f t="shared" si="34"/>
        <v>-3.3879355614607753E-5</v>
      </c>
      <c r="AB33" s="71">
        <f t="shared" si="34"/>
        <v>0</v>
      </c>
      <c r="AC33" s="585">
        <f t="shared" si="34"/>
        <v>-0.83330828106866961</v>
      </c>
      <c r="AD33" s="589">
        <f t="shared" si="34"/>
        <v>-0.18671163612332076</v>
      </c>
      <c r="AE33" s="585">
        <f t="shared" si="34"/>
        <v>-0.81933453474850604</v>
      </c>
      <c r="AF33" s="585">
        <f t="shared" si="34"/>
        <v>-0.83903662359348874</v>
      </c>
      <c r="AG33" s="585">
        <f t="shared" si="34"/>
        <v>-0.76392868469816666</v>
      </c>
      <c r="AH33" s="585">
        <f t="shared" si="34"/>
        <v>-0.68351221226457026</v>
      </c>
      <c r="AI33" s="589">
        <f t="shared" si="34"/>
        <v>-0.76713607891543878</v>
      </c>
      <c r="AJ33" s="585">
        <f t="shared" si="34"/>
        <v>-0.57317053113514649</v>
      </c>
      <c r="AK33" s="585">
        <f t="shared" si="34"/>
        <v>-0.57193419984555494</v>
      </c>
      <c r="AL33" s="585">
        <f t="shared" si="34"/>
        <v>-0.49515125251695635</v>
      </c>
      <c r="AM33" s="585">
        <f t="shared" si="34"/>
        <v>-0.49379569691330927</v>
      </c>
      <c r="AN33" s="589">
        <f t="shared" si="34"/>
        <v>-0.53682964701189229</v>
      </c>
      <c r="AO33" s="585">
        <f t="shared" si="34"/>
        <v>-0.47215332102570162</v>
      </c>
      <c r="AP33" s="585">
        <f t="shared" si="34"/>
        <v>-0.5584611967729729</v>
      </c>
      <c r="AQ33" s="585">
        <f t="shared" si="34"/>
        <v>-0.5184854808243573</v>
      </c>
      <c r="AR33" s="585">
        <f t="shared" si="34"/>
        <v>-0.38198845255176883</v>
      </c>
      <c r="AS33" s="589">
        <f t="shared" si="34"/>
        <v>-0.44035719137825124</v>
      </c>
    </row>
    <row r="34" spans="1:47" collapsed="1">
      <c r="A34" s="59"/>
      <c r="B34" s="442"/>
      <c r="E34" s="607"/>
      <c r="F34" s="585"/>
      <c r="G34" s="585"/>
      <c r="H34" s="585"/>
      <c r="I34" s="585"/>
      <c r="J34" s="586"/>
      <c r="K34" s="585"/>
      <c r="L34" s="585"/>
      <c r="M34" s="585"/>
      <c r="N34" s="585"/>
      <c r="O34" s="586"/>
      <c r="P34" s="585"/>
      <c r="Q34" s="585"/>
      <c r="R34" s="585"/>
      <c r="S34" s="585"/>
      <c r="T34" s="586"/>
      <c r="U34" s="585"/>
      <c r="V34" s="585"/>
      <c r="W34" s="585"/>
      <c r="X34" s="585"/>
      <c r="Y34" s="586"/>
      <c r="Z34" s="585"/>
      <c r="AA34" s="585"/>
      <c r="AB34" s="71"/>
      <c r="AC34" s="585"/>
      <c r="AD34" s="589"/>
      <c r="AE34" s="585"/>
      <c r="AF34" s="585"/>
      <c r="AG34" s="585"/>
      <c r="AH34" s="585"/>
      <c r="AI34" s="589"/>
      <c r="AJ34" s="585"/>
      <c r="AK34" s="585"/>
      <c r="AL34" s="585"/>
      <c r="AM34" s="585"/>
      <c r="AN34" s="589"/>
      <c r="AO34" s="585"/>
      <c r="AP34" s="585"/>
      <c r="AQ34" s="585"/>
      <c r="AR34" s="585"/>
      <c r="AS34" s="589"/>
    </row>
    <row r="35" spans="1:47" ht="15" thickBot="1">
      <c r="A35" s="60" t="s">
        <v>739</v>
      </c>
      <c r="B35" s="67"/>
      <c r="C35" s="792"/>
      <c r="D35" s="792"/>
      <c r="E35" s="68"/>
      <c r="F35" s="500"/>
      <c r="G35" s="500"/>
      <c r="H35" s="500"/>
      <c r="I35" s="500"/>
      <c r="J35" s="68"/>
      <c r="K35" s="500"/>
      <c r="L35" s="500"/>
      <c r="M35" s="500"/>
      <c r="N35" s="500"/>
      <c r="O35" s="68"/>
      <c r="P35" s="500"/>
      <c r="Q35" s="500"/>
      <c r="R35" s="500"/>
      <c r="S35" s="500"/>
      <c r="T35" s="68"/>
      <c r="U35" s="500"/>
      <c r="V35" s="500"/>
      <c r="W35" s="500"/>
      <c r="X35" s="500"/>
      <c r="Y35" s="68"/>
      <c r="Z35" s="500"/>
      <c r="AA35" s="500"/>
      <c r="AB35" s="500"/>
      <c r="AC35" s="67"/>
      <c r="AD35" s="69"/>
      <c r="AE35" s="67"/>
      <c r="AF35" s="67"/>
      <c r="AG35" s="67"/>
      <c r="AH35" s="67"/>
      <c r="AI35" s="69"/>
      <c r="AJ35" s="67"/>
      <c r="AK35" s="67"/>
      <c r="AL35" s="67"/>
      <c r="AM35" s="67"/>
      <c r="AN35" s="69"/>
      <c r="AO35" s="67"/>
      <c r="AP35" s="67"/>
      <c r="AQ35" s="67"/>
      <c r="AR35" s="67"/>
      <c r="AS35" s="69"/>
    </row>
    <row r="36" spans="1:47" ht="15" outlineLevel="1" thickTop="1">
      <c r="A36" s="58" t="s">
        <v>561</v>
      </c>
      <c r="E36" s="74">
        <f>E21-E46</f>
        <v>2745.96</v>
      </c>
      <c r="F36" s="71">
        <f>F21-F46</f>
        <v>835.69</v>
      </c>
      <c r="G36" s="71">
        <f>G21-G46</f>
        <v>977.28</v>
      </c>
      <c r="H36" s="71">
        <f>H21-H46</f>
        <v>933.12</v>
      </c>
      <c r="I36" s="71">
        <f>I21-I46</f>
        <v>1197.1199999999999</v>
      </c>
      <c r="J36" s="74">
        <f>J21-J46</f>
        <v>3943.21</v>
      </c>
      <c r="K36" s="71">
        <f>K21-K46</f>
        <v>735.79499999999996</v>
      </c>
      <c r="L36" s="71">
        <f>L21-L46</f>
        <v>277.33999999999997</v>
      </c>
      <c r="M36" s="71">
        <f>M21-M46</f>
        <v>799.82</v>
      </c>
      <c r="N36" s="71">
        <f>N21-N46</f>
        <v>788.9</v>
      </c>
      <c r="O36" s="74">
        <f>O21-O46</f>
        <v>2601.855</v>
      </c>
      <c r="P36" s="71">
        <f>P21-P46</f>
        <v>1126.0672727272727</v>
      </c>
      <c r="Q36" s="71">
        <f>Q21-Q46</f>
        <v>1491.7205333333334</v>
      </c>
      <c r="R36" s="71">
        <f>R21-R46</f>
        <v>1478.0731914893618</v>
      </c>
      <c r="S36" s="71">
        <f>S21-S46</f>
        <v>1854.119777284867</v>
      </c>
      <c r="T36" s="74">
        <f>T21-T46</f>
        <v>5949.9807748348358</v>
      </c>
      <c r="U36" s="71">
        <f>U21-U46</f>
        <v>1569</v>
      </c>
      <c r="V36" s="71">
        <f>V21-V46</f>
        <v>1535</v>
      </c>
      <c r="W36" s="71">
        <f>W21-W46</f>
        <v>1796</v>
      </c>
      <c r="X36" s="71">
        <f>X21-X46</f>
        <v>1799</v>
      </c>
      <c r="Y36" s="74">
        <f>Y21-Y46</f>
        <v>6699</v>
      </c>
      <c r="Z36" s="71">
        <f>Z21-Z46</f>
        <v>1636</v>
      </c>
      <c r="AA36" s="71">
        <f>AA21-AA46</f>
        <v>2389</v>
      </c>
      <c r="AB36" s="71">
        <f>AB21-AB46</f>
        <v>1778</v>
      </c>
      <c r="AC36" s="594">
        <v>300</v>
      </c>
      <c r="AD36" s="76">
        <f>SUM(Z36:AC36)</f>
        <v>6103</v>
      </c>
      <c r="AE36" s="594">
        <v>300</v>
      </c>
      <c r="AF36" s="594">
        <v>400</v>
      </c>
      <c r="AG36" s="594">
        <v>500</v>
      </c>
      <c r="AH36" s="71">
        <f>(1+AH38)*I36</f>
        <v>598.55999999999995</v>
      </c>
      <c r="AI36" s="76">
        <f>SUM(AE36:AH36)</f>
        <v>1798.56</v>
      </c>
      <c r="AJ36" s="71">
        <f>(1+AJ38)*F36</f>
        <v>668.55200000000013</v>
      </c>
      <c r="AK36" s="71">
        <f t="shared" ref="AK36:AL36" si="35">(1+AK38)*G36</f>
        <v>879.55200000000002</v>
      </c>
      <c r="AL36" s="71">
        <f t="shared" si="35"/>
        <v>933.12</v>
      </c>
      <c r="AM36" s="71">
        <f>(1+AM37)*AH36</f>
        <v>897.83999999999992</v>
      </c>
      <c r="AN36" s="76">
        <f>SUM(AJ36:AM36)</f>
        <v>3379.0640000000003</v>
      </c>
      <c r="AO36" s="71">
        <f t="shared" ref="AO36:AR36" si="36">(1+AO37)*AJ36</f>
        <v>869.11760000000015</v>
      </c>
      <c r="AP36" s="71">
        <f t="shared" si="36"/>
        <v>1011.4848</v>
      </c>
      <c r="AQ36" s="71">
        <f t="shared" si="36"/>
        <v>961.11360000000002</v>
      </c>
      <c r="AR36" s="71">
        <f t="shared" si="36"/>
        <v>1203.1055999999999</v>
      </c>
      <c r="AS36" s="76">
        <f>SUM(AO36:AR36)</f>
        <v>4044.8216000000002</v>
      </c>
    </row>
    <row r="37" spans="1:47" outlineLevel="1">
      <c r="A37" s="59" t="s">
        <v>208</v>
      </c>
      <c r="E37" s="74"/>
      <c r="F37" s="71"/>
      <c r="G37" s="71"/>
      <c r="H37" s="71"/>
      <c r="I37" s="71"/>
      <c r="J37" s="586">
        <f>J36/E36-1</f>
        <v>0.43600416612040971</v>
      </c>
      <c r="K37" s="585">
        <f t="shared" ref="K37:AB37" si="37">K36/F36-1</f>
        <v>-0.11953595232681991</v>
      </c>
      <c r="L37" s="585">
        <f t="shared" si="37"/>
        <v>-0.7162123444662738</v>
      </c>
      <c r="M37" s="585">
        <f t="shared" si="37"/>
        <v>-0.14285408093278462</v>
      </c>
      <c r="N37" s="585">
        <f t="shared" si="37"/>
        <v>-0.34100173750334128</v>
      </c>
      <c r="O37" s="586">
        <f t="shared" si="37"/>
        <v>-0.34016828928715437</v>
      </c>
      <c r="P37" s="585">
        <f t="shared" si="37"/>
        <v>0.53040897631442552</v>
      </c>
      <c r="Q37" s="585">
        <f t="shared" si="37"/>
        <v>4.37867070503113</v>
      </c>
      <c r="R37" s="585">
        <f t="shared" si="37"/>
        <v>0.84800729100217764</v>
      </c>
      <c r="S37" s="585">
        <f t="shared" si="37"/>
        <v>1.3502595731840121</v>
      </c>
      <c r="T37" s="586">
        <f t="shared" si="37"/>
        <v>1.2868225842081267</v>
      </c>
      <c r="U37" s="585">
        <f t="shared" si="37"/>
        <v>0.39334481873358129</v>
      </c>
      <c r="V37" s="585">
        <f t="shared" si="37"/>
        <v>2.9013119883760208E-2</v>
      </c>
      <c r="W37" s="585">
        <f t="shared" si="37"/>
        <v>0.21509544340648201</v>
      </c>
      <c r="X37" s="585">
        <f t="shared" si="37"/>
        <v>-2.9728272121439359E-2</v>
      </c>
      <c r="Y37" s="586">
        <f t="shared" si="37"/>
        <v>0.12588599081413943</v>
      </c>
      <c r="Z37" s="585">
        <f t="shared" si="37"/>
        <v>4.2702358189929956E-2</v>
      </c>
      <c r="AA37" s="585">
        <f t="shared" si="37"/>
        <v>0.55635179153094461</v>
      </c>
      <c r="AB37" s="585">
        <f t="shared" si="37"/>
        <v>-1.0022271714922093E-2</v>
      </c>
      <c r="AC37" s="598"/>
      <c r="AD37" s="286"/>
      <c r="AE37" s="598"/>
      <c r="AF37" s="598"/>
      <c r="AG37" s="598"/>
      <c r="AH37" s="598"/>
      <c r="AI37" s="286"/>
      <c r="AJ37" s="598"/>
      <c r="AK37" s="598"/>
      <c r="AL37" s="598"/>
      <c r="AM37" s="598">
        <v>0.5</v>
      </c>
      <c r="AN37" s="286"/>
      <c r="AO37" s="598">
        <v>0.3</v>
      </c>
      <c r="AP37" s="598">
        <v>0.15</v>
      </c>
      <c r="AQ37" s="598">
        <v>0.03</v>
      </c>
      <c r="AR37" s="598">
        <v>0.34</v>
      </c>
      <c r="AS37" s="286"/>
      <c r="AU37" s="505" t="s">
        <v>782</v>
      </c>
    </row>
    <row r="38" spans="1:47" outlineLevel="1">
      <c r="A38" s="59" t="s">
        <v>766</v>
      </c>
      <c r="E38" s="74"/>
      <c r="F38" s="71"/>
      <c r="G38" s="71"/>
      <c r="H38" s="71"/>
      <c r="I38" s="71"/>
      <c r="J38" s="586"/>
      <c r="K38" s="585">
        <f>K36/$F$36-1</f>
        <v>-0.11953595232681991</v>
      </c>
      <c r="L38" s="585">
        <f>L36/$G$36-1</f>
        <v>-0.7162123444662738</v>
      </c>
      <c r="M38" s="585">
        <f>M36/$H$36-1</f>
        <v>-0.14285408093278462</v>
      </c>
      <c r="N38" s="585">
        <f>N36/$I$36-1</f>
        <v>-0.34100173750334128</v>
      </c>
      <c r="O38" s="586">
        <f>O36/$J$36-1</f>
        <v>-0.34016828928715437</v>
      </c>
      <c r="P38" s="585">
        <f>P36/$F$36-1</f>
        <v>0.34747008188116713</v>
      </c>
      <c r="Q38" s="585">
        <f>Q36/$G$36-1</f>
        <v>0.52640034926871881</v>
      </c>
      <c r="R38" s="585">
        <f>R36/$H$36-1</f>
        <v>0.5840119078889765</v>
      </c>
      <c r="S38" s="585">
        <f>S36/$I$36-1</f>
        <v>0.54881697514440253</v>
      </c>
      <c r="T38" s="586">
        <f>T36/$J$36-1</f>
        <v>0.50891805783481869</v>
      </c>
      <c r="U38" s="585">
        <f>U36/$F$36-1</f>
        <v>0.87749045698763894</v>
      </c>
      <c r="V38" s="585">
        <f>V36/$G$36-1</f>
        <v>0.57068598559266537</v>
      </c>
      <c r="W38" s="585">
        <f>W36/$H$36-1</f>
        <v>0.92472565157750353</v>
      </c>
      <c r="X38" s="585">
        <f>X36/$I$36-1</f>
        <v>0.50277332264100516</v>
      </c>
      <c r="Y38" s="586">
        <f>Y36/$J$36-1</f>
        <v>0.69886970260270176</v>
      </c>
      <c r="Z38" s="585">
        <f>Z36/$F$36-1</f>
        <v>0.95766372698010005</v>
      </c>
      <c r="AA38" s="585">
        <f>AA36/$G$36-1</f>
        <v>1.4445399476096923</v>
      </c>
      <c r="AB38" s="585">
        <f>AB36/$H$36-1</f>
        <v>0.90543552812071337</v>
      </c>
      <c r="AC38" s="585"/>
      <c r="AD38" s="286"/>
      <c r="AE38" s="585"/>
      <c r="AF38" s="585"/>
      <c r="AG38" s="585"/>
      <c r="AH38" s="598">
        <v>-0.5</v>
      </c>
      <c r="AI38" s="286">
        <f>AI36/$J$36-1</f>
        <v>-0.54388429731107402</v>
      </c>
      <c r="AJ38" s="598">
        <v>-0.2</v>
      </c>
      <c r="AK38" s="598">
        <v>-0.1</v>
      </c>
      <c r="AL38" s="598">
        <v>0</v>
      </c>
      <c r="AM38" s="585">
        <f>AM36/I36-1</f>
        <v>-0.25</v>
      </c>
      <c r="AN38" s="286">
        <f>AN36/$J$36-1</f>
        <v>-0.14306770372361599</v>
      </c>
      <c r="AO38" s="585">
        <f>AO36/F36-1</f>
        <v>4.0000000000000036E-2</v>
      </c>
      <c r="AP38" s="585">
        <f t="shared" ref="AP38:AR38" si="38">AP36/G36-1</f>
        <v>3.499999999999992E-2</v>
      </c>
      <c r="AQ38" s="585">
        <f t="shared" si="38"/>
        <v>3.0000000000000027E-2</v>
      </c>
      <c r="AR38" s="585">
        <f t="shared" si="38"/>
        <v>4.9999999999998934E-3</v>
      </c>
      <c r="AS38" s="286">
        <f>AS36/$J$36-1</f>
        <v>2.5768751854453598E-2</v>
      </c>
      <c r="AU38" s="505" t="s">
        <v>777</v>
      </c>
    </row>
    <row r="39" spans="1:47" outlineLevel="2">
      <c r="A39" s="59" t="s">
        <v>547</v>
      </c>
      <c r="E39" s="586">
        <f>E36/E21</f>
        <v>0.98</v>
      </c>
      <c r="F39" s="585">
        <f>F36/F21</f>
        <v>0.96500000000000008</v>
      </c>
      <c r="G39" s="585">
        <f>G36/G21</f>
        <v>0.96</v>
      </c>
      <c r="H39" s="585">
        <f>H36/H21</f>
        <v>0.96</v>
      </c>
      <c r="I39" s="585">
        <f>I36/I21</f>
        <v>0.96</v>
      </c>
      <c r="J39" s="586">
        <f>J36/J21</f>
        <v>0.96105532537167926</v>
      </c>
      <c r="K39" s="585">
        <f>K36/K21</f>
        <v>0.98499999999999999</v>
      </c>
      <c r="L39" s="585">
        <f>L36/L21</f>
        <v>0.97999999999999987</v>
      </c>
      <c r="M39" s="585">
        <f>M36/M21</f>
        <v>0.9850000000000001</v>
      </c>
      <c r="N39" s="585">
        <f>N36/N21</f>
        <v>0.98</v>
      </c>
      <c r="O39" s="586">
        <f>O36/O21</f>
        <v>0.98294484321873821</v>
      </c>
      <c r="P39" s="585">
        <f>P36/P21</f>
        <v>0.96500000000000008</v>
      </c>
      <c r="Q39" s="585">
        <f>Q36/Q21</f>
        <v>0.96050000000000002</v>
      </c>
      <c r="R39" s="585">
        <f>R36/R21</f>
        <v>0.96000000000000008</v>
      </c>
      <c r="S39" s="585">
        <f>S36/S21</f>
        <v>0.96</v>
      </c>
      <c r="T39" s="586">
        <f>T36/T21</f>
        <v>0.96106785139759776</v>
      </c>
      <c r="U39" s="585">
        <f>U36/U21</f>
        <v>0.85878489326765184</v>
      </c>
      <c r="V39" s="585">
        <f>V36/V21</f>
        <v>0.56062819576333089</v>
      </c>
      <c r="W39" s="585">
        <f>W36/W21</f>
        <v>0.96559139784946235</v>
      </c>
      <c r="X39" s="585">
        <f>X36/X21</f>
        <v>0.87034349298500246</v>
      </c>
      <c r="Y39" s="586">
        <f>Y36/Y21</f>
        <v>0.78886010362694303</v>
      </c>
      <c r="Z39" s="585">
        <f>Z36/Z21</f>
        <v>0.92220969560315669</v>
      </c>
      <c r="AA39" s="585">
        <f>AA36/AA21</f>
        <v>0.84656272147413181</v>
      </c>
      <c r="AB39" s="585">
        <f>AB36/AB21</f>
        <v>0.83084112149532707</v>
      </c>
      <c r="AC39" s="75"/>
      <c r="AD39" s="286"/>
      <c r="AE39" s="75"/>
      <c r="AF39" s="75"/>
      <c r="AG39" s="75"/>
      <c r="AH39" s="75">
        <f>AH36/AH21</f>
        <v>0.79686902470545595</v>
      </c>
      <c r="AI39" s="286">
        <f>AI36/AI21</f>
        <v>0.92179968144260305</v>
      </c>
      <c r="AJ39" s="75">
        <f>AJ36/AJ21</f>
        <v>0.81125635594792178</v>
      </c>
      <c r="AK39" s="75">
        <f>AK36/AK21</f>
        <v>0.84702296854042103</v>
      </c>
      <c r="AL39" s="75">
        <f>AL36/AL21</f>
        <v>0.85113389996993827</v>
      </c>
      <c r="AM39" s="75">
        <f>AM36/AM21</f>
        <v>0.84251642770593371</v>
      </c>
      <c r="AN39" s="286">
        <f>AN36/AN21</f>
        <v>0.83962560340896808</v>
      </c>
      <c r="AO39" s="75">
        <f>AO36/AO21</f>
        <v>0.8345772927626165</v>
      </c>
      <c r="AP39" s="75">
        <f>AP36/AP21</f>
        <v>0.85137810618942267</v>
      </c>
      <c r="AQ39" s="75">
        <f>AQ36/AQ21</f>
        <v>0.84109625437076996</v>
      </c>
      <c r="AR39" s="75">
        <f>AR36/AR21</f>
        <v>0.86589177095751679</v>
      </c>
      <c r="AS39" s="286">
        <f>AS36/AS21</f>
        <v>0.84947133274103304</v>
      </c>
    </row>
    <row r="40" spans="1:47" outlineLevel="1">
      <c r="A40" s="58" t="s">
        <v>560</v>
      </c>
      <c r="E40" s="74">
        <f t="shared" ref="E40:Z40" si="39">E42*1000000/E36</f>
        <v>20537.269297440602</v>
      </c>
      <c r="F40" s="71">
        <f t="shared" si="39"/>
        <v>19907.23833000275</v>
      </c>
      <c r="G40" s="71">
        <f t="shared" si="39"/>
        <v>20885.887360838246</v>
      </c>
      <c r="H40" s="71">
        <f t="shared" si="39"/>
        <v>19861.796982167354</v>
      </c>
      <c r="I40" s="71">
        <f t="shared" si="39"/>
        <v>20021.752205292705</v>
      </c>
      <c r="J40" s="74">
        <f t="shared" si="39"/>
        <v>20173.797489862322</v>
      </c>
      <c r="K40" s="71">
        <f t="shared" si="39"/>
        <v>18954.382674522116</v>
      </c>
      <c r="L40" s="71">
        <f t="shared" si="39"/>
        <v>21299.055311170407</v>
      </c>
      <c r="M40" s="71">
        <f t="shared" si="39"/>
        <v>19727.988797479433</v>
      </c>
      <c r="N40" s="71">
        <f t="shared" si="39"/>
        <v>21799.721130688296</v>
      </c>
      <c r="O40" s="74">
        <f t="shared" si="39"/>
        <v>20304.844043960944</v>
      </c>
      <c r="P40" s="71">
        <f t="shared" si="39"/>
        <v>22362.694300518135</v>
      </c>
      <c r="Q40" s="71">
        <f t="shared" si="39"/>
        <v>22931.806350858926</v>
      </c>
      <c r="R40" s="71">
        <f t="shared" si="39"/>
        <v>23979.166666666668</v>
      </c>
      <c r="S40" s="71">
        <f t="shared" si="39"/>
        <v>22511.458333333332</v>
      </c>
      <c r="T40" s="74">
        <f t="shared" si="39"/>
        <v>22953.292332481891</v>
      </c>
      <c r="U40" s="71">
        <f t="shared" si="39"/>
        <v>24570.427023581899</v>
      </c>
      <c r="V40" s="71">
        <f t="shared" si="39"/>
        <v>32799.348534201956</v>
      </c>
      <c r="W40" s="71">
        <f t="shared" si="39"/>
        <v>26907.572383073497</v>
      </c>
      <c r="X40" s="71">
        <f t="shared" si="39"/>
        <v>26394.6637020567</v>
      </c>
      <c r="Y40" s="74">
        <f t="shared" si="39"/>
        <v>27572.473503507987</v>
      </c>
      <c r="Z40" s="71">
        <f t="shared" si="39"/>
        <v>26709.657701711491</v>
      </c>
      <c r="AA40" s="71">
        <f>AA42*1000000/AA36</f>
        <v>22599.413980745081</v>
      </c>
      <c r="AB40" s="71">
        <f t="shared" ref="AB40" si="40">AB42*1000000/AB36</f>
        <v>26240.719910011248</v>
      </c>
      <c r="AC40" s="71">
        <f>(1+AC41)*X40</f>
        <v>25074.930516953864</v>
      </c>
      <c r="AD40" s="76">
        <f>AD42*1000000/AD36</f>
        <v>24883.742283317417</v>
      </c>
      <c r="AE40" s="71">
        <f t="shared" ref="AE40:AH40" si="41">(1+AE41)*Z40</f>
        <v>26709.657701711491</v>
      </c>
      <c r="AF40" s="71">
        <f t="shared" si="41"/>
        <v>22599.413980745081</v>
      </c>
      <c r="AG40" s="71">
        <f t="shared" si="41"/>
        <v>26240.719910011248</v>
      </c>
      <c r="AH40" s="71">
        <f t="shared" si="41"/>
        <v>25074.930516953864</v>
      </c>
      <c r="AI40" s="76">
        <f>AI42*1000000/AI36</f>
        <v>25121.137614561099</v>
      </c>
      <c r="AJ40" s="71">
        <f t="shared" ref="AJ40:AM40" si="42">(1+AJ41)*AE40</f>
        <v>26709.657701711491</v>
      </c>
      <c r="AK40" s="71">
        <f t="shared" si="42"/>
        <v>22599.413980745081</v>
      </c>
      <c r="AL40" s="71">
        <f t="shared" si="42"/>
        <v>26240.719910011248</v>
      </c>
      <c r="AM40" s="71">
        <f t="shared" si="42"/>
        <v>25074.930516953864</v>
      </c>
      <c r="AN40" s="76">
        <f>AN42*1000000/AN36</f>
        <v>25075.929612211687</v>
      </c>
      <c r="AO40" s="71">
        <f t="shared" ref="AO40:AR40" si="43">(1+AO41)*AJ40</f>
        <v>26709.657701711491</v>
      </c>
      <c r="AP40" s="71">
        <f t="shared" si="43"/>
        <v>22599.413980745081</v>
      </c>
      <c r="AQ40" s="71">
        <f t="shared" si="43"/>
        <v>26240.719910011248</v>
      </c>
      <c r="AR40" s="71">
        <f t="shared" si="43"/>
        <v>25074.930516953864</v>
      </c>
      <c r="AS40" s="76">
        <f>AS42*1000000/AS36</f>
        <v>25084.146957884328</v>
      </c>
    </row>
    <row r="41" spans="1:47" outlineLevel="1">
      <c r="A41" s="59" t="s">
        <v>208</v>
      </c>
      <c r="E41" s="74"/>
      <c r="F41" s="71"/>
      <c r="G41" s="71"/>
      <c r="H41" s="71"/>
      <c r="I41" s="71"/>
      <c r="J41" s="586">
        <f>J40/E40-1</f>
        <v>-1.769815657155438E-2</v>
      </c>
      <c r="K41" s="585">
        <f t="shared" ref="K41" si="44">K40/F40-1</f>
        <v>-4.7864783637244113E-2</v>
      </c>
      <c r="L41" s="585">
        <f t="shared" ref="L41" si="45">L40/G40-1</f>
        <v>1.9782159273101563E-2</v>
      </c>
      <c r="M41" s="585">
        <f t="shared" ref="M41" si="46">M40/H40-1</f>
        <v>-6.7369626629483204E-3</v>
      </c>
      <c r="N41" s="585">
        <f t="shared" ref="N41" si="47">N40/I40-1</f>
        <v>8.8801864450484436E-2</v>
      </c>
      <c r="O41" s="586">
        <f t="shared" ref="O41" si="48">O40/J40-1</f>
        <v>6.4958793288409922E-3</v>
      </c>
      <c r="P41" s="585">
        <f t="shared" ref="P41" si="49">P40/K40-1</f>
        <v>0.17981654610030451</v>
      </c>
      <c r="Q41" s="585">
        <f t="shared" ref="Q41" si="50">Q40/L40-1</f>
        <v>7.6658378309962583E-2</v>
      </c>
      <c r="R41" s="585">
        <f t="shared" ref="R41" si="51">R40/M40-1</f>
        <v>0.21548967372337469</v>
      </c>
      <c r="S41" s="585">
        <f t="shared" ref="S41" si="52">S40/N40-1</f>
        <v>3.2648913184632367E-2</v>
      </c>
      <c r="T41" s="586">
        <f t="shared" ref="T41" si="53">T40/O40-1</f>
        <v>0.13043430832499525</v>
      </c>
      <c r="U41" s="585">
        <f t="shared" ref="U41" si="54">U40/P40-1</f>
        <v>9.8723914631906107E-2</v>
      </c>
      <c r="V41" s="585">
        <f t="shared" ref="V41" si="55">V40/Q40-1</f>
        <v>0.43029938559434222</v>
      </c>
      <c r="W41" s="585">
        <f t="shared" ref="W41" si="56">W40/R40-1</f>
        <v>0.1221229143245246</v>
      </c>
      <c r="X41" s="585">
        <f t="shared" ref="X41" si="57">X40/S40-1</f>
        <v>0.17249905853382219</v>
      </c>
      <c r="Y41" s="586">
        <f t="shared" ref="Y41" si="58">Y40/T40-1</f>
        <v>0.20124264110422851</v>
      </c>
      <c r="Z41" s="585">
        <f t="shared" ref="Z41" si="59">Z40/U40-1</f>
        <v>8.7065262483082995E-2</v>
      </c>
      <c r="AA41" s="585">
        <f t="shared" ref="AA41" si="60">AA40/V40-1</f>
        <v>-0.31097979104129947</v>
      </c>
      <c r="AB41" s="585">
        <f t="shared" ref="AB41" si="61">AB40/W40-1</f>
        <v>-2.4783078293667993E-2</v>
      </c>
      <c r="AC41" s="598">
        <v>-0.05</v>
      </c>
      <c r="AD41" s="286">
        <f t="shared" ref="AD41" si="62">AD40/Y40-1</f>
        <v>-9.7515053186957967E-2</v>
      </c>
      <c r="AE41" s="598">
        <v>0</v>
      </c>
      <c r="AF41" s="598">
        <v>0</v>
      </c>
      <c r="AG41" s="598">
        <v>0</v>
      </c>
      <c r="AH41" s="598">
        <v>0</v>
      </c>
      <c r="AI41" s="286">
        <f t="shared" ref="AI41" si="63">AI40/AD40-1</f>
        <v>9.5401780222919008E-3</v>
      </c>
      <c r="AJ41" s="598">
        <v>0</v>
      </c>
      <c r="AK41" s="598">
        <v>0</v>
      </c>
      <c r="AL41" s="598">
        <v>0</v>
      </c>
      <c r="AM41" s="598">
        <v>0</v>
      </c>
      <c r="AN41" s="286">
        <f t="shared" ref="AN41" si="64">AN40/AI40-1</f>
        <v>-1.7996001233323566E-3</v>
      </c>
      <c r="AO41" s="598">
        <v>0</v>
      </c>
      <c r="AP41" s="598">
        <v>0</v>
      </c>
      <c r="AQ41" s="598">
        <v>0</v>
      </c>
      <c r="AR41" s="598">
        <v>0</v>
      </c>
      <c r="AS41" s="286">
        <f>AS40/AN40-1</f>
        <v>3.2769854596503833E-4</v>
      </c>
      <c r="AU41" s="505" t="s">
        <v>783</v>
      </c>
    </row>
    <row r="42" spans="1:47" outlineLevel="1">
      <c r="A42" s="58" t="s">
        <v>556</v>
      </c>
      <c r="E42" s="610">
        <f>E23-E50</f>
        <v>56.39452</v>
      </c>
      <c r="F42" s="611">
        <f>F23-F50</f>
        <v>16.636279999999999</v>
      </c>
      <c r="G42" s="611">
        <f>G23-G50</f>
        <v>20.411359999999998</v>
      </c>
      <c r="H42" s="611">
        <f>H23-H50</f>
        <v>18.533439999999999</v>
      </c>
      <c r="I42" s="611">
        <f>I23-I50</f>
        <v>23.968440000000001</v>
      </c>
      <c r="J42" s="610">
        <f>J23-J50</f>
        <v>79.549520000000001</v>
      </c>
      <c r="K42" s="611">
        <f>K23-K50</f>
        <v>13.946540000000001</v>
      </c>
      <c r="L42" s="611">
        <f>L23-L50</f>
        <v>5.9070799999999997</v>
      </c>
      <c r="M42" s="611">
        <f>M23-M50</f>
        <v>15.778840000000001</v>
      </c>
      <c r="N42" s="611">
        <f>N23-N50</f>
        <v>17.197799999999997</v>
      </c>
      <c r="O42" s="610">
        <f>O23-O50</f>
        <v>52.830260000000003</v>
      </c>
      <c r="P42" s="611">
        <f>P23-P50</f>
        <v>25.18189818181818</v>
      </c>
      <c r="Q42" s="611">
        <f>Q23-Q50</f>
        <v>34.207846400000001</v>
      </c>
      <c r="R42" s="611">
        <f>R23-R50</f>
        <v>35.442963404255323</v>
      </c>
      <c r="S42" s="611">
        <f>S23-S50</f>
        <v>41.738940111357564</v>
      </c>
      <c r="T42" s="610">
        <f>T23-T50</f>
        <v>136.57164809743108</v>
      </c>
      <c r="U42" s="611">
        <f>U23-U50</f>
        <v>38.551000000000002</v>
      </c>
      <c r="V42" s="611">
        <f>V23-V50</f>
        <v>50.347000000000001</v>
      </c>
      <c r="W42" s="611">
        <f>W23-W50</f>
        <v>48.326000000000001</v>
      </c>
      <c r="X42" s="611">
        <f>X23-X50</f>
        <v>47.484000000000002</v>
      </c>
      <c r="Y42" s="610">
        <f>Y23-Y50</f>
        <v>184.708</v>
      </c>
      <c r="Z42" s="611">
        <f>Z23-Z50</f>
        <v>43.697000000000003</v>
      </c>
      <c r="AA42" s="611">
        <f>AA23-AA50</f>
        <v>53.99</v>
      </c>
      <c r="AB42" s="611">
        <f>AB23-AB50</f>
        <v>46.655999999999999</v>
      </c>
      <c r="AC42" s="611">
        <f>AC40*AC36/1000000</f>
        <v>7.5224791550861587</v>
      </c>
      <c r="AD42" s="616">
        <f>SUM(Z42:AC42)</f>
        <v>151.86547915508618</v>
      </c>
      <c r="AE42" s="611">
        <f t="shared" ref="AE42:AH42" si="65">AE40*AE36/1000000</f>
        <v>8.0128973105134467</v>
      </c>
      <c r="AF42" s="611">
        <f t="shared" si="65"/>
        <v>9.039765592298032</v>
      </c>
      <c r="AG42" s="611">
        <f t="shared" si="65"/>
        <v>13.120359955005624</v>
      </c>
      <c r="AH42" s="611">
        <f t="shared" si="65"/>
        <v>15.008850410227904</v>
      </c>
      <c r="AI42" s="616">
        <f>SUM(AE42:AH42)</f>
        <v>45.18187326804501</v>
      </c>
      <c r="AJ42" s="611">
        <f t="shared" ref="AJ42:AM42" si="66">AJ40*AJ36/1000000</f>
        <v>17.856795075794622</v>
      </c>
      <c r="AK42" s="611">
        <f t="shared" si="66"/>
        <v>19.877359765592299</v>
      </c>
      <c r="AL42" s="611">
        <f t="shared" si="66"/>
        <v>24.485740562429697</v>
      </c>
      <c r="AM42" s="611">
        <f t="shared" si="66"/>
        <v>22.513275615341854</v>
      </c>
      <c r="AN42" s="616">
        <f>SUM(AJ42:AM42)</f>
        <v>84.733171019158476</v>
      </c>
      <c r="AO42" s="611">
        <f t="shared" ref="AO42:AR42" si="67">AO40*AO36/1000000</f>
        <v>23.213833598533011</v>
      </c>
      <c r="AP42" s="611">
        <f t="shared" si="67"/>
        <v>22.858963730431139</v>
      </c>
      <c r="AQ42" s="611">
        <f t="shared" si="67"/>
        <v>25.220312779302585</v>
      </c>
      <c r="AR42" s="611">
        <f t="shared" si="67"/>
        <v>30.167789324558086</v>
      </c>
      <c r="AS42" s="616">
        <f>SUM(AO42:AR42)</f>
        <v>101.46089943282482</v>
      </c>
    </row>
    <row r="43" spans="1:47" outlineLevel="1">
      <c r="A43" s="59" t="s">
        <v>208</v>
      </c>
      <c r="E43" s="74"/>
      <c r="F43" s="71"/>
      <c r="G43" s="71"/>
      <c r="H43" s="71"/>
      <c r="I43" s="71"/>
      <c r="J43" s="586">
        <f>J42/E42-1</f>
        <v>0.41058953955100597</v>
      </c>
      <c r="K43" s="585">
        <f t="shared" ref="K43" si="68">K42/F42-1</f>
        <v>-0.16167917346906868</v>
      </c>
      <c r="L43" s="585">
        <f t="shared" ref="L43" si="69">L42/G42-1</f>
        <v>-0.71059841186476547</v>
      </c>
      <c r="M43" s="585">
        <f t="shared" ref="M43" si="70">M42/H42-1</f>
        <v>-0.14862864098623885</v>
      </c>
      <c r="N43" s="585">
        <f t="shared" ref="N43" si="71">N42/I42-1</f>
        <v>-0.28248146312400824</v>
      </c>
      <c r="O43" s="586">
        <f t="shared" ref="O43" si="72">O42/J42-1</f>
        <v>-0.33588210211702096</v>
      </c>
      <c r="P43" s="585">
        <f t="shared" ref="P43" si="73">P42/K42-1</f>
        <v>0.805601832556188</v>
      </c>
      <c r="Q43" s="71">
        <f t="shared" ref="Q43" si="74">Q42/L42-1</f>
        <v>4.7909908787421198</v>
      </c>
      <c r="R43" s="585">
        <f t="shared" ref="R43" si="75">R42/M42-1</f>
        <v>1.2462337791786546</v>
      </c>
      <c r="S43" s="585">
        <f t="shared" ref="S43" si="76">S42/N42-1</f>
        <v>1.4269929939502477</v>
      </c>
      <c r="T43" s="586">
        <f t="shared" ref="T43" si="77">T42/O42-1</f>
        <v>1.5851027062412917</v>
      </c>
      <c r="U43" s="585">
        <f t="shared" ref="U43" si="78">U42/P42-1</f>
        <v>0.53090127367104412</v>
      </c>
      <c r="V43" s="585">
        <f t="shared" ref="V43" si="79">V42/Q42-1</f>
        <v>0.47179683313825915</v>
      </c>
      <c r="W43" s="585">
        <f t="shared" ref="W43" si="80">W42/R42-1</f>
        <v>0.36348644013773201</v>
      </c>
      <c r="X43" s="585">
        <f t="shared" ref="X43" si="81">X42/S42-1</f>
        <v>0.13764268745959729</v>
      </c>
      <c r="Y43" s="586">
        <f t="shared" ref="Y43" si="82">Y42/T42-1</f>
        <v>0.35246226118782831</v>
      </c>
      <c r="Z43" s="585">
        <f t="shared" ref="Z43" si="83">Z42/U42-1</f>
        <v>0.13348551269746567</v>
      </c>
      <c r="AA43" s="585">
        <f t="shared" ref="AA43" si="84">AA42/V42-1</f>
        <v>7.2357836613899496E-2</v>
      </c>
      <c r="AB43" s="585">
        <f t="shared" ref="AB43" si="85">AB42/W42-1</f>
        <v>-3.4556967263998706E-2</v>
      </c>
      <c r="AC43" s="75">
        <f t="shared" ref="AC43" si="86">AC42/X42-1</f>
        <v>-0.8415786548082268</v>
      </c>
      <c r="AD43" s="286">
        <f t="shared" ref="AD43" si="87">AD42/Y42-1</f>
        <v>-0.17780778766980221</v>
      </c>
      <c r="AE43" s="75">
        <f t="shared" ref="AE43" si="88">AE42/Z42-1</f>
        <v>-0.81662591687041564</v>
      </c>
      <c r="AF43" s="75">
        <f t="shared" ref="AF43" si="89">AF42/AA42-1</f>
        <v>-0.83256592716617828</v>
      </c>
      <c r="AG43" s="75">
        <f t="shared" ref="AG43" si="90">AG42/AB42-1</f>
        <v>-0.71878515185601799</v>
      </c>
      <c r="AH43" s="75">
        <f t="shared" ref="AH43" si="91">AH42/AC42-1</f>
        <v>0.99520000000000008</v>
      </c>
      <c r="AI43" s="286">
        <f t="shared" ref="AI43" si="92">AI42/AD42-1</f>
        <v>-0.702487533576311</v>
      </c>
      <c r="AJ43" s="75">
        <f t="shared" ref="AJ43" si="93">AJ42/AE42-1</f>
        <v>1.2285066666666671</v>
      </c>
      <c r="AK43" s="75">
        <f t="shared" ref="AK43" si="94">AK42/AF42-1</f>
        <v>1.1988800000000004</v>
      </c>
      <c r="AL43" s="75">
        <f t="shared" ref="AL43" si="95">AL42/AG42-1</f>
        <v>0.86624000000000012</v>
      </c>
      <c r="AM43" s="75">
        <f t="shared" ref="AM43" si="96">AM42/AH42-1</f>
        <v>0.49999999999999978</v>
      </c>
      <c r="AN43" s="286">
        <f t="shared" ref="AN43" si="97">AN42/AI42-1</f>
        <v>0.87537976826397368</v>
      </c>
      <c r="AO43" s="75">
        <f t="shared" ref="AO43" si="98">AO42/AJ42-1</f>
        <v>0.30000000000000004</v>
      </c>
      <c r="AP43" s="75">
        <f t="shared" ref="AP43" si="99">AP42/AK42-1</f>
        <v>0.14999999999999969</v>
      </c>
      <c r="AQ43" s="75">
        <f t="shared" ref="AQ43" si="100">AQ42/AL42-1</f>
        <v>2.9999999999999805E-2</v>
      </c>
      <c r="AR43" s="75">
        <f t="shared" ref="AR43" si="101">AR42/AM42-1</f>
        <v>0.34000000000000008</v>
      </c>
      <c r="AS43" s="286">
        <f t="shared" ref="AS43" si="102">AS42/AN42-1</f>
        <v>0.1974165278186526</v>
      </c>
    </row>
    <row r="44" spans="1:47">
      <c r="A44" s="59"/>
      <c r="E44" s="74"/>
      <c r="F44" s="71"/>
      <c r="G44" s="71"/>
      <c r="H44" s="71"/>
      <c r="I44" s="71"/>
      <c r="J44" s="586"/>
      <c r="K44" s="585"/>
      <c r="L44" s="585"/>
      <c r="M44" s="585"/>
      <c r="N44" s="585"/>
      <c r="O44" s="586"/>
      <c r="P44" s="585"/>
      <c r="Q44" s="71"/>
      <c r="R44" s="585"/>
      <c r="S44" s="585"/>
      <c r="T44" s="586"/>
      <c r="U44" s="585"/>
      <c r="V44" s="585"/>
      <c r="W44" s="585"/>
      <c r="X44" s="585"/>
      <c r="Y44" s="586"/>
      <c r="Z44" s="585"/>
      <c r="AA44" s="585"/>
      <c r="AB44" s="585"/>
    </row>
    <row r="45" spans="1:47" ht="15" thickBot="1">
      <c r="A45" s="60" t="s">
        <v>740</v>
      </c>
      <c r="B45" s="60"/>
      <c r="C45" s="786"/>
      <c r="D45" s="786"/>
      <c r="E45" s="786"/>
      <c r="F45" s="60"/>
      <c r="G45" s="60"/>
      <c r="H45" s="60"/>
      <c r="I45" s="60"/>
      <c r="J45" s="786"/>
      <c r="K45" s="60"/>
      <c r="L45" s="60"/>
      <c r="M45" s="60"/>
      <c r="N45" s="60"/>
      <c r="O45" s="786"/>
      <c r="P45" s="60"/>
      <c r="Q45" s="60"/>
      <c r="R45" s="60"/>
      <c r="S45" s="60"/>
      <c r="T45" s="786"/>
      <c r="U45" s="60"/>
      <c r="V45" s="60"/>
      <c r="W45" s="60"/>
      <c r="X45" s="60"/>
      <c r="Y45" s="786"/>
      <c r="Z45" s="60"/>
      <c r="AA45" s="60"/>
      <c r="AB45" s="60"/>
      <c r="AC45" s="60"/>
      <c r="AD45" s="797"/>
      <c r="AE45" s="60"/>
      <c r="AF45" s="60"/>
      <c r="AG45" s="60"/>
      <c r="AH45" s="60"/>
      <c r="AI45" s="797"/>
      <c r="AJ45" s="60"/>
      <c r="AK45" s="60"/>
      <c r="AL45" s="60"/>
      <c r="AM45" s="60"/>
      <c r="AN45" s="797"/>
      <c r="AO45" s="60"/>
      <c r="AP45" s="60"/>
      <c r="AQ45" s="60"/>
      <c r="AR45" s="60"/>
      <c r="AS45" s="797"/>
    </row>
    <row r="46" spans="1:47" ht="15" outlineLevel="1" thickTop="1">
      <c r="A46" s="58" t="s">
        <v>550</v>
      </c>
      <c r="E46" s="62">
        <f>E47*E21</f>
        <v>56.04</v>
      </c>
      <c r="F46" s="19">
        <f>F47*F21</f>
        <v>30.310000000000002</v>
      </c>
      <c r="G46" s="19">
        <f>G47*G21</f>
        <v>40.72</v>
      </c>
      <c r="H46" s="19">
        <f>H47*H21</f>
        <v>38.880000000000003</v>
      </c>
      <c r="I46" s="19">
        <f>I47*I21</f>
        <v>49.88</v>
      </c>
      <c r="J46" s="62">
        <f>SUM(F46:I46)</f>
        <v>159.79</v>
      </c>
      <c r="K46" s="71">
        <f>K47*K21</f>
        <v>11.205</v>
      </c>
      <c r="L46" s="71">
        <f>L47*L21</f>
        <v>5.66</v>
      </c>
      <c r="M46" s="71">
        <f>M47*M21</f>
        <v>12.18</v>
      </c>
      <c r="N46" s="71">
        <f>N47*N21</f>
        <v>16.100000000000001</v>
      </c>
      <c r="O46" s="62">
        <f>SUM(K46:N46)</f>
        <v>45.145000000000003</v>
      </c>
      <c r="P46" s="71">
        <f>P47*P21</f>
        <v>40.841818181818184</v>
      </c>
      <c r="Q46" s="71">
        <f>Q47*Q21</f>
        <v>61.346133333333334</v>
      </c>
      <c r="R46" s="71">
        <f>R47*R21</f>
        <v>61.586382978723407</v>
      </c>
      <c r="S46" s="71">
        <f>S47*S21</f>
        <v>77.254990720202798</v>
      </c>
      <c r="T46" s="62">
        <f>SUM(P46:S46)</f>
        <v>241.02932521407774</v>
      </c>
      <c r="U46" s="66">
        <v>258</v>
      </c>
      <c r="V46" s="66">
        <v>1203</v>
      </c>
      <c r="W46" s="66">
        <v>64</v>
      </c>
      <c r="X46" s="66">
        <v>268</v>
      </c>
      <c r="Y46" s="61">
        <v>1793</v>
      </c>
      <c r="Z46" s="66">
        <v>138</v>
      </c>
      <c r="AA46" s="66">
        <v>433</v>
      </c>
      <c r="AB46" s="66">
        <v>362</v>
      </c>
      <c r="AC46" s="19"/>
      <c r="AD46" s="76">
        <f>SUM(Z46:AC46)</f>
        <v>933</v>
      </c>
      <c r="AE46" s="19"/>
      <c r="AF46" s="19"/>
      <c r="AG46" s="19"/>
      <c r="AH46" s="19">
        <f t="shared" ref="AG46:AH46" si="103">AH48*AH53</f>
        <v>152.57974999999999</v>
      </c>
      <c r="AI46" s="76">
        <f>SUM(AE46:AH46)</f>
        <v>152.57974999999999</v>
      </c>
      <c r="AJ46" s="19">
        <f>AJ48*AJ53</f>
        <v>155.54262199999999</v>
      </c>
      <c r="AK46" s="19">
        <f>AK48*AK53</f>
        <v>158.85195440000001</v>
      </c>
      <c r="AL46" s="19">
        <f>AL48*AL53</f>
        <v>163.20573680000001</v>
      </c>
      <c r="AM46" s="19">
        <f>AM48*AM53</f>
        <v>167.82468079999998</v>
      </c>
      <c r="AN46" s="76">
        <f>SUM(AJ46:AM46)</f>
        <v>645.42499399999997</v>
      </c>
      <c r="AO46" s="19">
        <f>AO48*AO53</f>
        <v>172.26898879999996</v>
      </c>
      <c r="AP46" s="19">
        <f>AP48*AP53</f>
        <v>176.57112091999997</v>
      </c>
      <c r="AQ46" s="19">
        <f>AQ48*AQ53</f>
        <v>181.57797067999996</v>
      </c>
      <c r="AR46" s="19">
        <f>AR48*AR53</f>
        <v>186.33548299999995</v>
      </c>
      <c r="AS46" s="76">
        <f>SUM(AO46:AR46)</f>
        <v>716.75356339999985</v>
      </c>
    </row>
    <row r="47" spans="1:47" outlineLevel="1">
      <c r="A47" s="59" t="s">
        <v>544</v>
      </c>
      <c r="E47" s="599">
        <v>0.02</v>
      </c>
      <c r="F47" s="598">
        <v>3.5000000000000003E-2</v>
      </c>
      <c r="G47" s="598">
        <v>0.04</v>
      </c>
      <c r="H47" s="598">
        <v>0.04</v>
      </c>
      <c r="I47" s="598">
        <v>0.04</v>
      </c>
      <c r="J47" s="551">
        <f>J46/J21</f>
        <v>3.8944674628320741E-2</v>
      </c>
      <c r="K47" s="598">
        <v>1.4999999999999999E-2</v>
      </c>
      <c r="L47" s="598">
        <v>0.02</v>
      </c>
      <c r="M47" s="598">
        <v>1.4999999999999999E-2</v>
      </c>
      <c r="N47" s="598">
        <v>0.02</v>
      </c>
      <c r="O47" s="551">
        <f>O46/O21</f>
        <v>1.7055156781261807E-2</v>
      </c>
      <c r="P47" s="598">
        <v>3.5000000000000003E-2</v>
      </c>
      <c r="Q47" s="598">
        <v>3.95E-2</v>
      </c>
      <c r="R47" s="598">
        <v>0.04</v>
      </c>
      <c r="S47" s="598">
        <v>0.04</v>
      </c>
      <c r="T47" s="551">
        <f>T46/T21</f>
        <v>3.8932148602402288E-2</v>
      </c>
      <c r="U47" s="75">
        <f>U46/U21</f>
        <v>0.14121510673234811</v>
      </c>
      <c r="V47" s="75">
        <f>V46/V21</f>
        <v>0.43937180423666911</v>
      </c>
      <c r="W47" s="75">
        <f>W46/W21</f>
        <v>3.4408602150537634E-2</v>
      </c>
      <c r="X47" s="75">
        <f>X46/X21</f>
        <v>0.12965650701499759</v>
      </c>
      <c r="Y47" s="551">
        <f>Y46/Y21</f>
        <v>0.211139896373057</v>
      </c>
      <c r="Z47" s="75">
        <f>Z46/Z21</f>
        <v>7.7790304396843299E-2</v>
      </c>
      <c r="AA47" s="75">
        <f>AA46/AA21</f>
        <v>0.15343727852586816</v>
      </c>
      <c r="AB47" s="75">
        <f>AB46/AB21</f>
        <v>0.1691588785046729</v>
      </c>
      <c r="AC47" s="75"/>
      <c r="AD47" s="286">
        <f>AD46/AD21</f>
        <v>0.13260375213189313</v>
      </c>
      <c r="AE47" s="75"/>
      <c r="AF47" s="75"/>
      <c r="AG47" s="75"/>
      <c r="AH47" s="75">
        <f>AH46/AH21</f>
        <v>0.20313097529454407</v>
      </c>
      <c r="AI47" s="286">
        <f>AI46/AI21</f>
        <v>7.8200318557397036E-2</v>
      </c>
      <c r="AJ47" s="75">
        <f>AJ46/AJ21</f>
        <v>0.18874364405207825</v>
      </c>
      <c r="AK47" s="75">
        <f>AK46/AK21</f>
        <v>0.15297703145957897</v>
      </c>
      <c r="AL47" s="75">
        <f>AL46/AL21</f>
        <v>0.14886610003006182</v>
      </c>
      <c r="AM47" s="75">
        <f>AM46/AM21</f>
        <v>0.15748357229406643</v>
      </c>
      <c r="AN47" s="286">
        <f>AN46/AN21</f>
        <v>0.16037439659103217</v>
      </c>
      <c r="AO47" s="75">
        <f>AO46/AO21</f>
        <v>0.16542270723738359</v>
      </c>
      <c r="AP47" s="75">
        <f>AP46/AP21</f>
        <v>0.14862189381057742</v>
      </c>
      <c r="AQ47" s="75">
        <f>AQ46/AQ21</f>
        <v>0.15890374562922996</v>
      </c>
      <c r="AR47" s="75">
        <f>AR46/AR21</f>
        <v>0.13410822904248326</v>
      </c>
      <c r="AS47" s="286">
        <f>AS46/AS21</f>
        <v>0.15052866725896696</v>
      </c>
      <c r="AU47" s="505" t="s">
        <v>779</v>
      </c>
    </row>
    <row r="48" spans="1:47" outlineLevel="1">
      <c r="A48" s="59" t="s">
        <v>564</v>
      </c>
      <c r="E48" s="586">
        <f>E46/E53</f>
        <v>6.8972307692307692E-3</v>
      </c>
      <c r="F48" s="585">
        <f>F46/F53</f>
        <v>2.8800836183960473E-3</v>
      </c>
      <c r="G48" s="585">
        <f>G46/G53</f>
        <v>3.6298805491174896E-3</v>
      </c>
      <c r="H48" s="585">
        <f>H46/H53</f>
        <v>3.2260205774975112E-3</v>
      </c>
      <c r="I48" s="585">
        <f>I46/I53</f>
        <v>3.8880661002416404E-3</v>
      </c>
      <c r="J48" s="586">
        <f>J46/J53</f>
        <v>1.5183390345876091E-2</v>
      </c>
      <c r="K48" s="585">
        <f>K46/K53</f>
        <v>8.0774221453287201E-4</v>
      </c>
      <c r="L48" s="585">
        <f>L46/L53</f>
        <v>3.9248318424519799E-4</v>
      </c>
      <c r="M48" s="585">
        <f>M46/M53</f>
        <v>8.4028975508796137E-4</v>
      </c>
      <c r="N48" s="585">
        <f>N46/N53</f>
        <v>1.0645331922771754E-3</v>
      </c>
      <c r="O48" s="586">
        <f>O46/O53</f>
        <v>3.254397347174164E-3</v>
      </c>
      <c r="P48" s="585">
        <f>P46/P53</f>
        <v>2.6060374031277554E-3</v>
      </c>
      <c r="Q48" s="585">
        <f>Q46/Q53</f>
        <v>3.7163556869177173E-3</v>
      </c>
      <c r="R48" s="585">
        <f>R46/R53</f>
        <v>3.4859283847147459E-3</v>
      </c>
      <c r="S48" s="585">
        <f>S46/S53</f>
        <v>4.1206445133306702E-3</v>
      </c>
      <c r="T48" s="586">
        <f>T46/T53</f>
        <v>1.5379614931985563E-2</v>
      </c>
      <c r="U48" s="585">
        <f>U46/U53</f>
        <v>1.2718942179860365E-2</v>
      </c>
      <c r="V48" s="585">
        <f>V46/V53</f>
        <v>5.5389290482987248E-2</v>
      </c>
      <c r="W48" s="585">
        <f>W46/W53</f>
        <v>2.7912250861354617E-3</v>
      </c>
      <c r="X48" s="585">
        <f>X46/X53</f>
        <v>1.0950843787030606E-2</v>
      </c>
      <c r="Y48" s="586">
        <f>Y46/Y53</f>
        <v>8.8391718327479205E-2</v>
      </c>
      <c r="Z48" s="585">
        <f>Z46/Z53</f>
        <v>5.4467950742027151E-3</v>
      </c>
      <c r="AA48" s="585">
        <f>AA46/AA53</f>
        <v>1.5799459972268847E-2</v>
      </c>
      <c r="AB48" s="585">
        <f>AB46/AB53</f>
        <v>1.2195943669564046E-2</v>
      </c>
      <c r="AC48" s="598"/>
      <c r="AD48" s="286">
        <f>AD46/AD53</f>
        <v>4.599524439461132E-2</v>
      </c>
      <c r="AE48" s="598"/>
      <c r="AF48" s="598"/>
      <c r="AG48" s="598"/>
      <c r="AH48" s="598">
        <v>5.0000000000000001E-3</v>
      </c>
      <c r="AI48" s="286">
        <f>AI46/AI53</f>
        <v>5.8145665457996001E-3</v>
      </c>
      <c r="AJ48" s="598">
        <v>5.0000000000000001E-3</v>
      </c>
      <c r="AK48" s="598">
        <v>5.0000000000000001E-3</v>
      </c>
      <c r="AL48" s="598">
        <v>5.0000000000000001E-3</v>
      </c>
      <c r="AM48" s="598">
        <v>5.0000000000000001E-3</v>
      </c>
      <c r="AN48" s="286">
        <f>AN46/AN53</f>
        <v>2.0747528417001997E-2</v>
      </c>
      <c r="AO48" s="598">
        <v>5.0000000000000001E-3</v>
      </c>
      <c r="AP48" s="598">
        <v>5.0000000000000001E-3</v>
      </c>
      <c r="AQ48" s="598">
        <v>5.0000000000000001E-3</v>
      </c>
      <c r="AR48" s="598">
        <v>5.0000000000000001E-3</v>
      </c>
      <c r="AS48" s="286">
        <f>AS46/AS53</f>
        <v>2.0803325322589925E-2</v>
      </c>
    </row>
    <row r="49" spans="1:269" outlineLevel="1">
      <c r="A49" s="58" t="s">
        <v>545</v>
      </c>
      <c r="E49" s="604">
        <v>12000</v>
      </c>
      <c r="F49" s="594">
        <v>12000</v>
      </c>
      <c r="G49" s="594">
        <v>12000</v>
      </c>
      <c r="H49" s="594">
        <v>12000</v>
      </c>
      <c r="I49" s="594">
        <v>12000</v>
      </c>
      <c r="J49" s="62">
        <f>J50*1000000/J46</f>
        <v>12000</v>
      </c>
      <c r="K49" s="594">
        <v>12000</v>
      </c>
      <c r="L49" s="594">
        <v>12000</v>
      </c>
      <c r="M49" s="594">
        <v>12000</v>
      </c>
      <c r="N49" s="594">
        <v>12000</v>
      </c>
      <c r="O49" s="62">
        <f>O50*1000000/O46</f>
        <v>12000.000000000002</v>
      </c>
      <c r="P49" s="594">
        <v>12000</v>
      </c>
      <c r="Q49" s="594">
        <v>12000</v>
      </c>
      <c r="R49" s="594">
        <v>12000</v>
      </c>
      <c r="S49" s="594">
        <v>12000</v>
      </c>
      <c r="T49" s="62">
        <f>T50*1000000/T46</f>
        <v>11999.999999999998</v>
      </c>
      <c r="U49" s="594">
        <v>12000</v>
      </c>
      <c r="V49" s="594">
        <v>12000</v>
      </c>
      <c r="W49" s="594">
        <v>12000</v>
      </c>
      <c r="X49" s="594">
        <v>12000</v>
      </c>
      <c r="Y49" s="62">
        <f>Y50*1000000/Y46</f>
        <v>12000</v>
      </c>
      <c r="Z49" s="594">
        <v>12000</v>
      </c>
      <c r="AA49" s="19">
        <f>AA50*1000000/AA46</f>
        <v>26789.838337182449</v>
      </c>
      <c r="AB49" s="594">
        <v>12000</v>
      </c>
      <c r="AC49" s="594"/>
      <c r="AD49" s="76">
        <f>AD50*1000000/AD46</f>
        <v>18863.879957127545</v>
      </c>
      <c r="AE49" s="594"/>
      <c r="AF49" s="594"/>
      <c r="AG49" s="594"/>
      <c r="AH49" s="594">
        <v>10000</v>
      </c>
      <c r="AI49" s="76">
        <f>AI50*1000000/AI46</f>
        <v>10000</v>
      </c>
      <c r="AJ49" s="594">
        <v>11000</v>
      </c>
      <c r="AK49" s="594">
        <v>11000</v>
      </c>
      <c r="AL49" s="594">
        <v>11000</v>
      </c>
      <c r="AM49" s="594">
        <v>11000</v>
      </c>
      <c r="AN49" s="76">
        <f>AN50*1000000/AN46</f>
        <v>11000.000000000002</v>
      </c>
      <c r="AO49" s="594">
        <v>12000</v>
      </c>
      <c r="AP49" s="594">
        <v>12000</v>
      </c>
      <c r="AQ49" s="594">
        <v>12000</v>
      </c>
      <c r="AR49" s="594">
        <v>12000</v>
      </c>
      <c r="AS49" s="76">
        <f>AS50*1000000/AS46</f>
        <v>12000</v>
      </c>
    </row>
    <row r="50" spans="1:269" outlineLevel="1">
      <c r="A50" s="58" t="s">
        <v>557</v>
      </c>
      <c r="E50" s="610">
        <f>E49*E46/1000000</f>
        <v>0.67247999999999997</v>
      </c>
      <c r="F50" s="612">
        <f t="shared" ref="F50:I50" si="104">F49*F46/1000000</f>
        <v>0.36371999999999999</v>
      </c>
      <c r="G50" s="612">
        <f t="shared" si="104"/>
        <v>0.48864000000000002</v>
      </c>
      <c r="H50" s="612">
        <f t="shared" si="104"/>
        <v>0.46656000000000009</v>
      </c>
      <c r="I50" s="612">
        <f t="shared" si="104"/>
        <v>0.59855999999999998</v>
      </c>
      <c r="J50" s="610">
        <f>SUM(F50:I50)</f>
        <v>1.9174800000000001</v>
      </c>
      <c r="K50" s="612">
        <f t="shared" ref="K50:N50" si="105">K49*K46/1000000</f>
        <v>0.13446</v>
      </c>
      <c r="L50" s="612">
        <f t="shared" si="105"/>
        <v>6.7919999999999994E-2</v>
      </c>
      <c r="M50" s="612">
        <f t="shared" si="105"/>
        <v>0.14616000000000001</v>
      </c>
      <c r="N50" s="612">
        <f t="shared" si="105"/>
        <v>0.19320000000000004</v>
      </c>
      <c r="O50" s="610">
        <f>SUM(K50:N50)</f>
        <v>0.54174000000000011</v>
      </c>
      <c r="P50" s="612">
        <f t="shared" ref="P50:S50" si="106">P49*P46/1000000</f>
        <v>0.49010181818181819</v>
      </c>
      <c r="Q50" s="612">
        <f t="shared" si="106"/>
        <v>0.73615359999999996</v>
      </c>
      <c r="R50" s="612">
        <f t="shared" si="106"/>
        <v>0.73903659574468084</v>
      </c>
      <c r="S50" s="612">
        <f t="shared" si="106"/>
        <v>0.9270598886424336</v>
      </c>
      <c r="T50" s="610">
        <f>SUM(P50:S50)</f>
        <v>2.8923519025689326</v>
      </c>
      <c r="U50" s="612">
        <f t="shared" ref="U50:W50" si="107">U49*U46/1000000</f>
        <v>3.0960000000000001</v>
      </c>
      <c r="V50" s="612">
        <f t="shared" si="107"/>
        <v>14.436</v>
      </c>
      <c r="W50" s="612">
        <f t="shared" si="107"/>
        <v>0.76800000000000002</v>
      </c>
      <c r="X50" s="612">
        <f>X49*X46/1000000</f>
        <v>3.2160000000000002</v>
      </c>
      <c r="Y50" s="610">
        <f>SUM(U50:X50)</f>
        <v>21.516000000000002</v>
      </c>
      <c r="Z50" s="612">
        <f>Z49*Z46/1000000</f>
        <v>1.6559999999999999</v>
      </c>
      <c r="AA50" s="609">
        <v>11.6</v>
      </c>
      <c r="AB50" s="612">
        <f>AB49*AB46/1000000</f>
        <v>4.3440000000000003</v>
      </c>
      <c r="AC50" s="612"/>
      <c r="AD50" s="616">
        <f>SUM(Z50:AC50)</f>
        <v>17.600000000000001</v>
      </c>
      <c r="AE50" s="612"/>
      <c r="AF50" s="612"/>
      <c r="AG50" s="612"/>
      <c r="AH50" s="612">
        <f t="shared" ref="AG50:AH50" si="108">AH46*AH49/1000000</f>
        <v>1.5257974999999999</v>
      </c>
      <c r="AI50" s="616">
        <f>SUM(AE50:AH50)</f>
        <v>1.5257974999999999</v>
      </c>
      <c r="AJ50" s="612">
        <f t="shared" ref="AJ50:AM50" si="109">AJ46*AJ49/1000000</f>
        <v>1.710968842</v>
      </c>
      <c r="AK50" s="612">
        <f t="shared" si="109"/>
        <v>1.7473714984000002</v>
      </c>
      <c r="AL50" s="612">
        <f t="shared" si="109"/>
        <v>1.7952631048000001</v>
      </c>
      <c r="AM50" s="612">
        <f t="shared" si="109"/>
        <v>1.8460714887999996</v>
      </c>
      <c r="AN50" s="616">
        <f>SUM(AJ50:AM50)</f>
        <v>7.0996749340000003</v>
      </c>
      <c r="AO50" s="612">
        <f t="shared" ref="AO50:AR50" si="110">AO46*AO49/1000000</f>
        <v>2.0672278655999996</v>
      </c>
      <c r="AP50" s="612">
        <f t="shared" si="110"/>
        <v>2.1188534510399997</v>
      </c>
      <c r="AQ50" s="612">
        <f t="shared" si="110"/>
        <v>2.1789356481599995</v>
      </c>
      <c r="AR50" s="612">
        <f t="shared" si="110"/>
        <v>2.2360257959999998</v>
      </c>
      <c r="AS50" s="616">
        <f>SUM(AO50:AR50)</f>
        <v>8.6010427607999986</v>
      </c>
    </row>
    <row r="51" spans="1:269" s="81" customFormat="1">
      <c r="A51" s="91"/>
      <c r="C51" s="417"/>
      <c r="D51" s="417"/>
      <c r="E51" s="417"/>
      <c r="F51" s="414"/>
      <c r="G51" s="560"/>
      <c r="H51" s="414"/>
      <c r="I51" s="414"/>
      <c r="J51" s="417"/>
      <c r="K51" s="414"/>
      <c r="L51" s="560"/>
      <c r="M51" s="414"/>
      <c r="N51" s="414"/>
      <c r="O51" s="417"/>
      <c r="P51" s="414"/>
      <c r="Q51" s="414"/>
      <c r="R51" s="414"/>
      <c r="S51" s="561"/>
      <c r="T51" s="559"/>
      <c r="U51" s="561"/>
      <c r="V51" s="561"/>
      <c r="W51" s="561"/>
      <c r="X51" s="561"/>
      <c r="Y51" s="559"/>
      <c r="Z51" s="561"/>
      <c r="AA51" s="414"/>
      <c r="AB51" s="359"/>
      <c r="AC51" s="605"/>
      <c r="AD51" s="606"/>
      <c r="AE51" s="605"/>
      <c r="AF51" s="605"/>
      <c r="AG51" s="605"/>
      <c r="AH51" s="605"/>
      <c r="AI51" s="606"/>
      <c r="AJ51" s="605"/>
      <c r="AK51" s="605"/>
      <c r="AL51" s="605"/>
      <c r="AM51" s="605"/>
      <c r="AN51" s="606"/>
      <c r="AO51" s="605"/>
      <c r="AP51" s="605"/>
      <c r="AQ51" s="605"/>
      <c r="AR51" s="605"/>
      <c r="AS51" s="606"/>
      <c r="AT51" s="456"/>
      <c r="AU51" s="508"/>
    </row>
    <row r="52" spans="1:269" ht="15" thickBot="1">
      <c r="A52" s="60" t="s">
        <v>551</v>
      </c>
      <c r="B52" s="60"/>
      <c r="C52" s="786"/>
      <c r="D52" s="786"/>
      <c r="E52" s="786"/>
      <c r="F52" s="60"/>
      <c r="G52" s="60"/>
      <c r="H52" s="60"/>
      <c r="I52" s="60"/>
      <c r="J52" s="786"/>
      <c r="K52" s="60"/>
      <c r="L52" s="60"/>
      <c r="M52" s="60"/>
      <c r="N52" s="60"/>
      <c r="O52" s="786"/>
      <c r="P52" s="60"/>
      <c r="Q52" s="60"/>
      <c r="R52" s="60"/>
      <c r="S52" s="60"/>
      <c r="T52" s="786"/>
      <c r="U52" s="60"/>
      <c r="V52" s="60"/>
      <c r="W52" s="60"/>
      <c r="X52" s="60"/>
      <c r="Y52" s="786"/>
      <c r="Z52" s="60"/>
      <c r="AA52" s="60"/>
      <c r="AB52" s="60"/>
      <c r="AC52" s="60"/>
      <c r="AD52" s="797"/>
      <c r="AE52" s="60"/>
      <c r="AF52" s="60"/>
      <c r="AG52" s="60"/>
      <c r="AH52" s="60"/>
      <c r="AI52" s="797"/>
      <c r="AJ52" s="60"/>
      <c r="AK52" s="60"/>
      <c r="AL52" s="60"/>
      <c r="AM52" s="60"/>
      <c r="AN52" s="797"/>
      <c r="AO52" s="60"/>
      <c r="AP52" s="60"/>
      <c r="AQ52" s="60"/>
      <c r="AR52" s="60"/>
      <c r="AS52" s="797"/>
    </row>
    <row r="53" spans="1:269" s="81" customFormat="1" ht="15" thickTop="1">
      <c r="A53" s="613" t="s">
        <v>540</v>
      </c>
      <c r="B53" s="438"/>
      <c r="C53" s="614"/>
      <c r="D53" s="614"/>
      <c r="E53" s="667">
        <v>8125</v>
      </c>
      <c r="F53" s="439">
        <f>E57</f>
        <v>10524</v>
      </c>
      <c r="G53" s="439">
        <f t="shared" ref="G53:AB53" si="111">F57</f>
        <v>11218</v>
      </c>
      <c r="H53" s="439">
        <f t="shared" si="111"/>
        <v>12052</v>
      </c>
      <c r="I53" s="439">
        <f t="shared" si="111"/>
        <v>12829</v>
      </c>
      <c r="J53" s="553">
        <f>E57</f>
        <v>10524</v>
      </c>
      <c r="K53" s="439">
        <f t="shared" si="111"/>
        <v>13872</v>
      </c>
      <c r="L53" s="439">
        <f t="shared" si="111"/>
        <v>14421</v>
      </c>
      <c r="M53" s="439">
        <f t="shared" si="111"/>
        <v>14495</v>
      </c>
      <c r="N53" s="439">
        <f t="shared" si="111"/>
        <v>15124</v>
      </c>
      <c r="O53" s="553">
        <f>J57</f>
        <v>13872</v>
      </c>
      <c r="P53" s="439">
        <f t="shared" si="111"/>
        <v>15672</v>
      </c>
      <c r="Q53" s="439">
        <f t="shared" si="111"/>
        <v>16507.067272727272</v>
      </c>
      <c r="R53" s="439">
        <f t="shared" si="111"/>
        <v>17667.139476751767</v>
      </c>
      <c r="S53" s="439">
        <f t="shared" si="111"/>
        <v>18748.278447770896</v>
      </c>
      <c r="T53" s="553">
        <f>O57</f>
        <v>15672</v>
      </c>
      <c r="U53" s="439">
        <f t="shared" si="111"/>
        <v>20284.705783828987</v>
      </c>
      <c r="V53" s="439">
        <f t="shared" si="111"/>
        <v>21719</v>
      </c>
      <c r="W53" s="439">
        <f t="shared" si="111"/>
        <v>22929</v>
      </c>
      <c r="X53" s="439">
        <f t="shared" si="111"/>
        <v>24473</v>
      </c>
      <c r="Y53" s="553">
        <f>T57</f>
        <v>20284.705783828987</v>
      </c>
      <c r="Z53" s="439">
        <f t="shared" si="111"/>
        <v>25336</v>
      </c>
      <c r="AA53" s="439">
        <f t="shared" si="111"/>
        <v>27406</v>
      </c>
      <c r="AB53" s="439">
        <f t="shared" si="111"/>
        <v>29682</v>
      </c>
      <c r="AC53" s="821">
        <f>AB97</f>
        <v>24515.949999999997</v>
      </c>
      <c r="AD53" s="441">
        <f>Y53</f>
        <v>20284.705783828987</v>
      </c>
      <c r="AE53" s="439">
        <f>AD57</f>
        <v>26240.949999999997</v>
      </c>
      <c r="AF53" s="439">
        <f t="shared" ref="AF53:AH53" si="112">AE57</f>
        <v>27965.949999999997</v>
      </c>
      <c r="AG53" s="439">
        <f t="shared" si="112"/>
        <v>29790.949999999997</v>
      </c>
      <c r="AH53" s="439">
        <f t="shared" si="112"/>
        <v>30515.949999999997</v>
      </c>
      <c r="AI53" s="441">
        <f>AD57</f>
        <v>26240.949999999997</v>
      </c>
      <c r="AJ53" s="439">
        <f t="shared" ref="AJ53:AM53" si="113">AI57</f>
        <v>31108.524399999998</v>
      </c>
      <c r="AK53" s="439">
        <f t="shared" si="113"/>
        <v>31770.390879999999</v>
      </c>
      <c r="AL53" s="439">
        <f t="shared" si="113"/>
        <v>32641.147359999999</v>
      </c>
      <c r="AM53" s="439">
        <f t="shared" si="113"/>
        <v>33564.936159999997</v>
      </c>
      <c r="AN53" s="441">
        <f>AI57</f>
        <v>31108.524399999998</v>
      </c>
      <c r="AO53" s="439">
        <f t="shared" ref="AO53:AR53" si="114">AN57</f>
        <v>34453.797759999994</v>
      </c>
      <c r="AP53" s="439">
        <f t="shared" si="114"/>
        <v>35314.224183999992</v>
      </c>
      <c r="AQ53" s="439">
        <f t="shared" si="114"/>
        <v>36315.594135999992</v>
      </c>
      <c r="AR53" s="439">
        <f t="shared" si="114"/>
        <v>37267.09659999999</v>
      </c>
      <c r="AS53" s="441">
        <f>AN57</f>
        <v>34453.797759999994</v>
      </c>
      <c r="AT53" s="615"/>
      <c r="AU53" s="505"/>
      <c r="AV53" s="438"/>
      <c r="AW53" s="438"/>
      <c r="AX53" s="438"/>
      <c r="AY53" s="438"/>
      <c r="AZ53" s="438"/>
      <c r="BA53" s="438"/>
      <c r="BB53" s="438"/>
      <c r="BC53" s="438"/>
      <c r="BD53" s="438"/>
      <c r="BE53" s="438"/>
      <c r="BF53" s="438"/>
      <c r="BG53" s="438"/>
      <c r="BH53" s="438"/>
      <c r="BI53" s="438"/>
      <c r="BJ53" s="438"/>
      <c r="BK53" s="438"/>
      <c r="BL53" s="438"/>
      <c r="BM53" s="438"/>
      <c r="BN53" s="438"/>
      <c r="BO53" s="438"/>
      <c r="BP53" s="438"/>
      <c r="BQ53" s="438"/>
      <c r="BR53" s="438"/>
      <c r="BS53" s="438"/>
      <c r="BT53" s="438"/>
      <c r="BU53" s="438"/>
      <c r="BV53" s="438"/>
      <c r="BW53" s="438"/>
      <c r="BX53" s="438"/>
      <c r="BY53" s="438"/>
      <c r="BZ53" s="438"/>
      <c r="CA53" s="438"/>
      <c r="CB53" s="438"/>
      <c r="CC53" s="438"/>
      <c r="CD53" s="438"/>
      <c r="CE53" s="438"/>
      <c r="CF53" s="438"/>
      <c r="CG53" s="438"/>
      <c r="CH53" s="438"/>
      <c r="CI53" s="438"/>
      <c r="CJ53" s="438"/>
      <c r="CK53" s="438"/>
      <c r="CL53" s="438"/>
      <c r="CM53" s="438"/>
      <c r="CN53" s="438"/>
      <c r="CO53" s="438"/>
      <c r="CP53" s="438"/>
      <c r="CQ53" s="438"/>
      <c r="CR53" s="438"/>
      <c r="CS53" s="438"/>
      <c r="CT53" s="438"/>
      <c r="CU53" s="438"/>
      <c r="CV53" s="438"/>
      <c r="CW53" s="438"/>
      <c r="CX53" s="438"/>
      <c r="CY53" s="438"/>
      <c r="CZ53" s="438"/>
      <c r="DA53" s="438"/>
      <c r="DB53" s="438"/>
      <c r="DC53" s="438"/>
      <c r="DD53" s="438"/>
      <c r="DE53" s="438"/>
      <c r="DF53" s="438"/>
      <c r="DG53" s="438"/>
      <c r="DH53" s="438"/>
      <c r="DI53" s="438"/>
      <c r="DJ53" s="438"/>
      <c r="DK53" s="438"/>
      <c r="DL53" s="438"/>
      <c r="DM53" s="438"/>
      <c r="DN53" s="438"/>
      <c r="DO53" s="438"/>
      <c r="DP53" s="438"/>
      <c r="DQ53" s="438"/>
      <c r="DR53" s="438"/>
      <c r="DS53" s="438"/>
      <c r="DT53" s="438"/>
      <c r="DU53" s="438"/>
      <c r="DV53" s="438"/>
      <c r="DW53" s="438"/>
      <c r="DX53" s="438"/>
      <c r="DY53" s="438"/>
      <c r="DZ53" s="438"/>
      <c r="EA53" s="438"/>
      <c r="EB53" s="438"/>
      <c r="EC53" s="438"/>
      <c r="ED53" s="438"/>
      <c r="EE53" s="438"/>
      <c r="EF53" s="438"/>
      <c r="EG53" s="438"/>
      <c r="EH53" s="438"/>
      <c r="EI53" s="438"/>
      <c r="EJ53" s="438"/>
      <c r="EK53" s="438"/>
      <c r="EL53" s="438"/>
      <c r="EM53" s="438"/>
      <c r="EN53" s="438"/>
      <c r="EO53" s="438"/>
      <c r="EP53" s="438"/>
      <c r="EQ53" s="438"/>
      <c r="ER53" s="438"/>
      <c r="ES53" s="438"/>
      <c r="ET53" s="438"/>
      <c r="EU53" s="438"/>
      <c r="EV53" s="438"/>
      <c r="EW53" s="438"/>
      <c r="EX53" s="438"/>
      <c r="EY53" s="438"/>
      <c r="EZ53" s="438"/>
      <c r="FA53" s="438"/>
      <c r="FB53" s="438"/>
      <c r="FC53" s="438"/>
      <c r="FD53" s="438"/>
      <c r="FE53" s="438"/>
      <c r="FF53" s="438"/>
      <c r="FG53" s="438"/>
      <c r="FH53" s="438"/>
      <c r="FI53" s="438"/>
      <c r="FJ53" s="438"/>
      <c r="FK53" s="438"/>
      <c r="FL53" s="438"/>
      <c r="FM53" s="438"/>
      <c r="FN53" s="438"/>
      <c r="FO53" s="438"/>
      <c r="FP53" s="438"/>
      <c r="FQ53" s="438"/>
      <c r="FR53" s="438"/>
      <c r="FS53" s="438"/>
      <c r="FT53" s="438"/>
      <c r="FU53" s="438"/>
      <c r="FV53" s="438"/>
      <c r="FW53" s="438"/>
      <c r="FX53" s="438"/>
      <c r="FY53" s="438"/>
      <c r="FZ53" s="438"/>
      <c r="GA53" s="438"/>
      <c r="GB53" s="438"/>
      <c r="GC53" s="438"/>
      <c r="GD53" s="438"/>
      <c r="GE53" s="438"/>
      <c r="GF53" s="438"/>
      <c r="GG53" s="438"/>
      <c r="GH53" s="438"/>
      <c r="GI53" s="438"/>
      <c r="GJ53" s="438"/>
      <c r="GK53" s="438"/>
      <c r="GL53" s="438"/>
      <c r="GM53" s="438"/>
      <c r="GN53" s="438"/>
      <c r="GO53" s="438"/>
      <c r="GP53" s="438"/>
      <c r="GQ53" s="438"/>
      <c r="GR53" s="438"/>
      <c r="GS53" s="438"/>
      <c r="GT53" s="438"/>
      <c r="GU53" s="438"/>
      <c r="GV53" s="438"/>
      <c r="GW53" s="438"/>
      <c r="GX53" s="438"/>
      <c r="GY53" s="438"/>
      <c r="GZ53" s="438"/>
      <c r="HA53" s="438"/>
      <c r="HB53" s="438"/>
      <c r="HC53" s="438"/>
      <c r="HD53" s="438"/>
      <c r="HE53" s="438"/>
      <c r="HF53" s="438"/>
      <c r="HG53" s="438"/>
      <c r="HH53" s="438"/>
      <c r="HI53" s="438"/>
      <c r="HJ53" s="438"/>
      <c r="HK53" s="438"/>
      <c r="HL53" s="438"/>
      <c r="HM53" s="438"/>
      <c r="HN53" s="438"/>
      <c r="HO53" s="438"/>
      <c r="HP53" s="438"/>
      <c r="HQ53" s="438"/>
      <c r="HR53" s="438"/>
      <c r="HS53" s="438"/>
      <c r="HT53" s="438"/>
      <c r="HU53" s="438"/>
      <c r="HV53" s="438"/>
      <c r="HW53" s="438"/>
      <c r="HX53" s="438"/>
      <c r="HY53" s="438"/>
      <c r="HZ53" s="438"/>
      <c r="IA53" s="438"/>
      <c r="IB53" s="438"/>
      <c r="IC53" s="438"/>
      <c r="ID53" s="438"/>
      <c r="IE53" s="438"/>
      <c r="IF53" s="438"/>
      <c r="IG53" s="438"/>
      <c r="IH53" s="438"/>
      <c r="II53" s="438"/>
      <c r="IJ53" s="438"/>
      <c r="IK53" s="438"/>
      <c r="IL53" s="438"/>
      <c r="IM53" s="438"/>
      <c r="IN53" s="438"/>
      <c r="IO53" s="438"/>
      <c r="IP53" s="438"/>
      <c r="IQ53" s="438"/>
      <c r="IR53" s="438"/>
      <c r="IS53" s="438"/>
      <c r="IT53" s="438"/>
      <c r="IU53" s="438"/>
      <c r="IV53" s="438"/>
      <c r="IW53" s="438"/>
      <c r="IX53" s="438"/>
      <c r="IY53" s="438"/>
      <c r="IZ53" s="438"/>
      <c r="JA53" s="438"/>
      <c r="JB53" s="438"/>
      <c r="JC53" s="438"/>
      <c r="JD53" s="438"/>
      <c r="JE53" s="438"/>
      <c r="JF53" s="438"/>
      <c r="JG53" s="438"/>
      <c r="JH53" s="438"/>
      <c r="JI53" s="438"/>
    </row>
    <row r="54" spans="1:269">
      <c r="A54" s="59" t="s">
        <v>548</v>
      </c>
      <c r="E54" s="62">
        <f>E21-E46</f>
        <v>2745.96</v>
      </c>
      <c r="F54" s="19">
        <f>F21-F46</f>
        <v>835.69</v>
      </c>
      <c r="G54" s="19">
        <f>G21-G46</f>
        <v>977.28</v>
      </c>
      <c r="H54" s="19">
        <f>H21-H46</f>
        <v>933.12</v>
      </c>
      <c r="I54" s="19">
        <f>I21-I46</f>
        <v>1197.1199999999999</v>
      </c>
      <c r="J54" s="62">
        <f>J21-J46</f>
        <v>3943.21</v>
      </c>
      <c r="K54" s="19">
        <f>K21-K46</f>
        <v>735.79499999999996</v>
      </c>
      <c r="L54" s="19">
        <f>L21-L46</f>
        <v>277.33999999999997</v>
      </c>
      <c r="M54" s="19">
        <f>M21-M46</f>
        <v>799.82</v>
      </c>
      <c r="N54" s="19">
        <f>N21-N46</f>
        <v>788.9</v>
      </c>
      <c r="O54" s="62">
        <f>O21-O46</f>
        <v>2601.855</v>
      </c>
      <c r="P54" s="19">
        <f>P21-P46</f>
        <v>1126.0672727272727</v>
      </c>
      <c r="Q54" s="19">
        <f>Q21-Q46</f>
        <v>1491.7205333333334</v>
      </c>
      <c r="R54" s="19">
        <f>R21-R46</f>
        <v>1478.0731914893618</v>
      </c>
      <c r="S54" s="19">
        <f>S21-S46</f>
        <v>1854.119777284867</v>
      </c>
      <c r="T54" s="62">
        <f>T21-T46</f>
        <v>5949.9807748348358</v>
      </c>
      <c r="U54" s="19">
        <f>U21-U46</f>
        <v>1569</v>
      </c>
      <c r="V54" s="19">
        <f>V21-V46</f>
        <v>1535</v>
      </c>
      <c r="W54" s="19">
        <f>W21-W46</f>
        <v>1796</v>
      </c>
      <c r="X54" s="19">
        <f>X21-X46</f>
        <v>1799</v>
      </c>
      <c r="Y54" s="62">
        <f>Y21-Y46</f>
        <v>6699</v>
      </c>
      <c r="Z54" s="19">
        <f>Z21-Z46</f>
        <v>1636</v>
      </c>
      <c r="AA54" s="19">
        <f>AA21-AA46</f>
        <v>2389</v>
      </c>
      <c r="AB54" s="19">
        <f>AB21-AB46</f>
        <v>1778</v>
      </c>
      <c r="AC54" s="19">
        <f>AC21-AC46</f>
        <v>300</v>
      </c>
      <c r="AD54" s="76">
        <f>SUM(Z54:AC54)</f>
        <v>6103</v>
      </c>
      <c r="AE54" s="19">
        <f>AE21-AE46</f>
        <v>300</v>
      </c>
      <c r="AF54" s="19">
        <f t="shared" ref="AF54:AG54" si="115">AF21-AF46</f>
        <v>400</v>
      </c>
      <c r="AG54" s="19">
        <f t="shared" si="115"/>
        <v>500</v>
      </c>
      <c r="AH54" s="19">
        <f>AH21-AH46</f>
        <v>598.55999999999995</v>
      </c>
      <c r="AI54" s="76">
        <f>SUM(AE54:AH54)</f>
        <v>1798.56</v>
      </c>
      <c r="AJ54" s="19">
        <f t="shared" ref="AJ54:AM54" si="116">AJ21-AJ46</f>
        <v>668.55200000000013</v>
      </c>
      <c r="AK54" s="19">
        <f t="shared" si="116"/>
        <v>879.55199999999991</v>
      </c>
      <c r="AL54" s="19">
        <f t="shared" si="116"/>
        <v>933.11999999999989</v>
      </c>
      <c r="AM54" s="19">
        <f t="shared" si="116"/>
        <v>897.8399999999998</v>
      </c>
      <c r="AN54" s="76">
        <f>SUM(AJ54:AM54)</f>
        <v>3379.0639999999999</v>
      </c>
      <c r="AO54" s="19">
        <f t="shared" ref="AO54:AR54" si="117">AO21-AO46</f>
        <v>869.11760000000004</v>
      </c>
      <c r="AP54" s="19">
        <f t="shared" si="117"/>
        <v>1011.4847999999998</v>
      </c>
      <c r="AQ54" s="19">
        <f t="shared" si="117"/>
        <v>961.11360000000013</v>
      </c>
      <c r="AR54" s="19">
        <f t="shared" si="117"/>
        <v>1203.1055999999999</v>
      </c>
      <c r="AS54" s="76">
        <f>SUM(AO54:AR54)</f>
        <v>4044.8215999999998</v>
      </c>
    </row>
    <row r="55" spans="1:269">
      <c r="A55" s="59" t="s">
        <v>776</v>
      </c>
      <c r="E55" s="62">
        <f>E57-E53-E54</f>
        <v>-346.96000000000004</v>
      </c>
      <c r="F55" s="19">
        <f t="shared" ref="F55:AA55" si="118">F57-F53-F54</f>
        <v>-141.69000000000005</v>
      </c>
      <c r="G55" s="19">
        <f t="shared" si="118"/>
        <v>-143.27999999999997</v>
      </c>
      <c r="H55" s="19">
        <f t="shared" si="118"/>
        <v>-156.12</v>
      </c>
      <c r="I55" s="19">
        <f t="shared" si="118"/>
        <v>-154.11999999999989</v>
      </c>
      <c r="J55" s="62">
        <f t="shared" si="118"/>
        <v>-595.21</v>
      </c>
      <c r="K55" s="19">
        <f t="shared" si="118"/>
        <v>-186.79499999999996</v>
      </c>
      <c r="L55" s="19">
        <f t="shared" si="118"/>
        <v>-203.33999999999997</v>
      </c>
      <c r="M55" s="19">
        <f t="shared" si="118"/>
        <v>-170.82000000000005</v>
      </c>
      <c r="N55" s="19">
        <f t="shared" si="118"/>
        <v>-240.89999999999998</v>
      </c>
      <c r="O55" s="62">
        <f>O57-O53-O54</f>
        <v>-801.85500000000002</v>
      </c>
      <c r="P55" s="19">
        <f t="shared" si="118"/>
        <v>-291.00000000000045</v>
      </c>
      <c r="Q55" s="19">
        <f t="shared" si="118"/>
        <v>-331.64832930883881</v>
      </c>
      <c r="R55" s="19">
        <f t="shared" si="118"/>
        <v>-396.93422047023296</v>
      </c>
      <c r="S55" s="19">
        <f t="shared" si="118"/>
        <v>-317.69244122677514</v>
      </c>
      <c r="T55" s="62">
        <f t="shared" si="118"/>
        <v>-1337.2749910058483</v>
      </c>
      <c r="U55" s="19">
        <f t="shared" si="118"/>
        <v>-134.70578382898748</v>
      </c>
      <c r="V55" s="19">
        <f t="shared" si="118"/>
        <v>-325</v>
      </c>
      <c r="W55" s="19">
        <f t="shared" si="118"/>
        <v>-252</v>
      </c>
      <c r="X55" s="19">
        <f t="shared" si="118"/>
        <v>-936</v>
      </c>
      <c r="Y55" s="62">
        <f t="shared" si="118"/>
        <v>-1647.7057838289875</v>
      </c>
      <c r="Z55" s="19">
        <f t="shared" si="118"/>
        <v>434</v>
      </c>
      <c r="AA55" s="19">
        <f t="shared" si="118"/>
        <v>-113</v>
      </c>
      <c r="AB55" s="19">
        <f>AB57-AB53-AB54</f>
        <v>-6944.0500000000029</v>
      </c>
      <c r="AC55" s="19">
        <f>AC89</f>
        <v>1425</v>
      </c>
      <c r="AD55" s="76">
        <f>SUM(Z55:AC55)</f>
        <v>-5198.0500000000029</v>
      </c>
      <c r="AE55" s="19">
        <f t="shared" ref="AE55:AG55" si="119">AE89</f>
        <v>1425</v>
      </c>
      <c r="AF55" s="19">
        <f t="shared" si="119"/>
        <v>1425</v>
      </c>
      <c r="AG55" s="19">
        <f t="shared" si="119"/>
        <v>225</v>
      </c>
      <c r="AH55" s="19">
        <f t="shared" ref="AH55" si="120">AH54*AH56</f>
        <v>-5.9855999999999998</v>
      </c>
      <c r="AI55" s="76">
        <f>SUM(AE55:AH55)</f>
        <v>3069.0144</v>
      </c>
      <c r="AJ55" s="19">
        <f t="shared" ref="AJ55:AM55" si="121">AJ54*AJ56</f>
        <v>-6.6855200000000012</v>
      </c>
      <c r="AK55" s="19">
        <f t="shared" si="121"/>
        <v>-8.7955199999999998</v>
      </c>
      <c r="AL55" s="19">
        <f t="shared" si="121"/>
        <v>-9.3311999999999991</v>
      </c>
      <c r="AM55" s="19">
        <f t="shared" si="121"/>
        <v>-8.9783999999999988</v>
      </c>
      <c r="AN55" s="76">
        <f>SUM(AJ55:AM55)</f>
        <v>-33.790639999999996</v>
      </c>
      <c r="AO55" s="19">
        <f t="shared" ref="AO55:AR55" si="122">AO54*AO56</f>
        <v>-8.6911760000000005</v>
      </c>
      <c r="AP55" s="19">
        <f t="shared" si="122"/>
        <v>-10.114847999999999</v>
      </c>
      <c r="AQ55" s="19">
        <f t="shared" si="122"/>
        <v>-9.6111360000000019</v>
      </c>
      <c r="AR55" s="19">
        <f t="shared" si="122"/>
        <v>-12.031056</v>
      </c>
      <c r="AS55" s="76">
        <f>SUM(AO55:AR55)</f>
        <v>-40.448216000000002</v>
      </c>
    </row>
    <row r="56" spans="1:269">
      <c r="A56" s="437" t="s">
        <v>559</v>
      </c>
      <c r="E56" s="551">
        <f>E55/E53</f>
        <v>-4.2702769230769239E-2</v>
      </c>
      <c r="F56" s="75">
        <f t="shared" ref="F56:AG56" si="123">F55/F53</f>
        <v>-1.3463511972633985E-2</v>
      </c>
      <c r="G56" s="75">
        <f t="shared" si="123"/>
        <v>-1.2772330183633444E-2</v>
      </c>
      <c r="H56" s="75">
        <f t="shared" si="123"/>
        <v>-1.2953866578161301E-2</v>
      </c>
      <c r="I56" s="75">
        <f t="shared" si="123"/>
        <v>-1.2013407124483583E-2</v>
      </c>
      <c r="J56" s="551">
        <f t="shared" si="123"/>
        <v>-5.6557392626377809E-2</v>
      </c>
      <c r="K56" s="75">
        <f t="shared" si="123"/>
        <v>-1.3465614186851209E-2</v>
      </c>
      <c r="L56" s="75">
        <f t="shared" si="123"/>
        <v>-1.4100270438943206E-2</v>
      </c>
      <c r="M56" s="75">
        <f t="shared" si="123"/>
        <v>-1.1784753363228703E-2</v>
      </c>
      <c r="N56" s="75">
        <f t="shared" si="123"/>
        <v>-1.5928325839724939E-2</v>
      </c>
      <c r="O56" s="551">
        <f t="shared" si="123"/>
        <v>-5.7803849480968859E-2</v>
      </c>
      <c r="P56" s="75">
        <f t="shared" si="123"/>
        <v>-1.8568147013782572E-2</v>
      </c>
      <c r="Q56" s="75">
        <f t="shared" si="123"/>
        <v>-2.0091293252120151E-2</v>
      </c>
      <c r="R56" s="75">
        <f t="shared" si="123"/>
        <v>-2.246737345298936E-2</v>
      </c>
      <c r="S56" s="75">
        <f t="shared" si="123"/>
        <v>-1.6945152703583172E-2</v>
      </c>
      <c r="T56" s="551">
        <f t="shared" si="123"/>
        <v>-8.532893000292549E-2</v>
      </c>
      <c r="U56" s="75">
        <f t="shared" si="123"/>
        <v>-6.6407561078048877E-3</v>
      </c>
      <c r="V56" s="75">
        <f t="shared" si="123"/>
        <v>-1.4963856531147842E-2</v>
      </c>
      <c r="W56" s="75">
        <f t="shared" si="123"/>
        <v>-1.099044877665838E-2</v>
      </c>
      <c r="X56" s="75">
        <f t="shared" si="123"/>
        <v>-3.8246230539778533E-2</v>
      </c>
      <c r="Y56" s="551">
        <f t="shared" si="123"/>
        <v>-8.1228971294350361E-2</v>
      </c>
      <c r="Z56" s="75">
        <f t="shared" si="123"/>
        <v>1.7129775813072307E-2</v>
      </c>
      <c r="AA56" s="75">
        <f t="shared" si="123"/>
        <v>-4.1231847040793983E-3</v>
      </c>
      <c r="AB56" s="75">
        <f>AB55/AB53</f>
        <v>-0.2339481840846305</v>
      </c>
      <c r="AC56" s="75">
        <f>AC55/AC53</f>
        <v>5.8125424468560269E-2</v>
      </c>
      <c r="AD56" s="286">
        <f t="shared" si="123"/>
        <v>-0.25625464107760931</v>
      </c>
      <c r="AE56" s="75">
        <f t="shared" si="123"/>
        <v>5.4304436386639975E-2</v>
      </c>
      <c r="AF56" s="75">
        <f t="shared" si="123"/>
        <v>5.0954821845851837E-2</v>
      </c>
      <c r="AG56" s="75">
        <f t="shared" si="123"/>
        <v>7.5526292380739797E-3</v>
      </c>
      <c r="AH56" s="598">
        <v>-0.01</v>
      </c>
      <c r="AI56" s="286">
        <f t="shared" ref="AI56" si="124">AI55/AI53</f>
        <v>0.11695515596805757</v>
      </c>
      <c r="AJ56" s="598">
        <v>-0.01</v>
      </c>
      <c r="AK56" s="598">
        <v>-0.01</v>
      </c>
      <c r="AL56" s="598">
        <v>-0.01</v>
      </c>
      <c r="AM56" s="598">
        <v>-0.01</v>
      </c>
      <c r="AN56" s="286">
        <f t="shared" ref="AN56" si="125">AN55/AN53</f>
        <v>-1.0862180271077081E-3</v>
      </c>
      <c r="AO56" s="598">
        <v>-0.01</v>
      </c>
      <c r="AP56" s="598">
        <v>-0.01</v>
      </c>
      <c r="AQ56" s="598">
        <v>-0.01</v>
      </c>
      <c r="AR56" s="598">
        <v>-0.01</v>
      </c>
      <c r="AS56" s="286">
        <f t="shared" ref="AS56" si="126">AS55/AS53</f>
        <v>-1.173984252237046E-3</v>
      </c>
      <c r="AU56" s="505" t="s">
        <v>778</v>
      </c>
    </row>
    <row r="57" spans="1:269">
      <c r="A57" s="58" t="s">
        <v>541</v>
      </c>
      <c r="E57" s="61">
        <v>10524</v>
      </c>
      <c r="F57" s="66">
        <v>11218</v>
      </c>
      <c r="G57" s="66">
        <v>12052</v>
      </c>
      <c r="H57" s="66">
        <v>12829</v>
      </c>
      <c r="I57" s="66">
        <v>13872</v>
      </c>
      <c r="J57" s="61">
        <v>13872</v>
      </c>
      <c r="K57" s="66">
        <v>14421</v>
      </c>
      <c r="L57" s="66">
        <v>14495</v>
      </c>
      <c r="M57" s="66">
        <v>15124</v>
      </c>
      <c r="N57" s="66">
        <v>15672</v>
      </c>
      <c r="O57" s="61">
        <v>15672</v>
      </c>
      <c r="P57" s="66">
        <v>16507.067272727272</v>
      </c>
      <c r="Q57" s="66">
        <v>17667.139476751767</v>
      </c>
      <c r="R57" s="66">
        <v>18748.278447770896</v>
      </c>
      <c r="S57" s="66">
        <v>20284.705783828987</v>
      </c>
      <c r="T57" s="61">
        <v>20284.705783828987</v>
      </c>
      <c r="U57" s="66">
        <v>21719</v>
      </c>
      <c r="V57" s="66">
        <v>22929</v>
      </c>
      <c r="W57" s="66">
        <v>24473</v>
      </c>
      <c r="X57" s="66">
        <v>25336</v>
      </c>
      <c r="Y57" s="61">
        <v>25336</v>
      </c>
      <c r="Z57" s="66">
        <v>27406</v>
      </c>
      <c r="AA57" s="66">
        <v>29682</v>
      </c>
      <c r="AB57" s="594">
        <f>AB59</f>
        <v>24515.949999999997</v>
      </c>
      <c r="AC57" s="19">
        <f>AC53+AC54+AC55</f>
        <v>26240.949999999997</v>
      </c>
      <c r="AD57" s="76">
        <f>AC57</f>
        <v>26240.949999999997</v>
      </c>
      <c r="AE57" s="19">
        <f>AE53+AE54+AE55</f>
        <v>27965.949999999997</v>
      </c>
      <c r="AF57" s="19">
        <f t="shared" ref="AF57:AH57" si="127">AF53+AF54+AF55</f>
        <v>29790.949999999997</v>
      </c>
      <c r="AG57" s="19">
        <f t="shared" si="127"/>
        <v>30515.949999999997</v>
      </c>
      <c r="AH57" s="19">
        <f t="shared" si="127"/>
        <v>31108.524399999998</v>
      </c>
      <c r="AI57" s="76">
        <f>AH57</f>
        <v>31108.524399999998</v>
      </c>
      <c r="AJ57" s="19">
        <f t="shared" ref="AJ57:AM57" si="128">AJ53+AJ54+AJ55</f>
        <v>31770.390879999999</v>
      </c>
      <c r="AK57" s="19">
        <f t="shared" si="128"/>
        <v>32641.147359999999</v>
      </c>
      <c r="AL57" s="19">
        <f t="shared" si="128"/>
        <v>33564.936159999997</v>
      </c>
      <c r="AM57" s="19">
        <f t="shared" si="128"/>
        <v>34453.797759999994</v>
      </c>
      <c r="AN57" s="76">
        <f>AM57</f>
        <v>34453.797759999994</v>
      </c>
      <c r="AO57" s="19">
        <f t="shared" ref="AO57:AR57" si="129">AO53+AO54+AO55</f>
        <v>35314.224183999992</v>
      </c>
      <c r="AP57" s="19">
        <f t="shared" si="129"/>
        <v>36315.594135999992</v>
      </c>
      <c r="AQ57" s="19">
        <f t="shared" si="129"/>
        <v>37267.09659999999</v>
      </c>
      <c r="AR57" s="19">
        <f t="shared" si="129"/>
        <v>38458.171143999993</v>
      </c>
      <c r="AS57" s="76">
        <f>AR57</f>
        <v>38458.171143999993</v>
      </c>
    </row>
    <row r="58" spans="1:269">
      <c r="A58" s="58"/>
      <c r="E58" s="61"/>
      <c r="F58" s="66"/>
      <c r="G58" s="66"/>
      <c r="H58" s="66"/>
      <c r="I58" s="66"/>
      <c r="J58" s="61"/>
      <c r="K58" s="66"/>
      <c r="L58" s="66"/>
      <c r="M58" s="66"/>
      <c r="N58" s="66"/>
      <c r="O58" s="61"/>
      <c r="P58" s="66"/>
      <c r="Q58" s="66"/>
      <c r="R58" s="66"/>
      <c r="S58" s="66"/>
      <c r="T58" s="61"/>
      <c r="U58" s="66"/>
      <c r="V58" s="66"/>
      <c r="W58" s="66"/>
      <c r="X58" s="66"/>
      <c r="Y58" s="61"/>
      <c r="Z58" s="66"/>
      <c r="AA58" s="66"/>
      <c r="AB58" s="66"/>
    </row>
    <row r="59" spans="1:269" s="81" customFormat="1">
      <c r="A59" s="613" t="s">
        <v>542</v>
      </c>
      <c r="B59" s="438"/>
      <c r="C59" s="614"/>
      <c r="D59" s="614"/>
      <c r="E59" s="553">
        <f t="shared" ref="E59:AS59" si="130">AVERAGE(E53,E57)</f>
        <v>9324.5</v>
      </c>
      <c r="F59" s="439">
        <f t="shared" si="130"/>
        <v>10871</v>
      </c>
      <c r="G59" s="439">
        <f t="shared" si="130"/>
        <v>11635</v>
      </c>
      <c r="H59" s="439">
        <f t="shared" si="130"/>
        <v>12440.5</v>
      </c>
      <c r="I59" s="439">
        <f t="shared" si="130"/>
        <v>13350.5</v>
      </c>
      <c r="J59" s="553">
        <f t="shared" si="130"/>
        <v>12198</v>
      </c>
      <c r="K59" s="439">
        <f t="shared" si="130"/>
        <v>14146.5</v>
      </c>
      <c r="L59" s="439">
        <f t="shared" si="130"/>
        <v>14458</v>
      </c>
      <c r="M59" s="439">
        <f t="shared" si="130"/>
        <v>14809.5</v>
      </c>
      <c r="N59" s="439">
        <f t="shared" si="130"/>
        <v>15398</v>
      </c>
      <c r="O59" s="553">
        <f t="shared" si="130"/>
        <v>14772</v>
      </c>
      <c r="P59" s="439">
        <f t="shared" si="130"/>
        <v>16089.533636363636</v>
      </c>
      <c r="Q59" s="439">
        <f t="shared" si="130"/>
        <v>17087.103374739519</v>
      </c>
      <c r="R59" s="439">
        <f t="shared" si="130"/>
        <v>18207.708962261331</v>
      </c>
      <c r="S59" s="439">
        <f t="shared" si="130"/>
        <v>19516.492115799942</v>
      </c>
      <c r="T59" s="553">
        <f t="shared" si="130"/>
        <v>17978.352891914496</v>
      </c>
      <c r="U59" s="439">
        <f t="shared" si="130"/>
        <v>21001.852891914496</v>
      </c>
      <c r="V59" s="439">
        <f t="shared" si="130"/>
        <v>22324</v>
      </c>
      <c r="W59" s="439">
        <f t="shared" si="130"/>
        <v>23701</v>
      </c>
      <c r="X59" s="439">
        <f t="shared" si="130"/>
        <v>24904.5</v>
      </c>
      <c r="Y59" s="553">
        <f t="shared" si="130"/>
        <v>22810.352891914496</v>
      </c>
      <c r="Z59" s="439">
        <f t="shared" si="130"/>
        <v>26371</v>
      </c>
      <c r="AA59" s="439">
        <f t="shared" si="130"/>
        <v>28544</v>
      </c>
      <c r="AB59" s="800">
        <f>AB97</f>
        <v>24515.949999999997</v>
      </c>
      <c r="AC59" s="439">
        <f>AVERAGE(AC53,AC57)</f>
        <v>25378.449999999997</v>
      </c>
      <c r="AD59" s="802">
        <f t="shared" si="130"/>
        <v>23262.827891914494</v>
      </c>
      <c r="AE59" s="439">
        <f t="shared" si="130"/>
        <v>27103.449999999997</v>
      </c>
      <c r="AF59" s="439">
        <f t="shared" si="130"/>
        <v>28878.449999999997</v>
      </c>
      <c r="AG59" s="439">
        <f t="shared" si="130"/>
        <v>30153.449999999997</v>
      </c>
      <c r="AH59" s="439">
        <f t="shared" si="130"/>
        <v>30812.237199999996</v>
      </c>
      <c r="AI59" s="802">
        <f t="shared" si="130"/>
        <v>28674.737199999996</v>
      </c>
      <c r="AJ59" s="439">
        <f t="shared" si="130"/>
        <v>31439.457640000001</v>
      </c>
      <c r="AK59" s="439">
        <f t="shared" si="130"/>
        <v>32205.769119999997</v>
      </c>
      <c r="AL59" s="439">
        <f t="shared" si="130"/>
        <v>33103.04176</v>
      </c>
      <c r="AM59" s="439">
        <f t="shared" si="130"/>
        <v>34009.366959999999</v>
      </c>
      <c r="AN59" s="802">
        <f t="shared" si="130"/>
        <v>32781.161079999998</v>
      </c>
      <c r="AO59" s="439">
        <f t="shared" si="130"/>
        <v>34884.010971999989</v>
      </c>
      <c r="AP59" s="439">
        <f t="shared" si="130"/>
        <v>35814.909159999996</v>
      </c>
      <c r="AQ59" s="439">
        <f t="shared" si="130"/>
        <v>36791.345367999995</v>
      </c>
      <c r="AR59" s="439">
        <f t="shared" si="130"/>
        <v>37862.633871999991</v>
      </c>
      <c r="AS59" s="802">
        <f t="shared" si="130"/>
        <v>36455.98445199999</v>
      </c>
      <c r="AT59" s="615"/>
      <c r="AU59" s="505"/>
      <c r="AV59" s="438"/>
      <c r="AW59" s="438"/>
      <c r="AX59" s="438"/>
      <c r="AY59" s="438"/>
      <c r="AZ59" s="438"/>
      <c r="BA59" s="438"/>
      <c r="BB59" s="438"/>
      <c r="BC59" s="438"/>
      <c r="BD59" s="438"/>
      <c r="BE59" s="438"/>
      <c r="BF59" s="438"/>
      <c r="BG59" s="438"/>
      <c r="BH59" s="438"/>
      <c r="BI59" s="438"/>
      <c r="BJ59" s="438"/>
      <c r="BK59" s="438"/>
      <c r="BL59" s="438"/>
      <c r="BM59" s="438"/>
      <c r="BN59" s="438"/>
      <c r="BO59" s="438"/>
      <c r="BP59" s="438"/>
      <c r="BQ59" s="438"/>
      <c r="BR59" s="438"/>
      <c r="BS59" s="438"/>
      <c r="BT59" s="438"/>
      <c r="BU59" s="438"/>
      <c r="BV59" s="438"/>
      <c r="BW59" s="438"/>
      <c r="BX59" s="438"/>
      <c r="BY59" s="438"/>
      <c r="BZ59" s="438"/>
      <c r="CA59" s="438"/>
      <c r="CB59" s="438"/>
      <c r="CC59" s="438"/>
      <c r="CD59" s="438"/>
      <c r="CE59" s="438"/>
      <c r="CF59" s="438"/>
      <c r="CG59" s="438"/>
      <c r="CH59" s="438"/>
      <c r="CI59" s="438"/>
      <c r="CJ59" s="438"/>
      <c r="CK59" s="438"/>
      <c r="CL59" s="438"/>
      <c r="CM59" s="438"/>
      <c r="CN59" s="438"/>
      <c r="CO59" s="438"/>
      <c r="CP59" s="438"/>
      <c r="CQ59" s="438"/>
      <c r="CR59" s="438"/>
      <c r="CS59" s="438"/>
      <c r="CT59" s="438"/>
      <c r="CU59" s="438"/>
      <c r="CV59" s="438"/>
      <c r="CW59" s="438"/>
      <c r="CX59" s="438"/>
      <c r="CY59" s="438"/>
      <c r="CZ59" s="438"/>
      <c r="DA59" s="438"/>
      <c r="DB59" s="438"/>
      <c r="DC59" s="438"/>
      <c r="DD59" s="438"/>
      <c r="DE59" s="438"/>
      <c r="DF59" s="438"/>
      <c r="DG59" s="438"/>
      <c r="DH59" s="438"/>
      <c r="DI59" s="438"/>
      <c r="DJ59" s="438"/>
      <c r="DK59" s="438"/>
      <c r="DL59" s="438"/>
      <c r="DM59" s="438"/>
      <c r="DN59" s="438"/>
      <c r="DO59" s="438"/>
      <c r="DP59" s="438"/>
      <c r="DQ59" s="438"/>
      <c r="DR59" s="438"/>
      <c r="DS59" s="438"/>
      <c r="DT59" s="438"/>
      <c r="DU59" s="438"/>
      <c r="DV59" s="438"/>
      <c r="DW59" s="438"/>
      <c r="DX59" s="438"/>
      <c r="DY59" s="438"/>
      <c r="DZ59" s="438"/>
      <c r="EA59" s="438"/>
      <c r="EB59" s="438"/>
      <c r="EC59" s="438"/>
      <c r="ED59" s="438"/>
      <c r="EE59" s="438"/>
      <c r="EF59" s="438"/>
      <c r="EG59" s="438"/>
      <c r="EH59" s="438"/>
      <c r="EI59" s="438"/>
      <c r="EJ59" s="438"/>
      <c r="EK59" s="438"/>
      <c r="EL59" s="438"/>
      <c r="EM59" s="438"/>
      <c r="EN59" s="438"/>
      <c r="EO59" s="438"/>
      <c r="EP59" s="438"/>
      <c r="EQ59" s="438"/>
      <c r="ER59" s="438"/>
      <c r="ES59" s="438"/>
      <c r="ET59" s="438"/>
      <c r="EU59" s="438"/>
      <c r="EV59" s="438"/>
      <c r="EW59" s="438"/>
      <c r="EX59" s="438"/>
      <c r="EY59" s="438"/>
      <c r="EZ59" s="438"/>
      <c r="FA59" s="438"/>
      <c r="FB59" s="438"/>
      <c r="FC59" s="438"/>
      <c r="FD59" s="438"/>
      <c r="FE59" s="438"/>
      <c r="FF59" s="438"/>
      <c r="FG59" s="438"/>
      <c r="FH59" s="438"/>
      <c r="FI59" s="438"/>
      <c r="FJ59" s="438"/>
      <c r="FK59" s="438"/>
      <c r="FL59" s="438"/>
      <c r="FM59" s="438"/>
      <c r="FN59" s="438"/>
      <c r="FO59" s="438"/>
      <c r="FP59" s="438"/>
      <c r="FQ59" s="438"/>
      <c r="FR59" s="438"/>
      <c r="FS59" s="438"/>
      <c r="FT59" s="438"/>
      <c r="FU59" s="438"/>
      <c r="FV59" s="438"/>
      <c r="FW59" s="438"/>
      <c r="FX59" s="438"/>
      <c r="FY59" s="438"/>
      <c r="FZ59" s="438"/>
      <c r="GA59" s="438"/>
      <c r="GB59" s="438"/>
      <c r="GC59" s="438"/>
      <c r="GD59" s="438"/>
      <c r="GE59" s="438"/>
      <c r="GF59" s="438"/>
      <c r="GG59" s="438"/>
      <c r="GH59" s="438"/>
      <c r="GI59" s="438"/>
      <c r="GJ59" s="438"/>
      <c r="GK59" s="438"/>
      <c r="GL59" s="438"/>
      <c r="GM59" s="438"/>
      <c r="GN59" s="438"/>
      <c r="GO59" s="438"/>
      <c r="GP59" s="438"/>
      <c r="GQ59" s="438"/>
      <c r="GR59" s="438"/>
      <c r="GS59" s="438"/>
      <c r="GT59" s="438"/>
      <c r="GU59" s="438"/>
      <c r="GV59" s="438"/>
      <c r="GW59" s="438"/>
      <c r="GX59" s="438"/>
      <c r="GY59" s="438"/>
      <c r="GZ59" s="438"/>
      <c r="HA59" s="438"/>
      <c r="HB59" s="438"/>
      <c r="HC59" s="438"/>
      <c r="HD59" s="438"/>
      <c r="HE59" s="438"/>
      <c r="HF59" s="438"/>
      <c r="HG59" s="438"/>
      <c r="HH59" s="438"/>
      <c r="HI59" s="438"/>
      <c r="HJ59" s="438"/>
      <c r="HK59" s="438"/>
      <c r="HL59" s="438"/>
      <c r="HM59" s="438"/>
      <c r="HN59" s="438"/>
      <c r="HO59" s="438"/>
      <c r="HP59" s="438"/>
      <c r="HQ59" s="438"/>
      <c r="HR59" s="438"/>
      <c r="HS59" s="438"/>
      <c r="HT59" s="438"/>
      <c r="HU59" s="438"/>
      <c r="HV59" s="438"/>
      <c r="HW59" s="438"/>
      <c r="HX59" s="438"/>
      <c r="HY59" s="438"/>
      <c r="HZ59" s="438"/>
      <c r="IA59" s="438"/>
      <c r="IB59" s="438"/>
      <c r="IC59" s="438"/>
      <c r="ID59" s="438"/>
      <c r="IE59" s="438"/>
      <c r="IF59" s="438"/>
      <c r="IG59" s="438"/>
      <c r="IH59" s="438"/>
      <c r="II59" s="438"/>
      <c r="IJ59" s="438"/>
      <c r="IK59" s="438"/>
      <c r="IL59" s="438"/>
      <c r="IM59" s="438"/>
      <c r="IN59" s="438"/>
      <c r="IO59" s="438"/>
      <c r="IP59" s="438"/>
      <c r="IQ59" s="438"/>
      <c r="IR59" s="438"/>
      <c r="IS59" s="438"/>
      <c r="IT59" s="438"/>
      <c r="IU59" s="438"/>
      <c r="IV59" s="438"/>
      <c r="IW59" s="438"/>
      <c r="IX59" s="438"/>
      <c r="IY59" s="438"/>
      <c r="IZ59" s="438"/>
      <c r="JA59" s="438"/>
      <c r="JB59" s="438"/>
      <c r="JC59" s="438"/>
      <c r="JD59" s="438"/>
      <c r="JE59" s="438"/>
      <c r="JF59" s="438"/>
      <c r="JG59" s="438"/>
      <c r="JH59" s="438"/>
      <c r="JI59" s="438"/>
    </row>
    <row r="60" spans="1:269" s="81" customFormat="1">
      <c r="A60" s="618" t="s">
        <v>565</v>
      </c>
      <c r="B60" s="438"/>
      <c r="C60" s="614"/>
      <c r="D60" s="614"/>
      <c r="E60" s="553"/>
      <c r="F60" s="71"/>
      <c r="G60" s="71">
        <f t="shared" ref="G60:I60" si="131">G59-F59</f>
        <v>764</v>
      </c>
      <c r="H60" s="71">
        <f t="shared" si="131"/>
        <v>805.5</v>
      </c>
      <c r="I60" s="71">
        <f t="shared" si="131"/>
        <v>910</v>
      </c>
      <c r="J60" s="553"/>
      <c r="K60" s="71">
        <f>K59-I59</f>
        <v>796</v>
      </c>
      <c r="L60" s="71">
        <f t="shared" ref="L60" si="132">L59-K59</f>
        <v>311.5</v>
      </c>
      <c r="M60" s="71">
        <f t="shared" ref="M60" si="133">M59-L59</f>
        <v>351.5</v>
      </c>
      <c r="N60" s="71">
        <f t="shared" ref="N60" si="134">N59-M59</f>
        <v>588.5</v>
      </c>
      <c r="O60" s="553"/>
      <c r="P60" s="71">
        <f>P59-N59</f>
        <v>691.53363636363611</v>
      </c>
      <c r="Q60" s="71">
        <f t="shared" ref="Q60" si="135">Q59-P59</f>
        <v>997.56973837588339</v>
      </c>
      <c r="R60" s="71">
        <f t="shared" ref="R60" si="136">R59-Q59</f>
        <v>1120.6055875218117</v>
      </c>
      <c r="S60" s="71">
        <f t="shared" ref="S60" si="137">S59-R59</f>
        <v>1308.7831535386103</v>
      </c>
      <c r="T60" s="553"/>
      <c r="U60" s="71">
        <f>U59-S59</f>
        <v>1485.360776114554</v>
      </c>
      <c r="V60" s="71">
        <f t="shared" ref="V60" si="138">V59-U59</f>
        <v>1322.1471080855044</v>
      </c>
      <c r="W60" s="71">
        <f t="shared" ref="W60" si="139">W59-V59</f>
        <v>1377</v>
      </c>
      <c r="X60" s="71">
        <f t="shared" ref="X60" si="140">X59-W59</f>
        <v>1203.5</v>
      </c>
      <c r="Y60" s="553"/>
      <c r="Z60" s="71">
        <f>Z59-X59</f>
        <v>1466.5</v>
      </c>
      <c r="AA60" s="71">
        <f t="shared" ref="AA60" si="141">AA59-Z59</f>
        <v>2173</v>
      </c>
      <c r="AB60" s="71">
        <f t="shared" ref="AB60" si="142">AB59-AA59</f>
        <v>-4028.0500000000029</v>
      </c>
      <c r="AC60" s="71">
        <f t="shared" ref="AC60" si="143">AC59-AB59</f>
        <v>862.5</v>
      </c>
      <c r="AD60" s="441"/>
      <c r="AE60" s="71">
        <f>AE59-AC59</f>
        <v>1725</v>
      </c>
      <c r="AF60" s="71">
        <f t="shared" ref="AF60" si="144">AF59-AE59</f>
        <v>1775</v>
      </c>
      <c r="AG60" s="71">
        <f t="shared" ref="AG60" si="145">AG59-AF59</f>
        <v>1275</v>
      </c>
      <c r="AH60" s="71">
        <f t="shared" ref="AH60" si="146">AH59-AG59</f>
        <v>658.78719999999885</v>
      </c>
      <c r="AI60" s="441"/>
      <c r="AJ60" s="71">
        <f>AJ59-AH59</f>
        <v>627.2204400000046</v>
      </c>
      <c r="AK60" s="71">
        <f t="shared" ref="AK60" si="147">AK59-AJ59</f>
        <v>766.31147999999666</v>
      </c>
      <c r="AL60" s="71">
        <f t="shared" ref="AL60" si="148">AL59-AK59</f>
        <v>897.27264000000287</v>
      </c>
      <c r="AM60" s="71">
        <f t="shared" ref="AM60" si="149">AM59-AL59</f>
        <v>906.32519999999931</v>
      </c>
      <c r="AN60" s="441"/>
      <c r="AO60" s="71">
        <f>AO59-AM59</f>
        <v>874.64401199998974</v>
      </c>
      <c r="AP60" s="71">
        <f t="shared" ref="AP60" si="150">AP59-AO59</f>
        <v>930.89818800000648</v>
      </c>
      <c r="AQ60" s="71">
        <f t="shared" ref="AQ60" si="151">AQ59-AP59</f>
        <v>976.43620799999917</v>
      </c>
      <c r="AR60" s="71">
        <f t="shared" ref="AR60" si="152">AR59-AQ59</f>
        <v>1071.2885039999965</v>
      </c>
      <c r="AS60" s="441"/>
      <c r="AT60" s="615"/>
      <c r="AU60" s="505"/>
      <c r="AV60" s="438"/>
      <c r="AW60" s="438"/>
      <c r="AX60" s="438"/>
      <c r="AY60" s="438"/>
      <c r="AZ60" s="438"/>
      <c r="BA60" s="438"/>
      <c r="BB60" s="438"/>
      <c r="BC60" s="438"/>
      <c r="BD60" s="438"/>
      <c r="BE60" s="438"/>
      <c r="BF60" s="438"/>
      <c r="BG60" s="438"/>
      <c r="BH60" s="438"/>
      <c r="BI60" s="438"/>
      <c r="BJ60" s="438"/>
      <c r="BK60" s="438"/>
      <c r="BL60" s="438"/>
      <c r="BM60" s="438"/>
      <c r="BN60" s="438"/>
      <c r="BO60" s="438"/>
      <c r="BP60" s="438"/>
      <c r="BQ60" s="438"/>
      <c r="BR60" s="438"/>
      <c r="BS60" s="438"/>
      <c r="BT60" s="438"/>
      <c r="BU60" s="438"/>
      <c r="BV60" s="438"/>
      <c r="BW60" s="438"/>
      <c r="BX60" s="438"/>
      <c r="BY60" s="438"/>
      <c r="BZ60" s="438"/>
      <c r="CA60" s="438"/>
      <c r="CB60" s="438"/>
      <c r="CC60" s="438"/>
      <c r="CD60" s="438"/>
      <c r="CE60" s="438"/>
      <c r="CF60" s="438"/>
      <c r="CG60" s="438"/>
      <c r="CH60" s="438"/>
      <c r="CI60" s="438"/>
      <c r="CJ60" s="438"/>
      <c r="CK60" s="438"/>
      <c r="CL60" s="438"/>
      <c r="CM60" s="438"/>
      <c r="CN60" s="438"/>
      <c r="CO60" s="438"/>
      <c r="CP60" s="438"/>
      <c r="CQ60" s="438"/>
      <c r="CR60" s="438"/>
      <c r="CS60" s="438"/>
      <c r="CT60" s="438"/>
      <c r="CU60" s="438"/>
      <c r="CV60" s="438"/>
      <c r="CW60" s="438"/>
      <c r="CX60" s="438"/>
      <c r="CY60" s="438"/>
      <c r="CZ60" s="438"/>
      <c r="DA60" s="438"/>
      <c r="DB60" s="438"/>
      <c r="DC60" s="438"/>
      <c r="DD60" s="438"/>
      <c r="DE60" s="438"/>
      <c r="DF60" s="438"/>
      <c r="DG60" s="438"/>
      <c r="DH60" s="438"/>
      <c r="DI60" s="438"/>
      <c r="DJ60" s="438"/>
      <c r="DK60" s="438"/>
      <c r="DL60" s="438"/>
      <c r="DM60" s="438"/>
      <c r="DN60" s="438"/>
      <c r="DO60" s="438"/>
      <c r="DP60" s="438"/>
      <c r="DQ60" s="438"/>
      <c r="DR60" s="438"/>
      <c r="DS60" s="438"/>
      <c r="DT60" s="438"/>
      <c r="DU60" s="438"/>
      <c r="DV60" s="438"/>
      <c r="DW60" s="438"/>
      <c r="DX60" s="438"/>
      <c r="DY60" s="438"/>
      <c r="DZ60" s="438"/>
      <c r="EA60" s="438"/>
      <c r="EB60" s="438"/>
      <c r="EC60" s="438"/>
      <c r="ED60" s="438"/>
      <c r="EE60" s="438"/>
      <c r="EF60" s="438"/>
      <c r="EG60" s="438"/>
      <c r="EH60" s="438"/>
      <c r="EI60" s="438"/>
      <c r="EJ60" s="438"/>
      <c r="EK60" s="438"/>
      <c r="EL60" s="438"/>
      <c r="EM60" s="438"/>
      <c r="EN60" s="438"/>
      <c r="EO60" s="438"/>
      <c r="EP60" s="438"/>
      <c r="EQ60" s="438"/>
      <c r="ER60" s="438"/>
      <c r="ES60" s="438"/>
      <c r="ET60" s="438"/>
      <c r="EU60" s="438"/>
      <c r="EV60" s="438"/>
      <c r="EW60" s="438"/>
      <c r="EX60" s="438"/>
      <c r="EY60" s="438"/>
      <c r="EZ60" s="438"/>
      <c r="FA60" s="438"/>
      <c r="FB60" s="438"/>
      <c r="FC60" s="438"/>
      <c r="FD60" s="438"/>
      <c r="FE60" s="438"/>
      <c r="FF60" s="438"/>
      <c r="FG60" s="438"/>
      <c r="FH60" s="438"/>
      <c r="FI60" s="438"/>
      <c r="FJ60" s="438"/>
      <c r="FK60" s="438"/>
      <c r="FL60" s="438"/>
      <c r="FM60" s="438"/>
      <c r="FN60" s="438"/>
      <c r="FO60" s="438"/>
      <c r="FP60" s="438"/>
      <c r="FQ60" s="438"/>
      <c r="FR60" s="438"/>
      <c r="FS60" s="438"/>
      <c r="FT60" s="438"/>
      <c r="FU60" s="438"/>
      <c r="FV60" s="438"/>
      <c r="FW60" s="438"/>
      <c r="FX60" s="438"/>
      <c r="FY60" s="438"/>
      <c r="FZ60" s="438"/>
      <c r="GA60" s="438"/>
      <c r="GB60" s="438"/>
      <c r="GC60" s="438"/>
      <c r="GD60" s="438"/>
      <c r="GE60" s="438"/>
      <c r="GF60" s="438"/>
      <c r="GG60" s="438"/>
      <c r="GH60" s="438"/>
      <c r="GI60" s="438"/>
      <c r="GJ60" s="438"/>
      <c r="GK60" s="438"/>
      <c r="GL60" s="438"/>
      <c r="GM60" s="438"/>
      <c r="GN60" s="438"/>
      <c r="GO60" s="438"/>
      <c r="GP60" s="438"/>
      <c r="GQ60" s="438"/>
      <c r="GR60" s="438"/>
      <c r="GS60" s="438"/>
      <c r="GT60" s="438"/>
      <c r="GU60" s="438"/>
      <c r="GV60" s="438"/>
      <c r="GW60" s="438"/>
      <c r="GX60" s="438"/>
      <c r="GY60" s="438"/>
      <c r="GZ60" s="438"/>
      <c r="HA60" s="438"/>
      <c r="HB60" s="438"/>
      <c r="HC60" s="438"/>
      <c r="HD60" s="438"/>
      <c r="HE60" s="438"/>
      <c r="HF60" s="438"/>
      <c r="HG60" s="438"/>
      <c r="HH60" s="438"/>
      <c r="HI60" s="438"/>
      <c r="HJ60" s="438"/>
      <c r="HK60" s="438"/>
      <c r="HL60" s="438"/>
      <c r="HM60" s="438"/>
      <c r="HN60" s="438"/>
      <c r="HO60" s="438"/>
      <c r="HP60" s="438"/>
      <c r="HQ60" s="438"/>
      <c r="HR60" s="438"/>
      <c r="HS60" s="438"/>
      <c r="HT60" s="438"/>
      <c r="HU60" s="438"/>
      <c r="HV60" s="438"/>
      <c r="HW60" s="438"/>
      <c r="HX60" s="438"/>
      <c r="HY60" s="438"/>
      <c r="HZ60" s="438"/>
      <c r="IA60" s="438"/>
      <c r="IB60" s="438"/>
      <c r="IC60" s="438"/>
      <c r="ID60" s="438"/>
      <c r="IE60" s="438"/>
      <c r="IF60" s="438"/>
      <c r="IG60" s="438"/>
      <c r="IH60" s="438"/>
      <c r="II60" s="438"/>
      <c r="IJ60" s="438"/>
      <c r="IK60" s="438"/>
      <c r="IL60" s="438"/>
      <c r="IM60" s="438"/>
      <c r="IN60" s="438"/>
      <c r="IO60" s="438"/>
      <c r="IP60" s="438"/>
      <c r="IQ60" s="438"/>
      <c r="IR60" s="438"/>
      <c r="IS60" s="438"/>
      <c r="IT60" s="438"/>
      <c r="IU60" s="438"/>
      <c r="IV60" s="438"/>
      <c r="IW60" s="438"/>
      <c r="IX60" s="438"/>
      <c r="IY60" s="438"/>
      <c r="IZ60" s="438"/>
      <c r="JA60" s="438"/>
      <c r="JB60" s="438"/>
      <c r="JC60" s="438"/>
      <c r="JD60" s="438"/>
      <c r="JE60" s="438"/>
      <c r="JF60" s="438"/>
      <c r="JG60" s="438"/>
      <c r="JH60" s="438"/>
      <c r="JI60" s="438"/>
    </row>
    <row r="61" spans="1:269" s="81" customFormat="1">
      <c r="A61" s="618" t="s">
        <v>566</v>
      </c>
      <c r="B61" s="438"/>
      <c r="C61" s="614"/>
      <c r="D61" s="614"/>
      <c r="E61" s="553"/>
      <c r="F61" s="439"/>
      <c r="G61" s="439"/>
      <c r="H61" s="439"/>
      <c r="I61" s="439"/>
      <c r="J61" s="74">
        <f>J59-E59</f>
        <v>2873.5</v>
      </c>
      <c r="K61" s="71">
        <f t="shared" ref="K61:AS61" si="153">K59-F59</f>
        <v>3275.5</v>
      </c>
      <c r="L61" s="71">
        <f t="shared" si="153"/>
        <v>2823</v>
      </c>
      <c r="M61" s="71">
        <f t="shared" si="153"/>
        <v>2369</v>
      </c>
      <c r="N61" s="71">
        <f t="shared" si="153"/>
        <v>2047.5</v>
      </c>
      <c r="O61" s="74">
        <f t="shared" si="153"/>
        <v>2574</v>
      </c>
      <c r="P61" s="71">
        <f t="shared" si="153"/>
        <v>1943.0336363636361</v>
      </c>
      <c r="Q61" s="71">
        <f t="shared" si="153"/>
        <v>2629.1033747395195</v>
      </c>
      <c r="R61" s="71">
        <f t="shared" si="153"/>
        <v>3398.2089622613312</v>
      </c>
      <c r="S61" s="71">
        <f t="shared" si="153"/>
        <v>4118.4921157999415</v>
      </c>
      <c r="T61" s="74">
        <f t="shared" si="153"/>
        <v>3206.3528919144956</v>
      </c>
      <c r="U61" s="71">
        <f t="shared" si="153"/>
        <v>4912.3192555508595</v>
      </c>
      <c r="V61" s="71">
        <f t="shared" si="153"/>
        <v>5236.8966252604805</v>
      </c>
      <c r="W61" s="71">
        <f t="shared" si="153"/>
        <v>5493.2910377386688</v>
      </c>
      <c r="X61" s="71">
        <f t="shared" si="153"/>
        <v>5388.0078842000585</v>
      </c>
      <c r="Y61" s="74">
        <f t="shared" si="153"/>
        <v>4832</v>
      </c>
      <c r="Z61" s="71">
        <f t="shared" si="153"/>
        <v>5369.1471080855044</v>
      </c>
      <c r="AA61" s="71">
        <f t="shared" si="153"/>
        <v>6220</v>
      </c>
      <c r="AB61" s="71">
        <f t="shared" si="153"/>
        <v>814.94999999999709</v>
      </c>
      <c r="AC61" s="619">
        <f t="shared" si="153"/>
        <v>473.94999999999709</v>
      </c>
      <c r="AD61" s="620">
        <f t="shared" si="153"/>
        <v>452.47499999999854</v>
      </c>
      <c r="AE61" s="619">
        <f t="shared" si="153"/>
        <v>732.44999999999709</v>
      </c>
      <c r="AF61" s="619">
        <f t="shared" si="153"/>
        <v>334.44999999999709</v>
      </c>
      <c r="AG61" s="619">
        <f t="shared" si="153"/>
        <v>5637.5</v>
      </c>
      <c r="AH61" s="619">
        <f t="shared" si="153"/>
        <v>5433.7871999999988</v>
      </c>
      <c r="AI61" s="620">
        <f t="shared" si="153"/>
        <v>5411.9093080855018</v>
      </c>
      <c r="AJ61" s="619">
        <f t="shared" si="153"/>
        <v>4336.0076400000034</v>
      </c>
      <c r="AK61" s="619">
        <f t="shared" si="153"/>
        <v>3327.3191200000001</v>
      </c>
      <c r="AL61" s="619">
        <f t="shared" si="153"/>
        <v>2949.591760000003</v>
      </c>
      <c r="AM61" s="619">
        <f t="shared" si="153"/>
        <v>3197.1297600000034</v>
      </c>
      <c r="AN61" s="620">
        <f t="shared" si="153"/>
        <v>4106.4238800000021</v>
      </c>
      <c r="AO61" s="619">
        <f t="shared" si="153"/>
        <v>3444.5533319999886</v>
      </c>
      <c r="AP61" s="619">
        <f t="shared" si="153"/>
        <v>3609.1400399999984</v>
      </c>
      <c r="AQ61" s="619">
        <f t="shared" si="153"/>
        <v>3688.3036079999947</v>
      </c>
      <c r="AR61" s="619">
        <f t="shared" si="153"/>
        <v>3853.2669119999919</v>
      </c>
      <c r="AS61" s="620">
        <f t="shared" si="153"/>
        <v>3674.8233719999917</v>
      </c>
      <c r="AT61" s="615"/>
      <c r="AU61" s="505"/>
      <c r="AV61" s="438"/>
      <c r="AW61" s="438"/>
      <c r="AX61" s="438"/>
      <c r="AY61" s="438"/>
      <c r="AZ61" s="438"/>
      <c r="BA61" s="438"/>
      <c r="BB61" s="438"/>
      <c r="BC61" s="438"/>
      <c r="BD61" s="438"/>
      <c r="BE61" s="438"/>
      <c r="BF61" s="438"/>
      <c r="BG61" s="438"/>
      <c r="BH61" s="438"/>
      <c r="BI61" s="438"/>
      <c r="BJ61" s="438"/>
      <c r="BK61" s="438"/>
      <c r="BL61" s="438"/>
      <c r="BM61" s="438"/>
      <c r="BN61" s="438"/>
      <c r="BO61" s="438"/>
      <c r="BP61" s="438"/>
      <c r="BQ61" s="438"/>
      <c r="BR61" s="438"/>
      <c r="BS61" s="438"/>
      <c r="BT61" s="438"/>
      <c r="BU61" s="438"/>
      <c r="BV61" s="438"/>
      <c r="BW61" s="438"/>
      <c r="BX61" s="438"/>
      <c r="BY61" s="438"/>
      <c r="BZ61" s="438"/>
      <c r="CA61" s="438"/>
      <c r="CB61" s="438"/>
      <c r="CC61" s="438"/>
      <c r="CD61" s="438"/>
      <c r="CE61" s="438"/>
      <c r="CF61" s="438"/>
      <c r="CG61" s="438"/>
      <c r="CH61" s="438"/>
      <c r="CI61" s="438"/>
      <c r="CJ61" s="438"/>
      <c r="CK61" s="438"/>
      <c r="CL61" s="438"/>
      <c r="CM61" s="438"/>
      <c r="CN61" s="438"/>
      <c r="CO61" s="438"/>
      <c r="CP61" s="438"/>
      <c r="CQ61" s="438"/>
      <c r="CR61" s="438"/>
      <c r="CS61" s="438"/>
      <c r="CT61" s="438"/>
      <c r="CU61" s="438"/>
      <c r="CV61" s="438"/>
      <c r="CW61" s="438"/>
      <c r="CX61" s="438"/>
      <c r="CY61" s="438"/>
      <c r="CZ61" s="438"/>
      <c r="DA61" s="438"/>
      <c r="DB61" s="438"/>
      <c r="DC61" s="438"/>
      <c r="DD61" s="438"/>
      <c r="DE61" s="438"/>
      <c r="DF61" s="438"/>
      <c r="DG61" s="438"/>
      <c r="DH61" s="438"/>
      <c r="DI61" s="438"/>
      <c r="DJ61" s="438"/>
      <c r="DK61" s="438"/>
      <c r="DL61" s="438"/>
      <c r="DM61" s="438"/>
      <c r="DN61" s="438"/>
      <c r="DO61" s="438"/>
      <c r="DP61" s="438"/>
      <c r="DQ61" s="438"/>
      <c r="DR61" s="438"/>
      <c r="DS61" s="438"/>
      <c r="DT61" s="438"/>
      <c r="DU61" s="438"/>
      <c r="DV61" s="438"/>
      <c r="DW61" s="438"/>
      <c r="DX61" s="438"/>
      <c r="DY61" s="438"/>
      <c r="DZ61" s="438"/>
      <c r="EA61" s="438"/>
      <c r="EB61" s="438"/>
      <c r="EC61" s="438"/>
      <c r="ED61" s="438"/>
      <c r="EE61" s="438"/>
      <c r="EF61" s="438"/>
      <c r="EG61" s="438"/>
      <c r="EH61" s="438"/>
      <c r="EI61" s="438"/>
      <c r="EJ61" s="438"/>
      <c r="EK61" s="438"/>
      <c r="EL61" s="438"/>
      <c r="EM61" s="438"/>
      <c r="EN61" s="438"/>
      <c r="EO61" s="438"/>
      <c r="EP61" s="438"/>
      <c r="EQ61" s="438"/>
      <c r="ER61" s="438"/>
      <c r="ES61" s="438"/>
      <c r="ET61" s="438"/>
      <c r="EU61" s="438"/>
      <c r="EV61" s="438"/>
      <c r="EW61" s="438"/>
      <c r="EX61" s="438"/>
      <c r="EY61" s="438"/>
      <c r="EZ61" s="438"/>
      <c r="FA61" s="438"/>
      <c r="FB61" s="438"/>
      <c r="FC61" s="438"/>
      <c r="FD61" s="438"/>
      <c r="FE61" s="438"/>
      <c r="FF61" s="438"/>
      <c r="FG61" s="438"/>
      <c r="FH61" s="438"/>
      <c r="FI61" s="438"/>
      <c r="FJ61" s="438"/>
      <c r="FK61" s="438"/>
      <c r="FL61" s="438"/>
      <c r="FM61" s="438"/>
      <c r="FN61" s="438"/>
      <c r="FO61" s="438"/>
      <c r="FP61" s="438"/>
      <c r="FQ61" s="438"/>
      <c r="FR61" s="438"/>
      <c r="FS61" s="438"/>
      <c r="FT61" s="438"/>
      <c r="FU61" s="438"/>
      <c r="FV61" s="438"/>
      <c r="FW61" s="438"/>
      <c r="FX61" s="438"/>
      <c r="FY61" s="438"/>
      <c r="FZ61" s="438"/>
      <c r="GA61" s="438"/>
      <c r="GB61" s="438"/>
      <c r="GC61" s="438"/>
      <c r="GD61" s="438"/>
      <c r="GE61" s="438"/>
      <c r="GF61" s="438"/>
      <c r="GG61" s="438"/>
      <c r="GH61" s="438"/>
      <c r="GI61" s="438"/>
      <c r="GJ61" s="438"/>
      <c r="GK61" s="438"/>
      <c r="GL61" s="438"/>
      <c r="GM61" s="438"/>
      <c r="GN61" s="438"/>
      <c r="GO61" s="438"/>
      <c r="GP61" s="438"/>
      <c r="GQ61" s="438"/>
      <c r="GR61" s="438"/>
      <c r="GS61" s="438"/>
      <c r="GT61" s="438"/>
      <c r="GU61" s="438"/>
      <c r="GV61" s="438"/>
      <c r="GW61" s="438"/>
      <c r="GX61" s="438"/>
      <c r="GY61" s="438"/>
      <c r="GZ61" s="438"/>
      <c r="HA61" s="438"/>
      <c r="HB61" s="438"/>
      <c r="HC61" s="438"/>
      <c r="HD61" s="438"/>
      <c r="HE61" s="438"/>
      <c r="HF61" s="438"/>
      <c r="HG61" s="438"/>
      <c r="HH61" s="438"/>
      <c r="HI61" s="438"/>
      <c r="HJ61" s="438"/>
      <c r="HK61" s="438"/>
      <c r="HL61" s="438"/>
      <c r="HM61" s="438"/>
      <c r="HN61" s="438"/>
      <c r="HO61" s="438"/>
      <c r="HP61" s="438"/>
      <c r="HQ61" s="438"/>
      <c r="HR61" s="438"/>
      <c r="HS61" s="438"/>
      <c r="HT61" s="438"/>
      <c r="HU61" s="438"/>
      <c r="HV61" s="438"/>
      <c r="HW61" s="438"/>
      <c r="HX61" s="438"/>
      <c r="HY61" s="438"/>
      <c r="HZ61" s="438"/>
      <c r="IA61" s="438"/>
      <c r="IB61" s="438"/>
      <c r="IC61" s="438"/>
      <c r="ID61" s="438"/>
      <c r="IE61" s="438"/>
      <c r="IF61" s="438"/>
      <c r="IG61" s="438"/>
      <c r="IH61" s="438"/>
      <c r="II61" s="438"/>
      <c r="IJ61" s="438"/>
      <c r="IK61" s="438"/>
      <c r="IL61" s="438"/>
      <c r="IM61" s="438"/>
      <c r="IN61" s="438"/>
      <c r="IO61" s="438"/>
      <c r="IP61" s="438"/>
      <c r="IQ61" s="438"/>
      <c r="IR61" s="438"/>
      <c r="IS61" s="438"/>
      <c r="IT61" s="438"/>
      <c r="IU61" s="438"/>
      <c r="IV61" s="438"/>
      <c r="IW61" s="438"/>
      <c r="IX61" s="438"/>
      <c r="IY61" s="438"/>
      <c r="IZ61" s="438"/>
      <c r="JA61" s="438"/>
      <c r="JB61" s="438"/>
      <c r="JC61" s="438"/>
      <c r="JD61" s="438"/>
      <c r="JE61" s="438"/>
      <c r="JF61" s="438"/>
      <c r="JG61" s="438"/>
      <c r="JH61" s="438"/>
      <c r="JI61" s="438"/>
    </row>
    <row r="62" spans="1:269">
      <c r="A62" s="59" t="s">
        <v>553</v>
      </c>
      <c r="B62" s="442" t="s">
        <v>434</v>
      </c>
      <c r="E62" s="588" cm="1">
        <f t="array" ref="E62">_xll.VAData("SKIN_US", E$4, $B62, "consensus", "CD", "IMPL","", "")</f>
        <v>9280.875</v>
      </c>
      <c r="F62" s="445" cm="1">
        <f t="array" ref="F62">_xll.VAData("SKIN_US", F$4, $B62, "consensus", "CD", "IMPL","", "")</f>
        <v>10871.0093299201</v>
      </c>
      <c r="G62" s="445" cm="1">
        <f t="array" ref="G62">_xll.VAData("SKIN_US", G$4, $B62, "consensus", "CD", "IMPL","", "")</f>
        <v>11635.0029897603</v>
      </c>
      <c r="H62" s="445" cm="1">
        <f t="array" ref="H62">_xll.VAData("SKIN_US", H$4, $B62, "consensus", "CD", "IMPL","", "")</f>
        <v>12442.071649600501</v>
      </c>
      <c r="I62" s="445" cm="1">
        <f t="array" ref="I62">_xll.VAData("SKIN_US", I$4, $B62, "consensus", "CD", "IMPL","", "")</f>
        <v>13388.580979520601</v>
      </c>
      <c r="J62" s="588" cm="1">
        <f t="array" ref="J62">_xll.VAData("SKIN_US", J$4, $B62, "consensus", "CD", "IMPL","", "")</f>
        <v>12127.792797334583</v>
      </c>
      <c r="K62" s="445" cm="1">
        <f t="array" ref="K62">_xll.VAData("SKIN_US", K$4, $B62, "consensus", "CD", "IMPL","", "")</f>
        <v>14146.50603105685</v>
      </c>
      <c r="L62" s="445" cm="1">
        <f t="array" ref="L62">_xll.VAData("SKIN_US", L$4, $B62, "consensus", "CD", "IMPL","", "")</f>
        <v>14458.000756885629</v>
      </c>
      <c r="M62" s="445" cm="1">
        <f t="array" ref="M62">_xll.VAData("SKIN_US", M$4, $B62, "consensus", "CD", "IMPL","", "")</f>
        <v>14809.496344293957</v>
      </c>
      <c r="N62" s="445" cm="1">
        <f t="array" ref="N62">_xll.VAData("SKIN_US", N$4, $B62, "consensus", "CD", "IMPL","", "")</f>
        <v>15397.994137998128</v>
      </c>
      <c r="O62" s="588" cm="1">
        <f t="array" ref="O62">_xll.VAData("SKIN_US", O$4, $B62, "consensus", "CD", "IMPL","", "")</f>
        <v>14746.637114027149</v>
      </c>
      <c r="P62" s="445" cm="1">
        <f t="array" ref="P62">_xll.VAData("SKIN_US", P$4, $B62, "consensus", "CD", "IMPL","", "")</f>
        <v>16111.386363459185</v>
      </c>
      <c r="Q62" s="445" cm="1">
        <f t="array" ref="Q62">_xll.VAData("SKIN_US", Q$4, $B62, "consensus", "CD", "IMPL","", "")</f>
        <v>17328.527215852351</v>
      </c>
      <c r="R62" s="445" cm="1">
        <f t="array" ref="R62">_xll.VAData("SKIN_US", R$4, $B62, "consensus", "CD", "IMPL","", "")</f>
        <v>18471.55755781625</v>
      </c>
      <c r="S62" s="445" cm="1">
        <f t="array" ref="S62">_xll.VAData("SKIN_US", S$4, $B62, "consensus", "CD", "IMPL","", "")</f>
        <v>19637.810442530386</v>
      </c>
      <c r="T62" s="588" cm="1">
        <f t="array" ref="T62">_xll.VAData("SKIN_US", T$4, $B62, "consensus", "CD", "IMPL","", "")</f>
        <v>17941.827350278414</v>
      </c>
      <c r="U62" s="445" cm="1">
        <f t="array" ref="U62">_xll.VAData("SKIN_US", U$4, $B62, "consensus", "CD", "IMPL","", "")</f>
        <v>21054.644146866562</v>
      </c>
      <c r="V62" s="445" cm="1">
        <f t="array" ref="V62">_xll.VAData("SKIN_US", V$4, $B62, "consensus", "CD", "IMPL","", "")</f>
        <v>22323.433458866188</v>
      </c>
      <c r="W62" s="445" cm="1">
        <f t="array" ref="W62">_xll.VAData("SKIN_US", W$4, $B62, "consensus", "CD", "IMPL","", "")</f>
        <v>23694.514708866187</v>
      </c>
      <c r="X62" s="445" cm="1">
        <f t="array" ref="X62">_xll.VAData("SKIN_US", X$4, $B62, "consensus", "CD", "IMPL","", "")</f>
        <v>24850.289708866188</v>
      </c>
      <c r="Y62" s="588" cm="1">
        <f t="array" ref="Y62">_xll.VAData("SKIN_US", Y$4, $B62, "consensus", "CD", "IMPL","", "")</f>
        <v>22770.472271866562</v>
      </c>
      <c r="Z62" s="445" cm="1">
        <f t="array" ref="Z62">_xll.VAData("SKIN_US", Z$4, $B62, "consensus", "CD", "IMPL","", "")</f>
        <v>26406.245958866188</v>
      </c>
      <c r="AA62" s="445" cm="1">
        <f t="array" ref="AA62">_xll.VAData("SKIN_US", AA$4, $B62, "consensus", "CD", "IMPL","", "")</f>
        <v>28545.060479433087</v>
      </c>
      <c r="AB62" s="445" cm="1">
        <f t="array" ref="AB62">_xll.VAData("SKIN_US", AB$4, $B62, "consensus", "CD", "IMPL","", "")</f>
        <v>29907.637370081986</v>
      </c>
      <c r="AC62" s="445" cm="1">
        <f t="array" ref="AC62">_xll.VAData("SKIN_US", AC$4, $B62, "consensus", "CD", "IMPL","", "")</f>
        <v>30907.421048914206</v>
      </c>
      <c r="AD62" s="446" cm="1">
        <f t="array" ref="AD62">_xll.VAData("SKIN_US", AD$4, $B62, "consensus", "CD", "IMPL","", "")</f>
        <v>28339.347806533729</v>
      </c>
      <c r="AE62" s="445" cm="1">
        <f t="array" ref="AE62">_xll.VAData("SKIN_US", AE$4, $B62, "consensus", "CD", "IMPL","", "")</f>
        <v>32207.926508414967</v>
      </c>
      <c r="AF62" s="445" cm="1">
        <f t="array" ref="AF62">_xll.VAData("SKIN_US", AF$4, $B62, "consensus", "CD", "IMPL","", "")</f>
        <v>33508.685221567808</v>
      </c>
      <c r="AG62" s="445" cm="1">
        <f t="array" ref="AG62">_xll.VAData("SKIN_US", AG$4, $B62, "consensus", "CD", "IMPL","", "")</f>
        <v>35129.694738051832</v>
      </c>
      <c r="AH62" s="445" cm="1">
        <f t="array" ref="AH62">_xll.VAData("SKIN_US", AH$4, $B62, "consensus", "CD", "IMPL","", "")</f>
        <v>36680.299341926002</v>
      </c>
      <c r="AI62" s="446" cm="1">
        <f t="array" ref="AI62">_xll.VAData("SKIN_US", AI$4, $B62, "consensus", "CD", "IMPL","", "")</f>
        <v>34173.144395430369</v>
      </c>
      <c r="AJ62" s="445" cm="1">
        <f t="array" ref="AJ62">_xll.VAData("SKIN_US", AJ$4, $B62, "consensus", "CD", "IMPL","", "")</f>
        <v>37528.050257558534</v>
      </c>
      <c r="AK62" s="445" cm="1">
        <f t="array" ref="AK62">_xll.VAData("SKIN_US", AK$4, $B62, "consensus", "CD", "IMPL","", "")</f>
        <v>38966.296697936952</v>
      </c>
      <c r="AL62" s="445" cm="1">
        <f t="array" ref="AL62">_xll.VAData("SKIN_US", AL$4, $B62, "consensus", "CD", "IMPL","", "")</f>
        <v>40513.267631517898</v>
      </c>
      <c r="AM62" s="445" cm="1">
        <f t="array" ref="AM62">_xll.VAData("SKIN_US", AM$4, $B62, "consensus", "CD", "IMPL","", "")</f>
        <v>42011.285064727483</v>
      </c>
      <c r="AN62" s="446" cm="1">
        <f t="array" ref="AN62">_xll.VAData("SKIN_US", AN$4, $B62, "consensus", "CD", "IMPL","", "")</f>
        <v>39646.999957812863</v>
      </c>
      <c r="AO62" s="445" cm="1">
        <f t="array" ref="AO62">_xll.VAData("SKIN_US", AO$4, $B62, "consensus", "CD", "IMPL","", "")</f>
        <v>43839.580290154474</v>
      </c>
      <c r="AP62" s="445" cm="1">
        <f t="array" ref="AP62">_xll.VAData("SKIN_US", AP$4, $B62, "consensus", "CD", "IMPL","", "")</f>
        <v>45400.91958892715</v>
      </c>
      <c r="AQ62" s="445" cm="1">
        <f t="array" ref="AQ62">_xll.VAData("SKIN_US", AQ$4, $B62, "consensus", "CD", "IMPL","", "")</f>
        <v>47127.118260718249</v>
      </c>
      <c r="AR62" s="445" cm="1">
        <f t="array" ref="AR62">_xll.VAData("SKIN_US", AR$4, $B62, "consensus", "CD", "IMPL","", "")</f>
        <v>48774.307999943427</v>
      </c>
      <c r="AS62" s="446" cm="1">
        <f t="array" ref="AS62">_xll.VAData("SKIN_US", AS$4, $B62, "consensus", "CD", "IMPL","", "")</f>
        <v>44717.830729594119</v>
      </c>
    </row>
    <row r="63" spans="1:269">
      <c r="A63" s="59" t="s">
        <v>530</v>
      </c>
      <c r="E63" s="586">
        <f t="shared" ref="E63:AS63" si="154">(E59/E62)-1</f>
        <v>4.7005266206041618E-3</v>
      </c>
      <c r="F63" s="585">
        <f t="shared" si="154"/>
        <v>-8.5823862505662873E-7</v>
      </c>
      <c r="G63" s="585">
        <f t="shared" si="154"/>
        <v>-2.5696257255347632E-7</v>
      </c>
      <c r="H63" s="585">
        <f t="shared" si="154"/>
        <v>-1.2631735652723908E-4</v>
      </c>
      <c r="I63" s="585">
        <f t="shared" si="154"/>
        <v>-2.8442879479796401E-3</v>
      </c>
      <c r="J63" s="586">
        <f t="shared" si="154"/>
        <v>5.7889513647402246E-3</v>
      </c>
      <c r="K63" s="585">
        <f t="shared" si="154"/>
        <v>-4.2632836949607622E-7</v>
      </c>
      <c r="L63" s="585">
        <f t="shared" si="154"/>
        <v>-5.2350642487652976E-8</v>
      </c>
      <c r="M63" s="585">
        <f t="shared" si="154"/>
        <v>2.4684877586444998E-7</v>
      </c>
      <c r="N63" s="585">
        <f t="shared" si="154"/>
        <v>3.8069905849980046E-7</v>
      </c>
      <c r="O63" s="586">
        <f t="shared" si="154"/>
        <v>1.7199098192173246E-3</v>
      </c>
      <c r="P63" s="585">
        <f t="shared" si="154"/>
        <v>-1.3563529917643979E-3</v>
      </c>
      <c r="Q63" s="585">
        <f t="shared" si="154"/>
        <v>-1.3932161579893187E-2</v>
      </c>
      <c r="R63" s="585">
        <f t="shared" si="154"/>
        <v>-1.4284046958631835E-2</v>
      </c>
      <c r="S63" s="585">
        <f t="shared" si="154"/>
        <v>-6.1777929410959942E-3</v>
      </c>
      <c r="T63" s="586">
        <f t="shared" si="154"/>
        <v>2.0357760067017949E-3</v>
      </c>
      <c r="U63" s="585">
        <f t="shared" si="154"/>
        <v>-2.5073449156309824E-3</v>
      </c>
      <c r="V63" s="585">
        <f t="shared" si="154"/>
        <v>2.5378763300665241E-5</v>
      </c>
      <c r="W63" s="585">
        <f t="shared" si="154"/>
        <v>2.7370432412299195E-4</v>
      </c>
      <c r="X63" s="585">
        <f t="shared" si="154"/>
        <v>2.1814752169455609E-3</v>
      </c>
      <c r="Y63" s="586">
        <f t="shared" si="154"/>
        <v>1.7514182214484197E-3</v>
      </c>
      <c r="Z63" s="585">
        <f t="shared" si="154"/>
        <v>-1.3347584098508669E-3</v>
      </c>
      <c r="AA63" s="585">
        <f t="shared" si="154"/>
        <v>-3.7151066253682252E-5</v>
      </c>
      <c r="AB63" s="585">
        <f t="shared" si="154"/>
        <v>-0.1802779438363642</v>
      </c>
      <c r="AC63" s="75">
        <f t="shared" si="154"/>
        <v>-0.17888813952364502</v>
      </c>
      <c r="AD63" s="286">
        <f t="shared" si="154"/>
        <v>-0.17913326549628028</v>
      </c>
      <c r="AE63" s="75">
        <f t="shared" si="154"/>
        <v>-0.15848510170567243</v>
      </c>
      <c r="AF63" s="75">
        <f t="shared" si="154"/>
        <v>-0.13818015212926249</v>
      </c>
      <c r="AG63" s="75">
        <f t="shared" si="154"/>
        <v>-0.14165351492968314</v>
      </c>
      <c r="AH63" s="75">
        <f t="shared" si="154"/>
        <v>-0.15997857834324547</v>
      </c>
      <c r="AI63" s="286">
        <f t="shared" si="154"/>
        <v>-0.16089848601013201</v>
      </c>
      <c r="AJ63" s="75">
        <f t="shared" si="154"/>
        <v>-0.16224111233522531</v>
      </c>
      <c r="AK63" s="75">
        <f t="shared" si="154"/>
        <v>-0.17349679468757129</v>
      </c>
      <c r="AL63" s="75">
        <f t="shared" si="154"/>
        <v>-0.18290861993449781</v>
      </c>
      <c r="AM63" s="75">
        <f t="shared" si="154"/>
        <v>-0.1904706816846663</v>
      </c>
      <c r="AN63" s="286">
        <f t="shared" si="154"/>
        <v>-0.17317423474963023</v>
      </c>
      <c r="AO63" s="75">
        <f t="shared" si="154"/>
        <v>-0.20428045293503261</v>
      </c>
      <c r="AP63" s="75">
        <f t="shared" si="154"/>
        <v>-0.21114132743833436</v>
      </c>
      <c r="AQ63" s="75">
        <f t="shared" si="154"/>
        <v>-0.21931688747736156</v>
      </c>
      <c r="AR63" s="75">
        <f t="shared" si="154"/>
        <v>-0.22371766151876704</v>
      </c>
      <c r="AS63" s="286">
        <f t="shared" si="154"/>
        <v>-0.18475507739972874</v>
      </c>
    </row>
    <row r="64" spans="1:269">
      <c r="A64" s="59"/>
      <c r="E64" s="586"/>
      <c r="F64" s="585"/>
      <c r="G64" s="585"/>
      <c r="H64" s="585"/>
      <c r="I64" s="585"/>
      <c r="J64" s="586"/>
      <c r="K64" s="585"/>
      <c r="L64" s="585"/>
      <c r="M64" s="585"/>
      <c r="N64" s="585"/>
      <c r="O64" s="586"/>
      <c r="P64" s="585"/>
      <c r="Q64" s="585"/>
      <c r="R64" s="585"/>
      <c r="S64" s="585"/>
      <c r="T64" s="586"/>
      <c r="U64" s="585"/>
      <c r="V64" s="585"/>
      <c r="W64" s="585"/>
      <c r="X64" s="585"/>
      <c r="Y64" s="586"/>
      <c r="Z64" s="585"/>
      <c r="AA64" s="585"/>
      <c r="AB64" s="585"/>
      <c r="AC64" s="75"/>
      <c r="AD64" s="286"/>
      <c r="AE64" s="75"/>
      <c r="AF64" s="75"/>
      <c r="AG64" s="75"/>
      <c r="AH64" s="75"/>
      <c r="AI64" s="286"/>
      <c r="AJ64" s="75"/>
      <c r="AK64" s="75"/>
      <c r="AL64" s="75"/>
      <c r="AM64" s="75"/>
      <c r="AN64" s="286"/>
      <c r="AO64" s="75"/>
      <c r="AP64" s="75"/>
      <c r="AQ64" s="75"/>
      <c r="AR64" s="75"/>
      <c r="AS64" s="286"/>
    </row>
    <row r="65" spans="1:269" s="81" customFormat="1" ht="15" thickBot="1">
      <c r="A65" s="785" t="s">
        <v>747</v>
      </c>
      <c r="B65" s="60"/>
      <c r="C65" s="786"/>
      <c r="D65" s="786"/>
      <c r="E65" s="787"/>
      <c r="F65" s="788"/>
      <c r="G65" s="788"/>
      <c r="H65" s="788"/>
      <c r="I65" s="788"/>
      <c r="J65" s="787"/>
      <c r="K65" s="788"/>
      <c r="L65" s="788"/>
      <c r="M65" s="788"/>
      <c r="N65" s="788"/>
      <c r="O65" s="787"/>
      <c r="P65" s="788"/>
      <c r="Q65" s="788"/>
      <c r="R65" s="788"/>
      <c r="S65" s="788"/>
      <c r="T65" s="787"/>
      <c r="U65" s="788"/>
      <c r="V65" s="788"/>
      <c r="W65" s="788"/>
      <c r="X65" s="788"/>
      <c r="Y65" s="787"/>
      <c r="Z65" s="788"/>
      <c r="AA65" s="788"/>
      <c r="AB65" s="788"/>
      <c r="AC65" s="789"/>
      <c r="AD65" s="790"/>
      <c r="AE65" s="789"/>
      <c r="AF65" s="789"/>
      <c r="AG65" s="789"/>
      <c r="AH65" s="789"/>
      <c r="AI65" s="790"/>
      <c r="AJ65" s="789"/>
      <c r="AK65" s="789"/>
      <c r="AL65" s="789"/>
      <c r="AM65" s="789"/>
      <c r="AN65" s="790"/>
      <c r="AO65" s="789"/>
      <c r="AP65" s="789"/>
      <c r="AQ65" s="789"/>
      <c r="AR65" s="789"/>
      <c r="AS65" s="791"/>
      <c r="AT65" s="615"/>
      <c r="AU65" s="505"/>
      <c r="AV65" s="438"/>
      <c r="AW65" s="438"/>
      <c r="AX65" s="438"/>
      <c r="AY65" s="438"/>
      <c r="AZ65" s="438"/>
      <c r="BA65" s="438"/>
      <c r="BB65" s="438"/>
      <c r="BC65" s="438"/>
      <c r="BD65" s="438"/>
      <c r="BE65" s="438"/>
      <c r="BF65" s="438"/>
      <c r="BG65" s="438"/>
      <c r="BH65" s="438"/>
      <c r="BI65" s="438"/>
      <c r="BJ65" s="438"/>
      <c r="BK65" s="438"/>
      <c r="BL65" s="438"/>
      <c r="BM65" s="438"/>
      <c r="BN65" s="438"/>
      <c r="BO65" s="438"/>
      <c r="BP65" s="438"/>
      <c r="BQ65" s="438"/>
      <c r="BR65" s="438"/>
      <c r="BS65" s="438"/>
      <c r="BT65" s="438"/>
      <c r="BU65" s="438"/>
      <c r="BV65" s="438"/>
      <c r="BW65" s="438"/>
      <c r="BX65" s="438"/>
      <c r="BY65" s="438"/>
      <c r="BZ65" s="438"/>
      <c r="CA65" s="438"/>
      <c r="CB65" s="438"/>
      <c r="CC65" s="438"/>
      <c r="CD65" s="438"/>
      <c r="CE65" s="438"/>
      <c r="CF65" s="438"/>
      <c r="CG65" s="438"/>
      <c r="CH65" s="438"/>
      <c r="CI65" s="438"/>
      <c r="CJ65" s="438"/>
      <c r="CK65" s="438"/>
      <c r="CL65" s="438"/>
      <c r="CM65" s="438"/>
      <c r="CN65" s="438"/>
      <c r="CO65" s="438"/>
      <c r="CP65" s="438"/>
      <c r="CQ65" s="438"/>
      <c r="CR65" s="438"/>
      <c r="CS65" s="438"/>
      <c r="CT65" s="438"/>
      <c r="CU65" s="438"/>
      <c r="CV65" s="438"/>
      <c r="CW65" s="438"/>
      <c r="CX65" s="438"/>
      <c r="CY65" s="438"/>
      <c r="CZ65" s="438"/>
      <c r="DA65" s="438"/>
      <c r="DB65" s="438"/>
      <c r="DC65" s="438"/>
      <c r="DD65" s="438"/>
      <c r="DE65" s="438"/>
      <c r="DF65" s="438"/>
      <c r="DG65" s="438"/>
      <c r="DH65" s="438"/>
      <c r="DI65" s="438"/>
      <c r="DJ65" s="438"/>
      <c r="DK65" s="438"/>
      <c r="DL65" s="438"/>
      <c r="DM65" s="438"/>
      <c r="DN65" s="438"/>
      <c r="DO65" s="438"/>
      <c r="DP65" s="438"/>
      <c r="DQ65" s="438"/>
      <c r="DR65" s="438"/>
      <c r="DS65" s="438"/>
      <c r="DT65" s="438"/>
      <c r="DU65" s="438"/>
      <c r="DV65" s="438"/>
      <c r="DW65" s="438"/>
      <c r="DX65" s="438"/>
      <c r="DY65" s="438"/>
      <c r="DZ65" s="438"/>
      <c r="EA65" s="438"/>
      <c r="EB65" s="438"/>
      <c r="EC65" s="438"/>
      <c r="ED65" s="438"/>
      <c r="EE65" s="438"/>
      <c r="EF65" s="438"/>
      <c r="EG65" s="438"/>
      <c r="EH65" s="438"/>
      <c r="EI65" s="438"/>
      <c r="EJ65" s="438"/>
      <c r="EK65" s="438"/>
      <c r="EL65" s="438"/>
      <c r="EM65" s="438"/>
      <c r="EN65" s="438"/>
      <c r="EO65" s="438"/>
      <c r="EP65" s="438"/>
      <c r="EQ65" s="438"/>
      <c r="ER65" s="438"/>
      <c r="ES65" s="438"/>
      <c r="ET65" s="438"/>
      <c r="EU65" s="438"/>
      <c r="EV65" s="438"/>
      <c r="EW65" s="438"/>
      <c r="EX65" s="438"/>
      <c r="EY65" s="438"/>
      <c r="EZ65" s="438"/>
      <c r="FA65" s="438"/>
      <c r="FB65" s="438"/>
      <c r="FC65" s="438"/>
      <c r="FD65" s="438"/>
      <c r="FE65" s="438"/>
      <c r="FF65" s="438"/>
      <c r="FG65" s="438"/>
      <c r="FH65" s="438"/>
      <c r="FI65" s="438"/>
      <c r="FJ65" s="438"/>
      <c r="FK65" s="438"/>
      <c r="FL65" s="438"/>
      <c r="FM65" s="438"/>
      <c r="FN65" s="438"/>
      <c r="FO65" s="438"/>
      <c r="FP65" s="438"/>
      <c r="FQ65" s="438"/>
      <c r="FR65" s="438"/>
      <c r="FS65" s="438"/>
      <c r="FT65" s="438"/>
      <c r="FU65" s="438"/>
      <c r="FV65" s="438"/>
      <c r="FW65" s="438"/>
      <c r="FX65" s="438"/>
      <c r="FY65" s="438"/>
      <c r="FZ65" s="438"/>
      <c r="GA65" s="438"/>
      <c r="GB65" s="438"/>
      <c r="GC65" s="438"/>
      <c r="GD65" s="438"/>
      <c r="GE65" s="438"/>
      <c r="GF65" s="438"/>
      <c r="GG65" s="438"/>
      <c r="GH65" s="438"/>
      <c r="GI65" s="438"/>
      <c r="GJ65" s="438"/>
      <c r="GK65" s="438"/>
      <c r="GL65" s="438"/>
      <c r="GM65" s="438"/>
      <c r="GN65" s="438"/>
      <c r="GO65" s="438"/>
      <c r="GP65" s="438"/>
      <c r="GQ65" s="438"/>
      <c r="GR65" s="438"/>
      <c r="GS65" s="438"/>
      <c r="GT65" s="438"/>
      <c r="GU65" s="438"/>
      <c r="GV65" s="438"/>
      <c r="GW65" s="438"/>
      <c r="GX65" s="438"/>
      <c r="GY65" s="438"/>
      <c r="GZ65" s="438"/>
      <c r="HA65" s="438"/>
      <c r="HB65" s="438"/>
      <c r="HC65" s="438"/>
      <c r="HD65" s="438"/>
      <c r="HE65" s="438"/>
      <c r="HF65" s="438"/>
      <c r="HG65" s="438"/>
      <c r="HH65" s="438"/>
      <c r="HI65" s="438"/>
      <c r="HJ65" s="438"/>
      <c r="HK65" s="438"/>
      <c r="HL65" s="438"/>
      <c r="HM65" s="438"/>
      <c r="HN65" s="438"/>
      <c r="HO65" s="438"/>
      <c r="HP65" s="438"/>
      <c r="HQ65" s="438"/>
      <c r="HR65" s="438"/>
      <c r="HS65" s="438"/>
      <c r="HT65" s="438"/>
      <c r="HU65" s="438"/>
      <c r="HV65" s="438"/>
      <c r="HW65" s="438"/>
      <c r="HX65" s="438"/>
      <c r="HY65" s="438"/>
      <c r="HZ65" s="438"/>
      <c r="IA65" s="438"/>
      <c r="IB65" s="438"/>
      <c r="IC65" s="438"/>
      <c r="ID65" s="438"/>
      <c r="IE65" s="438"/>
      <c r="IF65" s="438"/>
      <c r="IG65" s="438"/>
      <c r="IH65" s="438"/>
      <c r="II65" s="438"/>
      <c r="IJ65" s="438"/>
      <c r="IK65" s="438"/>
      <c r="IL65" s="438"/>
      <c r="IM65" s="438"/>
      <c r="IN65" s="438"/>
      <c r="IO65" s="438"/>
      <c r="IP65" s="438"/>
      <c r="IQ65" s="438"/>
      <c r="IR65" s="438"/>
      <c r="IS65" s="438"/>
      <c r="IT65" s="438"/>
      <c r="IU65" s="438"/>
      <c r="IV65" s="438"/>
      <c r="IW65" s="438"/>
      <c r="IX65" s="438"/>
      <c r="IY65" s="438"/>
      <c r="IZ65" s="438"/>
      <c r="JA65" s="438"/>
      <c r="JB65" s="438"/>
      <c r="JC65" s="438"/>
      <c r="JD65" s="438"/>
      <c r="JE65" s="438"/>
      <c r="JF65" s="438"/>
      <c r="JG65" s="438"/>
      <c r="JH65" s="438"/>
      <c r="JI65" s="438"/>
    </row>
    <row r="66" spans="1:269" ht="15" hidden="1" outlineLevel="1" thickTop="1">
      <c r="A66" s="59" t="s">
        <v>651</v>
      </c>
      <c r="E66" s="599">
        <v>0.9</v>
      </c>
      <c r="F66" s="585"/>
      <c r="G66" s="585"/>
      <c r="H66" s="585"/>
      <c r="I66" s="585"/>
      <c r="J66" s="586"/>
      <c r="K66" s="585"/>
      <c r="L66" s="585"/>
      <c r="M66" s="585"/>
      <c r="N66" s="585"/>
      <c r="O66" s="586"/>
      <c r="P66" s="585"/>
      <c r="Q66" s="585"/>
      <c r="R66" s="585"/>
      <c r="S66" s="585"/>
      <c r="T66" s="586"/>
      <c r="U66" s="585"/>
      <c r="V66" s="585"/>
      <c r="W66" s="585"/>
      <c r="X66" s="585"/>
      <c r="Y66" s="586"/>
      <c r="Z66" s="585"/>
      <c r="AA66" s="585"/>
      <c r="AB66" s="585"/>
      <c r="AC66" s="75"/>
      <c r="AD66" s="286"/>
      <c r="AE66" s="75"/>
      <c r="AF66" s="75"/>
      <c r="AG66" s="75"/>
      <c r="AH66" s="75"/>
      <c r="AI66" s="286"/>
      <c r="AJ66" s="75"/>
      <c r="AK66" s="75"/>
      <c r="AL66" s="75"/>
      <c r="AM66" s="75"/>
      <c r="AN66" s="286"/>
      <c r="AO66" s="75"/>
      <c r="AP66" s="75"/>
      <c r="AQ66" s="75"/>
      <c r="AR66" s="75"/>
      <c r="AS66" s="286"/>
    </row>
    <row r="67" spans="1:269" hidden="1" outlineLevel="1">
      <c r="A67" s="59" t="s">
        <v>652</v>
      </c>
      <c r="E67" s="74">
        <f>E66*E53</f>
        <v>7312.5</v>
      </c>
      <c r="F67" s="71">
        <f>E71</f>
        <v>9206.9431573323836</v>
      </c>
      <c r="G67" s="71">
        <f t="shared" ref="G67:I67" si="155">F71</f>
        <v>9736.9431573323836</v>
      </c>
      <c r="H67" s="71">
        <f t="shared" si="155"/>
        <v>10362.936065133803</v>
      </c>
      <c r="I67" s="71">
        <f t="shared" si="155"/>
        <v>10947.347880767653</v>
      </c>
      <c r="J67" s="74">
        <f>E71</f>
        <v>9206.9431573323836</v>
      </c>
      <c r="K67" s="71">
        <f>J71</f>
        <v>11662.122940183282</v>
      </c>
      <c r="L67" s="71">
        <f t="shared" ref="L67:N67" si="156">K71</f>
        <v>12065.621741511042</v>
      </c>
      <c r="M67" s="71">
        <f t="shared" si="156"/>
        <v>12115.26087440988</v>
      </c>
      <c r="N67" s="71">
        <f t="shared" si="156"/>
        <v>12500.759977419139</v>
      </c>
      <c r="O67" s="74">
        <f>J71</f>
        <v>11662.122940183282</v>
      </c>
      <c r="P67" s="71">
        <f>O71</f>
        <v>12889.770537081231</v>
      </c>
      <c r="Q67" s="71">
        <f t="shared" ref="Q67:S67" si="157">P71</f>
        <v>13439.198501636973</v>
      </c>
      <c r="R67" s="71">
        <f t="shared" si="157"/>
        <v>14183.299665762866</v>
      </c>
      <c r="S67" s="71">
        <f t="shared" si="157"/>
        <v>14897.945740990355</v>
      </c>
      <c r="T67" s="74">
        <f>O71</f>
        <v>12889.770537081231</v>
      </c>
      <c r="U67" s="71">
        <f>T71</f>
        <v>15892.918007045513</v>
      </c>
      <c r="V67" s="71">
        <f t="shared" ref="V67:X67" si="158">U71</f>
        <v>16741.265521552232</v>
      </c>
      <c r="W67" s="71">
        <f t="shared" si="158"/>
        <v>17621.909355580974</v>
      </c>
      <c r="X67" s="71">
        <f t="shared" si="158"/>
        <v>18636.989542985244</v>
      </c>
      <c r="Y67" s="74">
        <f>T71</f>
        <v>15892.918007045513</v>
      </c>
      <c r="Z67" s="71">
        <f>Y71</f>
        <v>19207.802663953727</v>
      </c>
      <c r="AA67" s="71">
        <f t="shared" ref="AA67:AC67" si="159">Z71</f>
        <v>20478.862030188458</v>
      </c>
      <c r="AB67" s="71">
        <f t="shared" si="159"/>
        <v>21711.880220673567</v>
      </c>
      <c r="AC67" s="19">
        <f t="shared" si="159"/>
        <v>18972.549092468438</v>
      </c>
      <c r="AD67" s="76">
        <f>Y71</f>
        <v>19207.802663953727</v>
      </c>
      <c r="AE67" s="19">
        <f>AD71</f>
        <v>20027.263905528263</v>
      </c>
      <c r="AF67" s="19">
        <f t="shared" ref="AF67:AH67" si="160">AE71</f>
        <v>21000.230044057203</v>
      </c>
      <c r="AG67" s="19">
        <f t="shared" si="160"/>
        <v>21897.669937570088</v>
      </c>
      <c r="AH67" s="19">
        <f t="shared" si="160"/>
        <v>22245.855835005987</v>
      </c>
      <c r="AI67" s="76">
        <f>AD71</f>
        <v>20027.263905528263</v>
      </c>
      <c r="AJ67" s="19">
        <f>AI71</f>
        <v>22578.544215017602</v>
      </c>
      <c r="AK67" s="19">
        <f t="shared" ref="AK67:AM67" si="161">AJ71</f>
        <v>22918.76896247693</v>
      </c>
      <c r="AL67" s="19">
        <f t="shared" si="161"/>
        <v>23303.423797483425</v>
      </c>
      <c r="AM67" s="19">
        <f t="shared" si="161"/>
        <v>23700.889850406504</v>
      </c>
      <c r="AN67" s="76">
        <f>AI71</f>
        <v>22578.544215017602</v>
      </c>
      <c r="AO67" s="19">
        <f>AN71</f>
        <v>24155.479340423928</v>
      </c>
      <c r="AP67" s="19">
        <f t="shared" ref="AP67:AR67" si="162">AO71</f>
        <v>24554.750190921055</v>
      </c>
      <c r="AQ67" s="19">
        <f t="shared" si="162"/>
        <v>24947.034753578522</v>
      </c>
      <c r="AR67" s="19">
        <f t="shared" si="162"/>
        <v>25308.849664889291</v>
      </c>
      <c r="AS67" s="76">
        <f>AN71</f>
        <v>24155.479340423928</v>
      </c>
    </row>
    <row r="68" spans="1:269" hidden="1" outlineLevel="1">
      <c r="A68" s="59" t="s">
        <v>653</v>
      </c>
      <c r="E68" s="74">
        <f>E54+E55</f>
        <v>2399</v>
      </c>
      <c r="F68" s="71">
        <f>F54+F55</f>
        <v>694</v>
      </c>
      <c r="G68" s="71">
        <f t="shared" ref="G68:I68" si="163">G54+G55</f>
        <v>834</v>
      </c>
      <c r="H68" s="71">
        <f t="shared" si="163"/>
        <v>777</v>
      </c>
      <c r="I68" s="71">
        <f t="shared" si="163"/>
        <v>1043</v>
      </c>
      <c r="J68" s="74">
        <f>SUM(F68:I68)</f>
        <v>3348</v>
      </c>
      <c r="K68" s="71">
        <f>K54+K55</f>
        <v>549</v>
      </c>
      <c r="L68" s="71">
        <f t="shared" ref="L68:N68" si="164">L54+L55</f>
        <v>74</v>
      </c>
      <c r="M68" s="71">
        <f t="shared" si="164"/>
        <v>629</v>
      </c>
      <c r="N68" s="71">
        <f t="shared" si="164"/>
        <v>548</v>
      </c>
      <c r="O68" s="74">
        <f>SUM(K68:N68)</f>
        <v>1800</v>
      </c>
      <c r="P68" s="71">
        <f>P54+P55</f>
        <v>835.06727272727221</v>
      </c>
      <c r="Q68" s="71">
        <f t="shared" ref="Q68:S68" si="165">Q54+Q55</f>
        <v>1160.0722040244946</v>
      </c>
      <c r="R68" s="71">
        <f t="shared" si="165"/>
        <v>1081.1389710191288</v>
      </c>
      <c r="S68" s="71">
        <f t="shared" si="165"/>
        <v>1536.4273360580919</v>
      </c>
      <c r="T68" s="74">
        <f>SUM(P68:S68)</f>
        <v>4612.7057838289875</v>
      </c>
      <c r="U68" s="71">
        <f>U54+U55</f>
        <v>1434.2942161710125</v>
      </c>
      <c r="V68" s="71">
        <f t="shared" ref="V68:X68" si="166">V54+V55</f>
        <v>1210</v>
      </c>
      <c r="W68" s="71">
        <f t="shared" si="166"/>
        <v>1544</v>
      </c>
      <c r="X68" s="71">
        <f t="shared" si="166"/>
        <v>863</v>
      </c>
      <c r="Y68" s="74">
        <f>SUM(U68:X68)</f>
        <v>5051.2942161710125</v>
      </c>
      <c r="Z68" s="71">
        <f>Z54+Z55</f>
        <v>2070</v>
      </c>
      <c r="AA68" s="71">
        <f t="shared" ref="AA68:AC68" si="167">AA54+AA55</f>
        <v>2276</v>
      </c>
      <c r="AB68" s="71">
        <f t="shared" si="167"/>
        <v>-5166.0500000000029</v>
      </c>
      <c r="AC68" s="19">
        <f t="shared" si="167"/>
        <v>1725</v>
      </c>
      <c r="AD68" s="76">
        <f>SUM(Z68:AC68)</f>
        <v>904.94999999999709</v>
      </c>
      <c r="AE68" s="19">
        <f>AE54+AE55</f>
        <v>1725</v>
      </c>
      <c r="AF68" s="19">
        <f t="shared" ref="AF68:AH68" si="168">AF54+AF55</f>
        <v>1825</v>
      </c>
      <c r="AG68" s="19">
        <f t="shared" si="168"/>
        <v>725</v>
      </c>
      <c r="AH68" s="19">
        <f t="shared" si="168"/>
        <v>592.57439999999997</v>
      </c>
      <c r="AI68" s="76">
        <f>SUM(AE68:AH68)</f>
        <v>4867.5743999999995</v>
      </c>
      <c r="AJ68" s="19">
        <f>AJ54+AJ55</f>
        <v>661.86648000000014</v>
      </c>
      <c r="AK68" s="19">
        <f t="shared" ref="AK68:AM68" si="169">AK54+AK55</f>
        <v>870.7564799999999</v>
      </c>
      <c r="AL68" s="19">
        <f t="shared" si="169"/>
        <v>923.78879999999992</v>
      </c>
      <c r="AM68" s="19">
        <f t="shared" si="169"/>
        <v>888.86159999999984</v>
      </c>
      <c r="AN68" s="76">
        <f>SUM(AJ68:AM68)</f>
        <v>3345.2733599999997</v>
      </c>
      <c r="AO68" s="19">
        <f>AO54+AO55</f>
        <v>860.426424</v>
      </c>
      <c r="AP68" s="19">
        <f t="shared" ref="AP68:AR68" si="170">AP54+AP55</f>
        <v>1001.3699519999998</v>
      </c>
      <c r="AQ68" s="19">
        <f t="shared" si="170"/>
        <v>951.50246400000015</v>
      </c>
      <c r="AR68" s="19">
        <f t="shared" si="170"/>
        <v>1191.0745439999998</v>
      </c>
      <c r="AS68" s="76">
        <f>SUM(AO68:AR68)</f>
        <v>4004.3733839999995</v>
      </c>
    </row>
    <row r="69" spans="1:269" hidden="1" outlineLevel="1">
      <c r="A69" s="59" t="s">
        <v>654</v>
      </c>
      <c r="E69" s="586">
        <f>E145</f>
        <v>0.78968034903392392</v>
      </c>
      <c r="F69" s="585">
        <f>F145</f>
        <v>0.76368876080691639</v>
      </c>
      <c r="G69" s="585">
        <f t="shared" ref="G69:J69" si="171">G145</f>
        <v>0.75059101654846339</v>
      </c>
      <c r="H69" s="585">
        <f t="shared" si="171"/>
        <v>0.75213875885952419</v>
      </c>
      <c r="I69" s="585">
        <f t="shared" si="171"/>
        <v>0.68530686425276111</v>
      </c>
      <c r="J69" s="586">
        <f t="shared" si="171"/>
        <v>0.73456845693571715</v>
      </c>
      <c r="K69" s="585">
        <f>K145</f>
        <v>0.73497049422178506</v>
      </c>
      <c r="L69" s="585">
        <f t="shared" ref="L69:O69" si="172">L145</f>
        <v>0.67079909322754316</v>
      </c>
      <c r="M69" s="585">
        <f t="shared" si="172"/>
        <v>0.61287615740740742</v>
      </c>
      <c r="N69" s="585">
        <f t="shared" si="172"/>
        <v>0.70987328405491035</v>
      </c>
      <c r="O69" s="586">
        <f t="shared" si="172"/>
        <v>0.68395022335673261</v>
      </c>
      <c r="P69" s="585">
        <f>P145</f>
        <v>0.65794455428883936</v>
      </c>
      <c r="Q69" s="585">
        <f t="shared" ref="Q69:T69" si="173">Q145</f>
        <v>0.64142659529680635</v>
      </c>
      <c r="R69" s="585">
        <f t="shared" si="173"/>
        <v>0.66101222357550593</v>
      </c>
      <c r="S69" s="585">
        <f t="shared" si="173"/>
        <v>0.64758823453889502</v>
      </c>
      <c r="T69" s="586">
        <f t="shared" si="173"/>
        <v>0.65142299085687039</v>
      </c>
      <c r="U69" s="585">
        <f>U145</f>
        <v>0.5914738447258503</v>
      </c>
      <c r="V69" s="585">
        <f t="shared" ref="V69:Y69" si="174">V145</f>
        <v>0.72780482151135839</v>
      </c>
      <c r="W69" s="585">
        <f t="shared" si="174"/>
        <v>0.65743535453644475</v>
      </c>
      <c r="X69" s="585">
        <f t="shared" si="174"/>
        <v>0.66142887713613152</v>
      </c>
      <c r="Y69" s="586">
        <f t="shared" si="174"/>
        <v>0.66482360143873886</v>
      </c>
      <c r="Z69" s="585">
        <f>Z145</f>
        <v>0.61403834117619782</v>
      </c>
      <c r="AA69" s="585">
        <f t="shared" ref="AA69:AD69" si="175">AA145</f>
        <v>0.54174788685637432</v>
      </c>
      <c r="AB69" s="585">
        <f t="shared" si="175"/>
        <v>0.53025641025641024</v>
      </c>
      <c r="AC69" s="75">
        <f t="shared" si="175"/>
        <v>0.61142887713613148</v>
      </c>
      <c r="AD69" s="286">
        <f t="shared" si="175"/>
        <v>0.57436787885627849</v>
      </c>
      <c r="AE69" s="75">
        <f>AE145</f>
        <v>0.56403834117619778</v>
      </c>
      <c r="AF69" s="75">
        <f t="shared" ref="AF69:AI69" si="176">AF145</f>
        <v>0.49174788685637433</v>
      </c>
      <c r="AG69" s="75">
        <f t="shared" si="176"/>
        <v>0.48025641025641025</v>
      </c>
      <c r="AH69" s="75">
        <f t="shared" si="176"/>
        <v>0.56142887713613143</v>
      </c>
      <c r="AI69" s="286">
        <f t="shared" si="176"/>
        <v>0.52436787885627845</v>
      </c>
      <c r="AJ69" s="75">
        <f>AJ145</f>
        <v>0.51403834117619773</v>
      </c>
      <c r="AK69" s="75">
        <f t="shared" ref="AK69:AN69" si="177">AK145</f>
        <v>0.44174788685637434</v>
      </c>
      <c r="AL69" s="75">
        <f t="shared" si="177"/>
        <v>0.43025641025641026</v>
      </c>
      <c r="AM69" s="75">
        <f t="shared" si="177"/>
        <v>0.51142887713613139</v>
      </c>
      <c r="AN69" s="286">
        <f t="shared" si="177"/>
        <v>0.4743678788562784</v>
      </c>
      <c r="AO69" s="75">
        <f>AO145</f>
        <v>0.46403834117619774</v>
      </c>
      <c r="AP69" s="75">
        <f t="shared" ref="AP69:AS69" si="178">AP145</f>
        <v>0.39174788685637435</v>
      </c>
      <c r="AQ69" s="75">
        <f t="shared" si="178"/>
        <v>0.38025641025641027</v>
      </c>
      <c r="AR69" s="75">
        <f t="shared" si="178"/>
        <v>0.4614288771361314</v>
      </c>
      <c r="AS69" s="286">
        <f t="shared" si="178"/>
        <v>0.42436787885627847</v>
      </c>
    </row>
    <row r="70" spans="1:269" hidden="1" outlineLevel="1">
      <c r="A70" s="59" t="s">
        <v>656</v>
      </c>
      <c r="E70" s="74">
        <f>E69*E68</f>
        <v>1894.4431573323834</v>
      </c>
      <c r="F70" s="71">
        <f>F69*F68</f>
        <v>530</v>
      </c>
      <c r="G70" s="71">
        <f t="shared" ref="G70:I70" si="179">G69*G68</f>
        <v>625.99290780141848</v>
      </c>
      <c r="H70" s="71">
        <f t="shared" si="179"/>
        <v>584.41181563385032</v>
      </c>
      <c r="I70" s="71">
        <f t="shared" si="179"/>
        <v>714.77505941562981</v>
      </c>
      <c r="J70" s="74">
        <f>SUM(F70:I70)</f>
        <v>2455.1797828508988</v>
      </c>
      <c r="K70" s="71">
        <f>K69*K68</f>
        <v>403.49880132776002</v>
      </c>
      <c r="L70" s="71">
        <f t="shared" ref="L70" si="180">L69*L68</f>
        <v>49.639132898838191</v>
      </c>
      <c r="M70" s="71">
        <f t="shared" ref="M70" si="181">M69*M68</f>
        <v>385.49910300925927</v>
      </c>
      <c r="N70" s="71">
        <f t="shared" ref="N70" si="182">N69*N68</f>
        <v>389.01055966209088</v>
      </c>
      <c r="O70" s="74">
        <f>SUM(K70:N70)</f>
        <v>1227.6475968979482</v>
      </c>
      <c r="P70" s="71">
        <f>P69*P68</f>
        <v>549.42796455574182</v>
      </c>
      <c r="Q70" s="71">
        <f t="shared" ref="Q70" si="183">Q69*Q68</f>
        <v>744.10116412589366</v>
      </c>
      <c r="R70" s="71">
        <f t="shared" ref="R70" si="184">R69*R68</f>
        <v>714.64607522748884</v>
      </c>
      <c r="S70" s="71">
        <f t="shared" ref="S70" si="185">S69*S68</f>
        <v>994.97226605515732</v>
      </c>
      <c r="T70" s="74">
        <f>SUM(P70:S70)</f>
        <v>3003.1474699642818</v>
      </c>
      <c r="U70" s="71">
        <f>U69*U68</f>
        <v>848.34751450671865</v>
      </c>
      <c r="V70" s="71">
        <f t="shared" ref="V70" si="186">V69*V68</f>
        <v>880.64383402874364</v>
      </c>
      <c r="W70" s="71">
        <f t="shared" ref="W70" si="187">W69*W68</f>
        <v>1015.0801874042706</v>
      </c>
      <c r="X70" s="71">
        <f t="shared" ref="X70" si="188">X69*X68</f>
        <v>570.81312096848148</v>
      </c>
      <c r="Y70" s="74">
        <f>SUM(U70:X70)</f>
        <v>3314.8846569082143</v>
      </c>
      <c r="Z70" s="71">
        <f>Z69*Z68</f>
        <v>1271.0593662347294</v>
      </c>
      <c r="AA70" s="71">
        <f t="shared" ref="AA70" si="189">AA69*AA68</f>
        <v>1233.0181904851079</v>
      </c>
      <c r="AB70" s="71">
        <f t="shared" ref="AB70" si="190">AB69*AB68</f>
        <v>-2739.3311282051295</v>
      </c>
      <c r="AC70" s="19">
        <f t="shared" ref="AC70" si="191">AC69*AC68</f>
        <v>1054.7148130598268</v>
      </c>
      <c r="AD70" s="76">
        <f>SUM(Z70:AC70)</f>
        <v>819.46124157453437</v>
      </c>
      <c r="AE70" s="19">
        <f>AE69*AE68</f>
        <v>972.9661385289412</v>
      </c>
      <c r="AF70" s="19">
        <f t="shared" ref="AF70" si="192">AF69*AF68</f>
        <v>897.43989351288315</v>
      </c>
      <c r="AG70" s="19">
        <f t="shared" ref="AG70" si="193">AG69*AG68</f>
        <v>348.1858974358974</v>
      </c>
      <c r="AH70" s="19">
        <f t="shared" ref="AH70" si="194">AH69*AH68</f>
        <v>332.6883800116168</v>
      </c>
      <c r="AI70" s="76">
        <f>SUM(AE70:AH70)</f>
        <v>2551.2803094893388</v>
      </c>
      <c r="AJ70" s="19">
        <f>AJ69*AJ68</f>
        <v>340.22474745932914</v>
      </c>
      <c r="AK70" s="19">
        <f t="shared" ref="AK70" si="195">AK69*AK68</f>
        <v>384.65483500649475</v>
      </c>
      <c r="AL70" s="19">
        <f t="shared" ref="AL70" si="196">AL69*AL68</f>
        <v>397.46605292307692</v>
      </c>
      <c r="AM70" s="19">
        <f t="shared" ref="AM70" si="197">AM69*AM68</f>
        <v>454.58949001742508</v>
      </c>
      <c r="AN70" s="76">
        <f>SUM(AJ70:AM70)</f>
        <v>1576.9351254063258</v>
      </c>
      <c r="AO70" s="19">
        <f>AO69*AO68</f>
        <v>399.27085049712775</v>
      </c>
      <c r="AP70" s="19">
        <f t="shared" ref="AP70" si="198">AP69*AP68</f>
        <v>392.28456265746894</v>
      </c>
      <c r="AQ70" s="19">
        <f t="shared" ref="AQ70" si="199">AQ69*AQ68</f>
        <v>361.81491131076928</v>
      </c>
      <c r="AR70" s="19">
        <f t="shared" ref="AR70" si="200">AR69*AR68</f>
        <v>549.59618942334964</v>
      </c>
      <c r="AS70" s="76">
        <f>SUM(AO70:AR70)</f>
        <v>1702.9665138887156</v>
      </c>
    </row>
    <row r="71" spans="1:269" hidden="1" outlineLevel="1">
      <c r="A71" s="59" t="s">
        <v>655</v>
      </c>
      <c r="E71" s="74">
        <f>E67+E70</f>
        <v>9206.9431573323836</v>
      </c>
      <c r="F71" s="71">
        <f>F67+F70</f>
        <v>9736.9431573323836</v>
      </c>
      <c r="G71" s="71">
        <f t="shared" ref="G71:I71" si="201">G67+G70</f>
        <v>10362.936065133803</v>
      </c>
      <c r="H71" s="71">
        <f t="shared" si="201"/>
        <v>10947.347880767653</v>
      </c>
      <c r="I71" s="71">
        <f t="shared" si="201"/>
        <v>11662.122940183282</v>
      </c>
      <c r="J71" s="74">
        <f>J70+J67</f>
        <v>11662.122940183282</v>
      </c>
      <c r="K71" s="71">
        <f>K67+K70</f>
        <v>12065.621741511042</v>
      </c>
      <c r="L71" s="71">
        <f t="shared" ref="L71" si="202">L67+L70</f>
        <v>12115.26087440988</v>
      </c>
      <c r="M71" s="71">
        <f t="shared" ref="M71" si="203">M67+M70</f>
        <v>12500.759977419139</v>
      </c>
      <c r="N71" s="71">
        <f t="shared" ref="N71" si="204">N67+N70</f>
        <v>12889.770537081229</v>
      </c>
      <c r="O71" s="74">
        <f>O70+O67</f>
        <v>12889.770537081231</v>
      </c>
      <c r="P71" s="71">
        <f>P67+P70</f>
        <v>13439.198501636973</v>
      </c>
      <c r="Q71" s="71">
        <f t="shared" ref="Q71" si="205">Q67+Q70</f>
        <v>14183.299665762866</v>
      </c>
      <c r="R71" s="71">
        <f t="shared" ref="R71" si="206">R67+R70</f>
        <v>14897.945740990355</v>
      </c>
      <c r="S71" s="71">
        <f t="shared" ref="S71" si="207">S67+S70</f>
        <v>15892.918007045513</v>
      </c>
      <c r="T71" s="74">
        <f>T70+T67</f>
        <v>15892.918007045513</v>
      </c>
      <c r="U71" s="71">
        <f>U67+U70</f>
        <v>16741.265521552232</v>
      </c>
      <c r="V71" s="71">
        <f t="shared" ref="V71" si="208">V67+V70</f>
        <v>17621.909355580974</v>
      </c>
      <c r="W71" s="71">
        <f t="shared" ref="W71" si="209">W67+W70</f>
        <v>18636.989542985244</v>
      </c>
      <c r="X71" s="71">
        <f t="shared" ref="X71" si="210">X67+X70</f>
        <v>19207.802663953724</v>
      </c>
      <c r="Y71" s="74">
        <f>Y70+Y67</f>
        <v>19207.802663953727</v>
      </c>
      <c r="Z71" s="71">
        <f>Z67+Z70</f>
        <v>20478.862030188458</v>
      </c>
      <c r="AA71" s="71">
        <f t="shared" ref="AA71" si="211">AA67+AA70</f>
        <v>21711.880220673567</v>
      </c>
      <c r="AB71" s="71">
        <f t="shared" ref="AB71" si="212">AB67+AB70</f>
        <v>18972.549092468438</v>
      </c>
      <c r="AC71" s="19">
        <f t="shared" ref="AC71" si="213">AC67+AC70</f>
        <v>20027.263905528263</v>
      </c>
      <c r="AD71" s="76">
        <f>AD70+AD67</f>
        <v>20027.263905528263</v>
      </c>
      <c r="AE71" s="19">
        <f>AE67+AE70</f>
        <v>21000.230044057203</v>
      </c>
      <c r="AF71" s="19">
        <f t="shared" ref="AF71" si="214">AF67+AF70</f>
        <v>21897.669937570088</v>
      </c>
      <c r="AG71" s="19">
        <f t="shared" ref="AG71" si="215">AG67+AG70</f>
        <v>22245.855835005987</v>
      </c>
      <c r="AH71" s="19">
        <f t="shared" ref="AH71" si="216">AH67+AH70</f>
        <v>22578.544215017602</v>
      </c>
      <c r="AI71" s="76">
        <f>AI70+AI67</f>
        <v>22578.544215017602</v>
      </c>
      <c r="AJ71" s="19">
        <f>AJ67+AJ70</f>
        <v>22918.76896247693</v>
      </c>
      <c r="AK71" s="19">
        <f t="shared" ref="AK71" si="217">AK67+AK70</f>
        <v>23303.423797483425</v>
      </c>
      <c r="AL71" s="19">
        <f t="shared" ref="AL71" si="218">AL67+AL70</f>
        <v>23700.889850406504</v>
      </c>
      <c r="AM71" s="19">
        <f t="shared" ref="AM71" si="219">AM67+AM70</f>
        <v>24155.479340423928</v>
      </c>
      <c r="AN71" s="76">
        <f>AN70+AN67</f>
        <v>24155.479340423928</v>
      </c>
      <c r="AO71" s="19">
        <f>AO67+AO70</f>
        <v>24554.750190921055</v>
      </c>
      <c r="AP71" s="19">
        <f t="shared" ref="AP71" si="220">AP67+AP70</f>
        <v>24947.034753578522</v>
      </c>
      <c r="AQ71" s="19">
        <f t="shared" ref="AQ71" si="221">AQ67+AQ70</f>
        <v>25308.849664889291</v>
      </c>
      <c r="AR71" s="19">
        <f t="shared" ref="AR71" si="222">AR67+AR70</f>
        <v>25858.445854312638</v>
      </c>
      <c r="AS71" s="76">
        <f>AS70+AS67</f>
        <v>25858.445854312642</v>
      </c>
    </row>
    <row r="72" spans="1:269" hidden="1" outlineLevel="1">
      <c r="A72" s="59"/>
      <c r="E72" s="74"/>
      <c r="F72" s="71"/>
      <c r="G72" s="71"/>
      <c r="H72" s="71"/>
      <c r="I72" s="71"/>
      <c r="J72" s="74"/>
      <c r="K72" s="71"/>
      <c r="L72" s="71"/>
      <c r="M72" s="71"/>
      <c r="N72" s="71"/>
      <c r="O72" s="74"/>
      <c r="P72" s="71"/>
      <c r="Q72" s="71"/>
      <c r="R72" s="71"/>
      <c r="S72" s="71"/>
      <c r="T72" s="74"/>
      <c r="U72" s="71"/>
      <c r="V72" s="71"/>
      <c r="W72" s="71"/>
      <c r="X72" s="71"/>
      <c r="Y72" s="74"/>
      <c r="Z72" s="71"/>
      <c r="AA72" s="71"/>
      <c r="AB72" s="71"/>
      <c r="AC72" s="19"/>
      <c r="AD72" s="76"/>
      <c r="AE72" s="19"/>
      <c r="AF72" s="19"/>
      <c r="AG72" s="19"/>
      <c r="AH72" s="19"/>
      <c r="AI72" s="76"/>
      <c r="AJ72" s="19"/>
      <c r="AK72" s="19"/>
      <c r="AL72" s="19"/>
      <c r="AM72" s="19"/>
      <c r="AN72" s="76"/>
      <c r="AO72" s="19"/>
      <c r="AP72" s="19"/>
      <c r="AQ72" s="19"/>
      <c r="AR72" s="19"/>
      <c r="AS72" s="76"/>
    </row>
    <row r="73" spans="1:269" hidden="1" outlineLevel="1">
      <c r="A73" s="59" t="s">
        <v>657</v>
      </c>
      <c r="E73" s="74">
        <f>AVERAGE(E67,E71)</f>
        <v>8259.7215786661909</v>
      </c>
      <c r="F73" s="71">
        <f>AVERAGE(F67,F71)</f>
        <v>9471.9431573323836</v>
      </c>
      <c r="G73" s="71">
        <f>AVERAGE(G67,G71)</f>
        <v>10049.939611233094</v>
      </c>
      <c r="H73" s="71">
        <f>AVERAGE(H67,H71)</f>
        <v>10655.141972950729</v>
      </c>
      <c r="I73" s="71">
        <f>AVERAGE(I67,I71)</f>
        <v>11304.735410475467</v>
      </c>
      <c r="J73" s="74">
        <f>AVERAGE(J67,J71)</f>
        <v>10434.533048757832</v>
      </c>
      <c r="K73" s="71">
        <f>AVERAGE(K67,K71)</f>
        <v>11863.872340847163</v>
      </c>
      <c r="L73" s="71">
        <f>AVERAGE(L67,L71)</f>
        <v>12090.44130796046</v>
      </c>
      <c r="M73" s="71">
        <f>AVERAGE(M67,M71)</f>
        <v>12308.010425914508</v>
      </c>
      <c r="N73" s="71">
        <f>AVERAGE(N67,N71)</f>
        <v>12695.265257250183</v>
      </c>
      <c r="O73" s="74">
        <f>AVERAGE(O67,O71)</f>
        <v>12275.946738632258</v>
      </c>
      <c r="P73" s="71">
        <f>AVERAGE(P67,P71)</f>
        <v>13164.484519359103</v>
      </c>
      <c r="Q73" s="71">
        <f>AVERAGE(Q67,Q71)</f>
        <v>13811.24908369992</v>
      </c>
      <c r="R73" s="71">
        <f>AVERAGE(R67,R71)</f>
        <v>14540.622703376612</v>
      </c>
      <c r="S73" s="71">
        <f>AVERAGE(S67,S71)</f>
        <v>15395.431874017933</v>
      </c>
      <c r="T73" s="74">
        <f>AVERAGE(T67,T71)</f>
        <v>14391.344272063372</v>
      </c>
      <c r="U73" s="71">
        <f>AVERAGE(U67,U71)</f>
        <v>16317.091764298872</v>
      </c>
      <c r="V73" s="71">
        <f>AVERAGE(V67,V71)</f>
        <v>17181.587438566603</v>
      </c>
      <c r="W73" s="71">
        <f>AVERAGE(W67,W71)</f>
        <v>18129.449449283107</v>
      </c>
      <c r="X73" s="71">
        <f>AVERAGE(X67,X71)</f>
        <v>18922.396103469484</v>
      </c>
      <c r="Y73" s="74">
        <f>AVERAGE(Y67,Y71)</f>
        <v>17550.360335499619</v>
      </c>
      <c r="Z73" s="71">
        <f>AVERAGE(Z67,Z71)</f>
        <v>19843.332347071093</v>
      </c>
      <c r="AA73" s="71">
        <f>AVERAGE(AA67,AA71)</f>
        <v>21095.371125431011</v>
      </c>
      <c r="AB73" s="71">
        <f>AVERAGE(AB67,AB71)</f>
        <v>20342.214656571003</v>
      </c>
      <c r="AC73" s="19">
        <f>AVERAGE(AC67,AC71)</f>
        <v>19499.906498998353</v>
      </c>
      <c r="AD73" s="76">
        <f>AVERAGE(AD67,AD71)</f>
        <v>19617.533284740995</v>
      </c>
      <c r="AE73" s="19">
        <f>AVERAGE(AE67,AE71)</f>
        <v>20513.746974792732</v>
      </c>
      <c r="AF73" s="19">
        <f>AVERAGE(AF67,AF71)</f>
        <v>21448.949990813646</v>
      </c>
      <c r="AG73" s="19">
        <f>AVERAGE(AG67,AG71)</f>
        <v>22071.762886288037</v>
      </c>
      <c r="AH73" s="19">
        <f>AVERAGE(AH67,AH71)</f>
        <v>22412.200025011793</v>
      </c>
      <c r="AI73" s="76">
        <f>AVERAGE(AI67,AI71)</f>
        <v>21302.904060272933</v>
      </c>
      <c r="AJ73" s="19">
        <f>AVERAGE(AJ67,AJ71)</f>
        <v>22748.656588747268</v>
      </c>
      <c r="AK73" s="19">
        <f>AVERAGE(AK67,AK71)</f>
        <v>23111.096379980176</v>
      </c>
      <c r="AL73" s="19">
        <f>AVERAGE(AL67,AL71)</f>
        <v>23502.156823944963</v>
      </c>
      <c r="AM73" s="19">
        <f>AVERAGE(AM67,AM71)</f>
        <v>23928.184595415216</v>
      </c>
      <c r="AN73" s="76">
        <f>AVERAGE(AN67,AN71)</f>
        <v>23367.011777720763</v>
      </c>
      <c r="AO73" s="19">
        <f>AVERAGE(AO67,AO71)</f>
        <v>24355.114765672493</v>
      </c>
      <c r="AP73" s="19">
        <f>AVERAGE(AP67,AP71)</f>
        <v>24750.89247224979</v>
      </c>
      <c r="AQ73" s="19">
        <f>AVERAGE(AQ67,AQ71)</f>
        <v>25127.942209233908</v>
      </c>
      <c r="AR73" s="19">
        <f>AVERAGE(AR67,AR71)</f>
        <v>25583.647759600964</v>
      </c>
      <c r="AS73" s="76">
        <f>AVERAGE(AS67,AS71)</f>
        <v>25006.962597368285</v>
      </c>
    </row>
    <row r="74" spans="1:269" hidden="1" outlineLevel="1">
      <c r="A74" s="59" t="s">
        <v>658</v>
      </c>
      <c r="E74" s="586">
        <f>E73/E59</f>
        <v>0.88580852363839246</v>
      </c>
      <c r="F74" s="585">
        <f>F73/F59</f>
        <v>0.87130375837847329</v>
      </c>
      <c r="G74" s="585">
        <f>G73/G59</f>
        <v>0.86376790814207938</v>
      </c>
      <c r="H74" s="585">
        <f>H73/H59</f>
        <v>0.85648824186734684</v>
      </c>
      <c r="I74" s="585">
        <f>I73/I59</f>
        <v>0.84676494591779083</v>
      </c>
      <c r="J74" s="586">
        <f>J73/J59</f>
        <v>0.85542982855860239</v>
      </c>
      <c r="K74" s="585">
        <f>K73/K59</f>
        <v>0.83864364619143694</v>
      </c>
      <c r="L74" s="585">
        <f>L73/L59</f>
        <v>0.83624576759997649</v>
      </c>
      <c r="M74" s="585">
        <f>M73/M59</f>
        <v>0.83108885687663381</v>
      </c>
      <c r="N74" s="585">
        <f>N73/N59</f>
        <v>0.82447494851605296</v>
      </c>
      <c r="O74" s="586">
        <f>O73/O59</f>
        <v>0.83102807599730966</v>
      </c>
      <c r="P74" s="585">
        <f>P73/P59</f>
        <v>0.81820174635803689</v>
      </c>
      <c r="Q74" s="585">
        <f>Q73/Q59</f>
        <v>0.80828498434190943</v>
      </c>
      <c r="R74" s="585">
        <f>R73/R59</f>
        <v>0.79859705213404941</v>
      </c>
      <c r="S74" s="585">
        <f>S73/S59</f>
        <v>0.78884216398469853</v>
      </c>
      <c r="T74" s="586">
        <f>T73/T59</f>
        <v>0.80048179933856289</v>
      </c>
      <c r="U74" s="585">
        <f>U73/U59</f>
        <v>0.77693581839061399</v>
      </c>
      <c r="V74" s="585">
        <f>V73/V59</f>
        <v>0.76964645397628573</v>
      </c>
      <c r="W74" s="585">
        <f>W73/W59</f>
        <v>0.76492339771668316</v>
      </c>
      <c r="X74" s="585">
        <f>X73/X59</f>
        <v>0.75979827354371632</v>
      </c>
      <c r="Y74" s="586">
        <f>Y73/Y59</f>
        <v>0.76940328010973613</v>
      </c>
      <c r="Z74" s="585">
        <f>Z73/Z59</f>
        <v>0.75246795142660849</v>
      </c>
      <c r="AA74" s="585">
        <f>AA73/AA59</f>
        <v>0.73904747496605283</v>
      </c>
      <c r="AB74" s="585">
        <f>AB73/AB59</f>
        <v>0.82975428880263691</v>
      </c>
      <c r="AC74" s="75">
        <f>AC73/AC59</f>
        <v>0.76836475430920148</v>
      </c>
      <c r="AD74" s="286">
        <f>AD73/AD59</f>
        <v>0.84329959263291021</v>
      </c>
      <c r="AE74" s="75">
        <f>AE73/AE59</f>
        <v>0.75686847891293296</v>
      </c>
      <c r="AF74" s="75">
        <f>AF73/AF59</f>
        <v>0.74273203689303435</v>
      </c>
      <c r="AG74" s="75">
        <f>AG73/AG59</f>
        <v>0.73198134496344658</v>
      </c>
      <c r="AH74" s="75">
        <f>AH73/AH59</f>
        <v>0.72737983547042784</v>
      </c>
      <c r="AI74" s="286">
        <f>AI73/AI59</f>
        <v>0.74291540709474879</v>
      </c>
      <c r="AJ74" s="75">
        <f>AJ73/AJ59</f>
        <v>0.72357026158760629</v>
      </c>
      <c r="AK74" s="75">
        <f>AK73/AK59</f>
        <v>0.71760734214628741</v>
      </c>
      <c r="AL74" s="75">
        <f>AL73/AL59</f>
        <v>0.70996970593632125</v>
      </c>
      <c r="AM74" s="75">
        <f>AM73/AM59</f>
        <v>0.70357630071616062</v>
      </c>
      <c r="AN74" s="286">
        <f>AN73/AN59</f>
        <v>0.71281830807320401</v>
      </c>
      <c r="AO74" s="75">
        <f>AO73/AO59</f>
        <v>0.69817415162555063</v>
      </c>
      <c r="AP74" s="75">
        <f>AP73/AP59</f>
        <v>0.69107790729490137</v>
      </c>
      <c r="AQ74" s="75">
        <f>AQ73/AQ59</f>
        <v>0.68298514114923981</v>
      </c>
      <c r="AR74" s="75">
        <f>AR73/AR59</f>
        <v>0.67569646227175106</v>
      </c>
      <c r="AS74" s="286">
        <f>AS73/AS59</f>
        <v>0.68594945310814104</v>
      </c>
    </row>
    <row r="75" spans="1:269" ht="15" collapsed="1" thickTop="1">
      <c r="A75" s="59"/>
      <c r="E75" s="586"/>
      <c r="F75" s="585"/>
      <c r="G75" s="585"/>
      <c r="H75" s="585"/>
      <c r="I75" s="585"/>
      <c r="J75" s="586"/>
      <c r="K75" s="585"/>
      <c r="L75" s="585"/>
      <c r="M75" s="585"/>
      <c r="N75" s="585"/>
      <c r="O75" s="586"/>
      <c r="P75" s="585"/>
      <c r="Q75" s="585"/>
      <c r="R75" s="585"/>
      <c r="S75" s="585"/>
      <c r="T75" s="586"/>
      <c r="U75" s="585"/>
      <c r="V75" s="585"/>
      <c r="W75" s="585"/>
      <c r="X75" s="585"/>
      <c r="Y75" s="586"/>
      <c r="Z75" s="585"/>
      <c r="AA75" s="585"/>
      <c r="AB75" s="585"/>
      <c r="AC75" s="75"/>
      <c r="AD75" s="286"/>
      <c r="AE75" s="75"/>
      <c r="AF75" s="75"/>
      <c r="AG75" s="75"/>
      <c r="AH75" s="75"/>
      <c r="AI75" s="286"/>
      <c r="AJ75" s="75"/>
      <c r="AK75" s="75"/>
      <c r="AL75" s="75"/>
      <c r="AM75" s="75"/>
      <c r="AN75" s="286"/>
      <c r="AO75" s="75"/>
      <c r="AP75" s="75"/>
      <c r="AQ75" s="75"/>
      <c r="AR75" s="75"/>
      <c r="AS75" s="286"/>
    </row>
    <row r="76" spans="1:269" ht="15" thickBot="1">
      <c r="A76" s="576" t="s">
        <v>748</v>
      </c>
      <c r="B76" s="67"/>
      <c r="C76" s="792"/>
      <c r="D76" s="792"/>
      <c r="E76" s="478"/>
      <c r="F76" s="477"/>
      <c r="G76" s="477"/>
      <c r="H76" s="477"/>
      <c r="I76" s="477"/>
      <c r="J76" s="478"/>
      <c r="K76" s="477"/>
      <c r="L76" s="477"/>
      <c r="M76" s="477"/>
      <c r="N76" s="477"/>
      <c r="O76" s="478"/>
      <c r="P76" s="477"/>
      <c r="Q76" s="477"/>
      <c r="R76" s="477"/>
      <c r="S76" s="477"/>
      <c r="T76" s="478"/>
      <c r="U76" s="477"/>
      <c r="V76" s="477"/>
      <c r="W76" s="477"/>
      <c r="X76" s="477"/>
      <c r="Y76" s="478"/>
      <c r="Z76" s="477"/>
      <c r="AA76" s="477"/>
      <c r="AB76" s="477"/>
      <c r="AC76" s="793"/>
      <c r="AD76" s="794"/>
      <c r="AE76" s="793"/>
      <c r="AF76" s="793"/>
      <c r="AG76" s="793"/>
      <c r="AH76" s="793"/>
      <c r="AI76" s="794"/>
      <c r="AJ76" s="793"/>
      <c r="AK76" s="793"/>
      <c r="AL76" s="793"/>
      <c r="AM76" s="793"/>
      <c r="AN76" s="794"/>
      <c r="AO76" s="793"/>
      <c r="AP76" s="793"/>
      <c r="AQ76" s="793"/>
      <c r="AR76" s="793"/>
      <c r="AS76" s="794"/>
    </row>
    <row r="77" spans="1:269" ht="15" thickTop="1">
      <c r="A77" s="781" t="s">
        <v>704</v>
      </c>
      <c r="E77" s="586"/>
      <c r="F77" s="585"/>
      <c r="G77" s="585"/>
      <c r="H77" s="585"/>
      <c r="I77" s="585"/>
      <c r="J77" s="586"/>
      <c r="K77" s="585"/>
      <c r="L77" s="585"/>
      <c r="M77" s="585"/>
      <c r="N77" s="585"/>
      <c r="O77" s="586"/>
      <c r="P77" s="585"/>
      <c r="Q77" s="585"/>
      <c r="R77" s="585"/>
      <c r="S77" s="585"/>
      <c r="T77" s="586"/>
      <c r="U77" s="585"/>
      <c r="V77" s="585"/>
      <c r="W77" s="585"/>
      <c r="X77" s="585"/>
      <c r="Y77" s="586"/>
      <c r="Z77" s="585"/>
      <c r="AA77" s="585"/>
      <c r="AB77" s="585"/>
      <c r="AC77" s="75"/>
      <c r="AD77" s="286"/>
      <c r="AE77" s="75"/>
      <c r="AF77" s="75"/>
      <c r="AG77" s="75"/>
      <c r="AH77" s="75"/>
      <c r="AI77" s="286"/>
      <c r="AJ77" s="75"/>
      <c r="AK77" s="75"/>
      <c r="AL77" s="75"/>
      <c r="AM77" s="75"/>
      <c r="AN77" s="286"/>
      <c r="AO77" s="75"/>
      <c r="AP77" s="75"/>
      <c r="AQ77" s="75"/>
      <c r="AR77" s="75"/>
      <c r="AS77" s="286"/>
    </row>
    <row r="78" spans="1:269">
      <c r="A78" s="437" t="s">
        <v>730</v>
      </c>
      <c r="E78" s="586"/>
      <c r="F78" s="585"/>
      <c r="G78" s="585"/>
      <c r="H78" s="585"/>
      <c r="I78" s="585"/>
      <c r="J78" s="586"/>
      <c r="K78" s="585"/>
      <c r="L78" s="585"/>
      <c r="M78" s="585"/>
      <c r="N78" s="585"/>
      <c r="O78" s="586"/>
      <c r="P78" s="585"/>
      <c r="Q78" s="585"/>
      <c r="R78" s="585"/>
      <c r="S78" s="585"/>
      <c r="T78" s="586"/>
      <c r="U78" s="71">
        <v>0</v>
      </c>
      <c r="V78" s="71">
        <f>U85</f>
        <v>91.350000000000009</v>
      </c>
      <c r="W78" s="71">
        <f>V85</f>
        <v>2265</v>
      </c>
      <c r="X78" s="71">
        <f>W85</f>
        <v>3041</v>
      </c>
      <c r="Y78" s="74">
        <f>U78</f>
        <v>0</v>
      </c>
      <c r="Z78" s="71">
        <f>X85</f>
        <v>4001.8</v>
      </c>
      <c r="AA78" s="71">
        <f>Z85</f>
        <v>4780.4000000000005</v>
      </c>
      <c r="AB78" s="71">
        <f>AA85</f>
        <v>6125.7000000000007</v>
      </c>
      <c r="AC78" s="66">
        <v>4500</v>
      </c>
      <c r="AD78" s="76">
        <f>Y85</f>
        <v>4001.8</v>
      </c>
      <c r="AE78" s="71">
        <f>AC85</f>
        <v>3075</v>
      </c>
      <c r="AF78" s="19">
        <f>AE85</f>
        <v>1650</v>
      </c>
      <c r="AG78" s="19">
        <f>AF85</f>
        <v>225</v>
      </c>
      <c r="AH78" s="19"/>
      <c r="AI78" s="76"/>
      <c r="AJ78" s="19"/>
      <c r="AK78" s="19"/>
      <c r="AL78" s="19"/>
      <c r="AM78" s="19"/>
      <c r="AN78" s="76"/>
      <c r="AO78" s="19"/>
      <c r="AP78" s="19"/>
      <c r="AQ78" s="19"/>
      <c r="AR78" s="19"/>
      <c r="AS78" s="76"/>
    </row>
    <row r="79" spans="1:269">
      <c r="A79" s="795" t="s">
        <v>744</v>
      </c>
      <c r="E79" s="586"/>
      <c r="F79" s="585"/>
      <c r="G79" s="585"/>
      <c r="H79" s="585"/>
      <c r="I79" s="585"/>
      <c r="J79" s="586"/>
      <c r="K79" s="585"/>
      <c r="L79" s="585"/>
      <c r="M79" s="585"/>
      <c r="N79" s="585"/>
      <c r="O79" s="586"/>
      <c r="P79" s="585"/>
      <c r="Q79" s="585"/>
      <c r="R79" s="585"/>
      <c r="S79" s="585"/>
      <c r="T79" s="586"/>
      <c r="U79" s="71">
        <f>U83+U81</f>
        <v>91.350000000000009</v>
      </c>
      <c r="V79" s="71">
        <f>V83+V81</f>
        <v>1817</v>
      </c>
      <c r="W79" s="71">
        <f>W83+W81</f>
        <v>776.00000000000011</v>
      </c>
      <c r="X79" s="71">
        <f>X83+X81</f>
        <v>960.80000000000007</v>
      </c>
      <c r="Y79" s="74">
        <f>Y85-Y78</f>
        <v>4001.8</v>
      </c>
      <c r="Z79" s="71">
        <f>Z83+Z81</f>
        <v>778.60000000000014</v>
      </c>
      <c r="AA79" s="71">
        <f>AA83+AA81</f>
        <v>1345.3</v>
      </c>
      <c r="AB79" s="71">
        <f>AB83+AB81</f>
        <v>1037</v>
      </c>
      <c r="AC79" s="594">
        <v>0</v>
      </c>
      <c r="AD79" s="76">
        <f>AD85-AD78+AD84</f>
        <v>3348.2</v>
      </c>
      <c r="AE79" s="594">
        <v>0</v>
      </c>
      <c r="AF79" s="594">
        <v>0</v>
      </c>
      <c r="AG79" s="594">
        <v>0</v>
      </c>
      <c r="AH79" s="19"/>
      <c r="AI79" s="76"/>
      <c r="AJ79" s="19"/>
      <c r="AK79" s="19"/>
      <c r="AL79" s="19"/>
      <c r="AM79" s="19"/>
      <c r="AN79" s="76"/>
      <c r="AO79" s="19"/>
      <c r="AP79" s="19"/>
      <c r="AQ79" s="19"/>
      <c r="AR79" s="19"/>
      <c r="AS79" s="76"/>
    </row>
    <row r="80" spans="1:269">
      <c r="A80" s="798" t="s">
        <v>702</v>
      </c>
      <c r="E80" s="586"/>
      <c r="F80" s="585"/>
      <c r="G80" s="585"/>
      <c r="H80" s="585"/>
      <c r="I80" s="585"/>
      <c r="J80" s="586"/>
      <c r="K80" s="585"/>
      <c r="L80" s="585"/>
      <c r="M80" s="585"/>
      <c r="N80" s="585"/>
      <c r="O80" s="586"/>
      <c r="P80" s="585"/>
      <c r="Q80" s="585"/>
      <c r="R80" s="585"/>
      <c r="S80" s="585"/>
      <c r="T80" s="586"/>
      <c r="U80" s="598">
        <v>0.05</v>
      </c>
      <c r="V80" s="598">
        <v>0.4</v>
      </c>
      <c r="W80" s="598">
        <v>0.4</v>
      </c>
      <c r="X80" s="598">
        <v>0.4</v>
      </c>
      <c r="Y80" s="586"/>
      <c r="Z80" s="598">
        <v>0.4</v>
      </c>
      <c r="AA80" s="598">
        <v>0.4</v>
      </c>
      <c r="AB80" s="598">
        <v>0.4</v>
      </c>
      <c r="AC80" s="598"/>
      <c r="AD80" s="286"/>
      <c r="AE80" s="75"/>
      <c r="AF80" s="75"/>
      <c r="AG80" s="75"/>
      <c r="AH80" s="75"/>
      <c r="AI80" s="286"/>
      <c r="AJ80" s="75"/>
      <c r="AK80" s="75"/>
      <c r="AL80" s="75"/>
      <c r="AM80" s="75"/>
      <c r="AN80" s="286"/>
      <c r="AO80" s="75"/>
      <c r="AP80" s="75"/>
      <c r="AQ80" s="75"/>
      <c r="AR80" s="75"/>
      <c r="AS80" s="286"/>
    </row>
    <row r="81" spans="1:47">
      <c r="A81" s="798" t="s">
        <v>728</v>
      </c>
      <c r="E81" s="586"/>
      <c r="F81" s="585"/>
      <c r="G81" s="585"/>
      <c r="H81" s="585"/>
      <c r="I81" s="585"/>
      <c r="J81" s="586"/>
      <c r="K81" s="585"/>
      <c r="L81" s="585"/>
      <c r="M81" s="585"/>
      <c r="N81" s="585"/>
      <c r="O81" s="586"/>
      <c r="P81" s="585"/>
      <c r="Q81" s="585"/>
      <c r="R81" s="585"/>
      <c r="S81" s="585"/>
      <c r="T81" s="586"/>
      <c r="U81" s="71">
        <f>U80*U36</f>
        <v>78.45</v>
      </c>
      <c r="V81" s="71">
        <f>V80*V36</f>
        <v>614</v>
      </c>
      <c r="W81" s="71">
        <f>W80*W36</f>
        <v>718.40000000000009</v>
      </c>
      <c r="X81" s="71">
        <f>X80*X36</f>
        <v>719.6</v>
      </c>
      <c r="Y81" s="74">
        <f>SUM(U81:X81)</f>
        <v>2130.4500000000003</v>
      </c>
      <c r="Z81" s="71">
        <f>Z80*Z36</f>
        <v>654.40000000000009</v>
      </c>
      <c r="AA81" s="71">
        <f>AA80*AA36</f>
        <v>955.6</v>
      </c>
      <c r="AB81" s="71">
        <f>AB80*AB36</f>
        <v>711.2</v>
      </c>
      <c r="AC81" s="75"/>
      <c r="AD81" s="286"/>
      <c r="AE81" s="75"/>
      <c r="AF81" s="75"/>
      <c r="AG81" s="75"/>
      <c r="AH81" s="75"/>
      <c r="AI81" s="286"/>
      <c r="AJ81" s="75"/>
      <c r="AK81" s="75"/>
      <c r="AL81" s="75"/>
      <c r="AM81" s="75"/>
      <c r="AN81" s="286"/>
      <c r="AO81" s="75"/>
      <c r="AP81" s="75"/>
      <c r="AQ81" s="75"/>
      <c r="AR81" s="75"/>
      <c r="AS81" s="286"/>
    </row>
    <row r="82" spans="1:47">
      <c r="A82" s="798" t="s">
        <v>703</v>
      </c>
      <c r="E82" s="586"/>
      <c r="F82" s="585"/>
      <c r="G82" s="585"/>
      <c r="H82" s="585"/>
      <c r="I82" s="585"/>
      <c r="J82" s="586"/>
      <c r="K82" s="585"/>
      <c r="L82" s="585"/>
      <c r="M82" s="585"/>
      <c r="N82" s="585"/>
      <c r="O82" s="586"/>
      <c r="P82" s="585"/>
      <c r="Q82" s="585"/>
      <c r="R82" s="585"/>
      <c r="S82" s="585"/>
      <c r="T82" s="586"/>
      <c r="U82" s="598">
        <v>0.05</v>
      </c>
      <c r="V82" s="598">
        <v>1</v>
      </c>
      <c r="W82" s="598">
        <v>0.9</v>
      </c>
      <c r="X82" s="598">
        <v>0.9</v>
      </c>
      <c r="Y82" s="586"/>
      <c r="Z82" s="598">
        <v>0.9</v>
      </c>
      <c r="AA82" s="598">
        <v>0.9</v>
      </c>
      <c r="AB82" s="598">
        <v>0.9</v>
      </c>
      <c r="AC82" s="598"/>
      <c r="AD82" s="286"/>
      <c r="AE82" s="75"/>
      <c r="AF82" s="75"/>
      <c r="AG82" s="75"/>
      <c r="AH82" s="75"/>
      <c r="AI82" s="286"/>
      <c r="AJ82" s="75"/>
      <c r="AK82" s="75"/>
      <c r="AL82" s="75"/>
      <c r="AM82" s="75"/>
      <c r="AN82" s="286"/>
      <c r="AO82" s="75"/>
      <c r="AP82" s="75"/>
      <c r="AQ82" s="75"/>
      <c r="AR82" s="75"/>
      <c r="AS82" s="286"/>
    </row>
    <row r="83" spans="1:47">
      <c r="A83" s="798" t="s">
        <v>729</v>
      </c>
      <c r="E83" s="586"/>
      <c r="F83" s="585"/>
      <c r="G83" s="585"/>
      <c r="H83" s="585"/>
      <c r="I83" s="585"/>
      <c r="J83" s="586"/>
      <c r="K83" s="585"/>
      <c r="L83" s="585"/>
      <c r="M83" s="585"/>
      <c r="N83" s="585"/>
      <c r="O83" s="586"/>
      <c r="P83" s="585"/>
      <c r="Q83" s="585"/>
      <c r="R83" s="585"/>
      <c r="S83" s="585"/>
      <c r="T83" s="586"/>
      <c r="U83" s="71">
        <f>U82*U46</f>
        <v>12.9</v>
      </c>
      <c r="V83" s="71">
        <f>V82*V46</f>
        <v>1203</v>
      </c>
      <c r="W83" s="71">
        <f>W82*W46</f>
        <v>57.6</v>
      </c>
      <c r="X83" s="71">
        <f>X82*X46</f>
        <v>241.20000000000002</v>
      </c>
      <c r="Y83" s="74">
        <f>SUM(U83:X83)</f>
        <v>1514.7</v>
      </c>
      <c r="Z83" s="71">
        <f>Z82*Z46</f>
        <v>124.2</v>
      </c>
      <c r="AA83" s="71">
        <f>AA82*AA46</f>
        <v>389.7</v>
      </c>
      <c r="AB83" s="71">
        <f>AB82*AB46</f>
        <v>325.8</v>
      </c>
      <c r="AC83" s="75"/>
      <c r="AD83" s="286"/>
      <c r="AE83" s="75"/>
      <c r="AF83" s="75"/>
      <c r="AG83" s="75"/>
      <c r="AH83" s="75"/>
      <c r="AI83" s="286"/>
      <c r="AJ83" s="75"/>
      <c r="AK83" s="75"/>
      <c r="AL83" s="75"/>
      <c r="AM83" s="75"/>
      <c r="AN83" s="286"/>
      <c r="AO83" s="75"/>
      <c r="AP83" s="75"/>
      <c r="AQ83" s="75"/>
      <c r="AR83" s="75"/>
      <c r="AS83" s="286"/>
    </row>
    <row r="84" spans="1:47">
      <c r="A84" s="795" t="s">
        <v>733</v>
      </c>
      <c r="E84" s="586"/>
      <c r="F84" s="585"/>
      <c r="G84" s="585"/>
      <c r="H84" s="585"/>
      <c r="I84" s="585"/>
      <c r="J84" s="586"/>
      <c r="K84" s="585"/>
      <c r="L84" s="585"/>
      <c r="M84" s="585"/>
      <c r="N84" s="585"/>
      <c r="O84" s="586"/>
      <c r="P84" s="585"/>
      <c r="Q84" s="585"/>
      <c r="R84" s="585"/>
      <c r="S84" s="585"/>
      <c r="T84" s="586"/>
      <c r="U84" s="71">
        <v>0</v>
      </c>
      <c r="V84" s="71">
        <v>0</v>
      </c>
      <c r="W84" s="71">
        <v>0</v>
      </c>
      <c r="X84" s="71">
        <v>0</v>
      </c>
      <c r="Y84" s="74">
        <v>0</v>
      </c>
      <c r="Z84" s="71">
        <v>0</v>
      </c>
      <c r="AA84" s="71">
        <v>0</v>
      </c>
      <c r="AB84" s="783">
        <v>2850</v>
      </c>
      <c r="AC84" s="594">
        <f>AB84/2</f>
        <v>1425</v>
      </c>
      <c r="AD84" s="76">
        <f>SUM(Z84:AC84)</f>
        <v>4275</v>
      </c>
      <c r="AE84" s="594">
        <f>AC84</f>
        <v>1425</v>
      </c>
      <c r="AF84" s="594">
        <f>AE84</f>
        <v>1425</v>
      </c>
      <c r="AG84" s="594">
        <v>225</v>
      </c>
      <c r="AH84" s="19"/>
      <c r="AI84" s="76"/>
      <c r="AJ84" s="19"/>
      <c r="AK84" s="19"/>
      <c r="AL84" s="19"/>
      <c r="AM84" s="19"/>
      <c r="AN84" s="76"/>
      <c r="AO84" s="19"/>
      <c r="AP84" s="19"/>
      <c r="AQ84" s="19"/>
      <c r="AR84" s="19"/>
      <c r="AS84" s="76"/>
      <c r="AU84" s="505" t="s">
        <v>745</v>
      </c>
    </row>
    <row r="85" spans="1:47">
      <c r="A85" s="795" t="s">
        <v>734</v>
      </c>
      <c r="E85" s="586"/>
      <c r="F85" s="585"/>
      <c r="G85" s="585"/>
      <c r="H85" s="585"/>
      <c r="I85" s="585"/>
      <c r="J85" s="586"/>
      <c r="K85" s="585"/>
      <c r="L85" s="585"/>
      <c r="M85" s="585"/>
      <c r="N85" s="585"/>
      <c r="O85" s="586"/>
      <c r="P85" s="585"/>
      <c r="Q85" s="585"/>
      <c r="R85" s="585"/>
      <c r="S85" s="585"/>
      <c r="T85" s="586"/>
      <c r="U85" s="71">
        <f>U78+U79</f>
        <v>91.350000000000009</v>
      </c>
      <c r="V85" s="66">
        <v>2265</v>
      </c>
      <c r="W85" s="71">
        <f>W78+W79</f>
        <v>3041</v>
      </c>
      <c r="X85" s="71">
        <f>X78+X79</f>
        <v>4001.8</v>
      </c>
      <c r="Y85" s="74">
        <f>X85</f>
        <v>4001.8</v>
      </c>
      <c r="Z85" s="71">
        <f>Z78+Z79</f>
        <v>4780.4000000000005</v>
      </c>
      <c r="AA85" s="71">
        <f>AA78+AA79</f>
        <v>6125.7000000000007</v>
      </c>
      <c r="AB85" s="784">
        <v>7350</v>
      </c>
      <c r="AC85" s="19">
        <f>AC78+AC79-AC84</f>
        <v>3075</v>
      </c>
      <c r="AD85" s="76">
        <f>AC85</f>
        <v>3075</v>
      </c>
      <c r="AE85" s="19">
        <f>AE78+AE79-AE84</f>
        <v>1650</v>
      </c>
      <c r="AF85" s="19">
        <f>AF78+AF79-AF84</f>
        <v>225</v>
      </c>
      <c r="AG85" s="440">
        <f>AG78+AG79-AG84</f>
        <v>0</v>
      </c>
      <c r="AH85" s="19"/>
      <c r="AI85" s="76"/>
      <c r="AJ85" s="19"/>
      <c r="AK85" s="19"/>
      <c r="AL85" s="19"/>
      <c r="AM85" s="19"/>
      <c r="AN85" s="76"/>
      <c r="AO85" s="19"/>
      <c r="AP85" s="19"/>
      <c r="AQ85" s="19"/>
      <c r="AR85" s="19"/>
      <c r="AS85" s="76"/>
    </row>
    <row r="86" spans="1:47">
      <c r="A86" s="437"/>
      <c r="E86" s="586"/>
      <c r="F86" s="585"/>
      <c r="G86" s="585"/>
      <c r="H86" s="585"/>
      <c r="I86" s="585"/>
      <c r="J86" s="586"/>
      <c r="K86" s="585"/>
      <c r="L86" s="585"/>
      <c r="M86" s="585"/>
      <c r="N86" s="585"/>
      <c r="O86" s="586"/>
      <c r="P86" s="585"/>
      <c r="Q86" s="585"/>
      <c r="R86" s="585"/>
      <c r="S86" s="585"/>
      <c r="T86" s="586"/>
      <c r="U86" s="71"/>
      <c r="V86" s="66"/>
      <c r="W86" s="71"/>
      <c r="X86" s="71"/>
      <c r="Y86" s="74"/>
      <c r="Z86" s="71"/>
      <c r="AA86" s="71"/>
      <c r="AB86" s="66"/>
      <c r="AC86" s="75"/>
      <c r="AD86" s="286"/>
      <c r="AE86" s="75"/>
      <c r="AF86" s="75"/>
      <c r="AG86" s="75"/>
      <c r="AH86" s="75"/>
      <c r="AI86" s="286"/>
      <c r="AJ86" s="75"/>
      <c r="AK86" s="75"/>
      <c r="AL86" s="75"/>
      <c r="AM86" s="75"/>
      <c r="AN86" s="286"/>
      <c r="AO86" s="75"/>
      <c r="AP86" s="75"/>
      <c r="AQ86" s="75"/>
      <c r="AR86" s="75"/>
      <c r="AS86" s="286"/>
    </row>
    <row r="87" spans="1:47">
      <c r="A87" s="781" t="s">
        <v>731</v>
      </c>
      <c r="E87" s="586"/>
      <c r="F87" s="585"/>
      <c r="G87" s="585"/>
      <c r="H87" s="585"/>
      <c r="I87" s="585"/>
      <c r="J87" s="586"/>
      <c r="K87" s="585"/>
      <c r="L87" s="585"/>
      <c r="M87" s="585"/>
      <c r="N87" s="585"/>
      <c r="O87" s="586"/>
      <c r="P87" s="585"/>
      <c r="Q87" s="585"/>
      <c r="R87" s="585"/>
      <c r="S87" s="585"/>
      <c r="T87" s="586"/>
      <c r="U87" s="71"/>
      <c r="V87" s="66"/>
      <c r="W87" s="71"/>
      <c r="X87" s="71"/>
      <c r="Y87" s="74"/>
      <c r="Z87" s="71"/>
      <c r="AA87" s="71"/>
      <c r="AB87" s="66"/>
      <c r="AC87" s="75"/>
      <c r="AD87" s="286"/>
      <c r="AE87" s="75"/>
      <c r="AF87" s="75"/>
      <c r="AG87" s="75"/>
      <c r="AH87" s="75"/>
      <c r="AI87" s="286"/>
      <c r="AJ87" s="75"/>
      <c r="AK87" s="75"/>
      <c r="AL87" s="75"/>
      <c r="AM87" s="75"/>
      <c r="AN87" s="286"/>
      <c r="AO87" s="75"/>
      <c r="AP87" s="75"/>
      <c r="AQ87" s="75"/>
      <c r="AR87" s="75"/>
      <c r="AS87" s="286"/>
    </row>
    <row r="88" spans="1:47">
      <c r="A88" s="782" t="s">
        <v>732</v>
      </c>
      <c r="E88" s="586"/>
      <c r="F88" s="585"/>
      <c r="G88" s="585"/>
      <c r="H88" s="585"/>
      <c r="I88" s="585"/>
      <c r="J88" s="586"/>
      <c r="K88" s="585"/>
      <c r="L88" s="585"/>
      <c r="M88" s="585"/>
      <c r="N88" s="585"/>
      <c r="O88" s="586"/>
      <c r="P88" s="585"/>
      <c r="Q88" s="585"/>
      <c r="R88" s="585"/>
      <c r="S88" s="585"/>
      <c r="T88" s="586"/>
      <c r="U88" s="71"/>
      <c r="V88" s="66"/>
      <c r="W88" s="71"/>
      <c r="X88" s="71"/>
      <c r="Y88" s="74"/>
      <c r="Z88" s="71"/>
      <c r="AA88" s="71"/>
      <c r="AB88" s="799">
        <v>0</v>
      </c>
      <c r="AC88" s="71">
        <f>AB92</f>
        <v>2850</v>
      </c>
      <c r="AD88" s="76">
        <f>AB88</f>
        <v>0</v>
      </c>
      <c r="AE88" s="19">
        <f>AC92</f>
        <v>4275</v>
      </c>
      <c r="AF88" s="71">
        <f>AE92</f>
        <v>5700</v>
      </c>
      <c r="AG88" s="71">
        <f>AF92</f>
        <v>7125</v>
      </c>
      <c r="AH88" s="71">
        <f>AG92</f>
        <v>7350</v>
      </c>
      <c r="AI88" s="76">
        <f>AD92</f>
        <v>4275</v>
      </c>
      <c r="AJ88" s="71">
        <f t="shared" ref="AJ88:AM88" si="223">AI92</f>
        <v>7589.424</v>
      </c>
      <c r="AK88" s="71">
        <f t="shared" si="223"/>
        <v>7856.8447999999999</v>
      </c>
      <c r="AL88" s="71">
        <f t="shared" si="223"/>
        <v>8208.6656000000003</v>
      </c>
      <c r="AM88" s="71">
        <f t="shared" si="223"/>
        <v>8581.9135999999999</v>
      </c>
      <c r="AN88" s="76">
        <f>AI92</f>
        <v>7589.424</v>
      </c>
      <c r="AO88" s="71">
        <f t="shared" ref="AO88:AR88" si="224">AN92</f>
        <v>8941.0496000000003</v>
      </c>
      <c r="AP88" s="71">
        <f t="shared" si="224"/>
        <v>9288.6966400000001</v>
      </c>
      <c r="AQ88" s="71">
        <f t="shared" si="224"/>
        <v>9693.2905599999995</v>
      </c>
      <c r="AR88" s="71">
        <f t="shared" si="224"/>
        <v>10077.735999999999</v>
      </c>
      <c r="AS88" s="76">
        <f>AN92</f>
        <v>8941.0496000000003</v>
      </c>
    </row>
    <row r="89" spans="1:47">
      <c r="A89" s="796" t="s">
        <v>735</v>
      </c>
      <c r="E89" s="586"/>
      <c r="F89" s="585"/>
      <c r="G89" s="585"/>
      <c r="H89" s="585"/>
      <c r="I89" s="585"/>
      <c r="J89" s="586"/>
      <c r="K89" s="585"/>
      <c r="L89" s="585"/>
      <c r="M89" s="585"/>
      <c r="N89" s="585"/>
      <c r="O89" s="586"/>
      <c r="P89" s="585"/>
      <c r="Q89" s="585"/>
      <c r="R89" s="585"/>
      <c r="S89" s="585"/>
      <c r="T89" s="586"/>
      <c r="U89" s="71"/>
      <c r="V89" s="66"/>
      <c r="W89" s="71"/>
      <c r="X89" s="71"/>
      <c r="Y89" s="74"/>
      <c r="Z89" s="71"/>
      <c r="AA89" s="71"/>
      <c r="AB89" s="71">
        <f>AB84</f>
        <v>2850</v>
      </c>
      <c r="AC89" s="71">
        <f>AC84</f>
        <v>1425</v>
      </c>
      <c r="AD89" s="76">
        <f>SUM(Z89:AC89)</f>
        <v>4275</v>
      </c>
      <c r="AE89" s="71">
        <f>AE84</f>
        <v>1425</v>
      </c>
      <c r="AF89" s="71">
        <f>AF84</f>
        <v>1425</v>
      </c>
      <c r="AG89" s="71">
        <f>AG84</f>
        <v>225</v>
      </c>
      <c r="AH89" s="71">
        <f>AH84</f>
        <v>0</v>
      </c>
      <c r="AI89" s="76">
        <f>SUM(AE89:AH89)</f>
        <v>3075</v>
      </c>
      <c r="AJ89" s="71">
        <f>AJ84</f>
        <v>0</v>
      </c>
      <c r="AK89" s="71">
        <f>AK84</f>
        <v>0</v>
      </c>
      <c r="AL89" s="71">
        <f>AL84</f>
        <v>0</v>
      </c>
      <c r="AM89" s="71">
        <f>AM84</f>
        <v>0</v>
      </c>
      <c r="AN89" s="76">
        <f>SUM(AJ89:AM89)</f>
        <v>0</v>
      </c>
      <c r="AO89" s="71">
        <f>AO84</f>
        <v>0</v>
      </c>
      <c r="AP89" s="71">
        <f>AP84</f>
        <v>0</v>
      </c>
      <c r="AQ89" s="71">
        <f>AQ84</f>
        <v>0</v>
      </c>
      <c r="AR89" s="71">
        <f>AR84</f>
        <v>0</v>
      </c>
      <c r="AS89" s="76">
        <f>SUM(AO89:AR89)</f>
        <v>0</v>
      </c>
    </row>
    <row r="90" spans="1:47">
      <c r="A90" s="796" t="s">
        <v>736</v>
      </c>
      <c r="E90" s="586"/>
      <c r="F90" s="585"/>
      <c r="G90" s="585"/>
      <c r="H90" s="585"/>
      <c r="I90" s="585"/>
      <c r="J90" s="586"/>
      <c r="K90" s="585"/>
      <c r="L90" s="585"/>
      <c r="M90" s="585"/>
      <c r="N90" s="585"/>
      <c r="O90" s="586"/>
      <c r="P90" s="585"/>
      <c r="Q90" s="585"/>
      <c r="R90" s="585"/>
      <c r="S90" s="585"/>
      <c r="T90" s="586"/>
      <c r="U90" s="71"/>
      <c r="V90" s="66"/>
      <c r="W90" s="71"/>
      <c r="X90" s="71"/>
      <c r="Y90" s="74"/>
      <c r="Z90" s="71"/>
      <c r="AA90" s="71"/>
      <c r="AB90" s="598">
        <v>0</v>
      </c>
      <c r="AC90" s="598">
        <v>0</v>
      </c>
      <c r="AD90" s="286">
        <f>AD91/AD36</f>
        <v>0</v>
      </c>
      <c r="AE90" s="598">
        <v>0</v>
      </c>
      <c r="AF90" s="598">
        <v>0</v>
      </c>
      <c r="AG90" s="598">
        <v>0</v>
      </c>
      <c r="AH90" s="598">
        <v>0.4</v>
      </c>
      <c r="AI90" s="286">
        <f>AI91/AI36</f>
        <v>0.13311982919669069</v>
      </c>
      <c r="AJ90" s="598">
        <v>0.4</v>
      </c>
      <c r="AK90" s="598">
        <v>0.4</v>
      </c>
      <c r="AL90" s="598">
        <v>0.4</v>
      </c>
      <c r="AM90" s="598">
        <v>0.4</v>
      </c>
      <c r="AN90" s="286">
        <f>AN91/AN36</f>
        <v>0.39999999999999997</v>
      </c>
      <c r="AO90" s="598">
        <v>0.4</v>
      </c>
      <c r="AP90" s="598">
        <v>0.4</v>
      </c>
      <c r="AQ90" s="598">
        <v>0.4</v>
      </c>
      <c r="AR90" s="598">
        <v>0.4</v>
      </c>
      <c r="AS90" s="286">
        <f>AS91/AS36</f>
        <v>0.4</v>
      </c>
      <c r="AU90" s="505" t="s">
        <v>780</v>
      </c>
    </row>
    <row r="91" spans="1:47">
      <c r="A91" s="796" t="s">
        <v>737</v>
      </c>
      <c r="E91" s="586"/>
      <c r="F91" s="585"/>
      <c r="G91" s="585"/>
      <c r="H91" s="585"/>
      <c r="I91" s="585"/>
      <c r="J91" s="586"/>
      <c r="K91" s="585"/>
      <c r="L91" s="585"/>
      <c r="M91" s="585"/>
      <c r="N91" s="585"/>
      <c r="O91" s="586"/>
      <c r="P91" s="585"/>
      <c r="Q91" s="585"/>
      <c r="R91" s="585"/>
      <c r="S91" s="585"/>
      <c r="T91" s="586"/>
      <c r="U91" s="71"/>
      <c r="V91" s="66"/>
      <c r="W91" s="71"/>
      <c r="X91" s="71"/>
      <c r="Y91" s="74"/>
      <c r="Z91" s="71"/>
      <c r="AA91" s="71"/>
      <c r="AB91" s="280">
        <f>AB90*AB36</f>
        <v>0</v>
      </c>
      <c r="AC91" s="19">
        <f>AC90*AC36</f>
        <v>0</v>
      </c>
      <c r="AD91" s="76">
        <f>SUM(Z91:AC91)</f>
        <v>0</v>
      </c>
      <c r="AE91" s="280">
        <f>AE90*AE36</f>
        <v>0</v>
      </c>
      <c r="AF91" s="280">
        <f>AF90*AF36</f>
        <v>0</v>
      </c>
      <c r="AG91" s="280">
        <f>AG90*AG36</f>
        <v>0</v>
      </c>
      <c r="AH91" s="280">
        <f>AH90*AH36</f>
        <v>239.42399999999998</v>
      </c>
      <c r="AI91" s="76">
        <f>SUM(AE91:AH91)</f>
        <v>239.42399999999998</v>
      </c>
      <c r="AJ91" s="280">
        <f>AJ90*AJ36</f>
        <v>267.42080000000004</v>
      </c>
      <c r="AK91" s="280">
        <f>AK90*AK36</f>
        <v>351.82080000000002</v>
      </c>
      <c r="AL91" s="280">
        <f>AL90*AL36</f>
        <v>373.24800000000005</v>
      </c>
      <c r="AM91" s="280">
        <f>AM90*AM36</f>
        <v>359.13599999999997</v>
      </c>
      <c r="AN91" s="76">
        <f>SUM(AJ91:AM91)</f>
        <v>1351.6256000000001</v>
      </c>
      <c r="AO91" s="280">
        <f>AO90*AO36</f>
        <v>347.64704000000006</v>
      </c>
      <c r="AP91" s="280">
        <f>AP90*AP36</f>
        <v>404.59392000000003</v>
      </c>
      <c r="AQ91" s="280">
        <f>AQ90*AQ36</f>
        <v>384.44544000000002</v>
      </c>
      <c r="AR91" s="280">
        <f>AR90*AR36</f>
        <v>481.24223999999998</v>
      </c>
      <c r="AS91" s="76">
        <f>SUM(AO91:AR91)</f>
        <v>1617.9286400000001</v>
      </c>
    </row>
    <row r="92" spans="1:47">
      <c r="A92" s="795" t="s">
        <v>738</v>
      </c>
      <c r="E92" s="586"/>
      <c r="F92" s="585"/>
      <c r="G92" s="585"/>
      <c r="H92" s="585"/>
      <c r="I92" s="585"/>
      <c r="J92" s="586"/>
      <c r="K92" s="585"/>
      <c r="L92" s="585"/>
      <c r="M92" s="585"/>
      <c r="N92" s="585"/>
      <c r="O92" s="586"/>
      <c r="P92" s="585"/>
      <c r="Q92" s="585"/>
      <c r="R92" s="585"/>
      <c r="S92" s="585"/>
      <c r="T92" s="586"/>
      <c r="U92" s="71"/>
      <c r="V92" s="66"/>
      <c r="W92" s="71"/>
      <c r="X92" s="71"/>
      <c r="Y92" s="74"/>
      <c r="Z92" s="71"/>
      <c r="AA92" s="71"/>
      <c r="AB92" s="71">
        <f>AB88+AB89+AB91</f>
        <v>2850</v>
      </c>
      <c r="AC92" s="71">
        <f>AC88+AC89+AC91</f>
        <v>4275</v>
      </c>
      <c r="AD92" s="76">
        <f>AC92</f>
        <v>4275</v>
      </c>
      <c r="AE92" s="71">
        <f t="shared" ref="AE92:AH92" si="225">AE88+AE89+AE91</f>
        <v>5700</v>
      </c>
      <c r="AF92" s="71">
        <f t="shared" si="225"/>
        <v>7125</v>
      </c>
      <c r="AG92" s="71">
        <f t="shared" si="225"/>
        <v>7350</v>
      </c>
      <c r="AH92" s="71">
        <f t="shared" si="225"/>
        <v>7589.424</v>
      </c>
      <c r="AI92" s="76">
        <f>AH92</f>
        <v>7589.424</v>
      </c>
      <c r="AJ92" s="71">
        <f t="shared" ref="AJ92" si="226">AJ88+AJ89+AJ91</f>
        <v>7856.8447999999999</v>
      </c>
      <c r="AK92" s="71">
        <f t="shared" ref="AK92" si="227">AK88+AK89+AK91</f>
        <v>8208.6656000000003</v>
      </c>
      <c r="AL92" s="71">
        <f t="shared" ref="AL92" si="228">AL88+AL89+AL91</f>
        <v>8581.9135999999999</v>
      </c>
      <c r="AM92" s="71">
        <f t="shared" ref="AM92" si="229">AM88+AM89+AM91</f>
        <v>8941.0496000000003</v>
      </c>
      <c r="AN92" s="76">
        <f>AM92</f>
        <v>8941.0496000000003</v>
      </c>
      <c r="AO92" s="71">
        <f t="shared" ref="AO92" si="230">AO88+AO89+AO91</f>
        <v>9288.6966400000001</v>
      </c>
      <c r="AP92" s="71">
        <f t="shared" ref="AP92" si="231">AP88+AP89+AP91</f>
        <v>9693.2905599999995</v>
      </c>
      <c r="AQ92" s="71">
        <f t="shared" ref="AQ92" si="232">AQ88+AQ89+AQ91</f>
        <v>10077.735999999999</v>
      </c>
      <c r="AR92" s="71">
        <f t="shared" ref="AR92" si="233">AR88+AR89+AR91</f>
        <v>10558.978239999999</v>
      </c>
      <c r="AS92" s="76">
        <f>AR92</f>
        <v>10558.978239999999</v>
      </c>
    </row>
    <row r="93" spans="1:47">
      <c r="A93" s="59"/>
      <c r="E93" s="586"/>
      <c r="F93" s="585"/>
      <c r="G93" s="585"/>
      <c r="H93" s="585"/>
      <c r="I93" s="585"/>
      <c r="J93" s="586"/>
      <c r="K93" s="585"/>
      <c r="L93" s="585"/>
      <c r="M93" s="585"/>
      <c r="N93" s="585"/>
      <c r="O93" s="586"/>
      <c r="P93" s="585"/>
      <c r="Q93" s="585"/>
      <c r="R93" s="585"/>
      <c r="S93" s="585"/>
      <c r="T93" s="586"/>
      <c r="U93" s="585"/>
      <c r="V93" s="585"/>
      <c r="W93" s="585"/>
      <c r="X93" s="585"/>
      <c r="Y93" s="586"/>
      <c r="Z93" s="585"/>
      <c r="AA93" s="585"/>
      <c r="AB93" s="585"/>
      <c r="AC93" s="75"/>
      <c r="AD93" s="286"/>
      <c r="AE93" s="75"/>
      <c r="AF93" s="75"/>
      <c r="AG93" s="75"/>
      <c r="AH93" s="75"/>
      <c r="AI93" s="286"/>
      <c r="AJ93" s="75"/>
      <c r="AK93" s="75"/>
      <c r="AL93" s="75"/>
      <c r="AM93" s="75"/>
      <c r="AN93" s="286"/>
      <c r="AO93" s="75"/>
      <c r="AP93" s="75"/>
      <c r="AQ93" s="75"/>
      <c r="AR93" s="75"/>
      <c r="AS93" s="286"/>
    </row>
    <row r="94" spans="1:47">
      <c r="A94" s="781" t="s">
        <v>741</v>
      </c>
      <c r="E94" s="74"/>
      <c r="F94" s="71"/>
      <c r="G94" s="71"/>
      <c r="H94" s="71"/>
      <c r="I94" s="71"/>
      <c r="J94" s="74"/>
      <c r="K94" s="71"/>
      <c r="L94" s="71"/>
      <c r="M94" s="71"/>
      <c r="N94" s="71"/>
      <c r="O94" s="74"/>
      <c r="P94" s="71"/>
      <c r="Q94" s="71"/>
      <c r="R94" s="71"/>
      <c r="S94" s="71"/>
      <c r="T94" s="74"/>
      <c r="U94" s="71">
        <f>AVERAGE(U85,U78)</f>
        <v>45.675000000000004</v>
      </c>
      <c r="V94" s="71">
        <f>AVERAGE(V85,V78)</f>
        <v>1178.175</v>
      </c>
      <c r="W94" s="71">
        <f>AVERAGE(W85,W78)</f>
        <v>2653</v>
      </c>
      <c r="X94" s="71">
        <f>AVERAGE(X85,X78)</f>
        <v>3521.4</v>
      </c>
      <c r="Y94" s="74">
        <f>AVERAGE(Y85,Y78)</f>
        <v>2000.9</v>
      </c>
      <c r="Z94" s="71">
        <f>AVERAGE(Z85,Z78)</f>
        <v>4391.1000000000004</v>
      </c>
      <c r="AA94" s="71">
        <f>AVERAGE(AA85,AA78)</f>
        <v>5453.0500000000011</v>
      </c>
      <c r="AB94" s="71">
        <f>AVERAGE(AB92,AB88)</f>
        <v>1425</v>
      </c>
      <c r="AC94" s="19">
        <f t="shared" ref="AC94:AS94" si="234">AVERAGE(AC92,AC88)</f>
        <v>3562.5</v>
      </c>
      <c r="AD94" s="76">
        <f t="shared" si="234"/>
        <v>2137.5</v>
      </c>
      <c r="AE94" s="19">
        <f t="shared" si="234"/>
        <v>4987.5</v>
      </c>
      <c r="AF94" s="19">
        <f t="shared" si="234"/>
        <v>6412.5</v>
      </c>
      <c r="AG94" s="19">
        <f t="shared" si="234"/>
        <v>7237.5</v>
      </c>
      <c r="AH94" s="19">
        <f t="shared" si="234"/>
        <v>7469.7119999999995</v>
      </c>
      <c r="AI94" s="76">
        <f>AVERAGE(AI92,AI88)</f>
        <v>5932.2119999999995</v>
      </c>
      <c r="AJ94" s="19">
        <f t="shared" si="234"/>
        <v>7723.1343999999999</v>
      </c>
      <c r="AK94" s="19">
        <f t="shared" si="234"/>
        <v>8032.7551999999996</v>
      </c>
      <c r="AL94" s="19">
        <f t="shared" si="234"/>
        <v>8395.2896000000001</v>
      </c>
      <c r="AM94" s="19">
        <f t="shared" si="234"/>
        <v>8761.4815999999992</v>
      </c>
      <c r="AN94" s="76">
        <f t="shared" si="234"/>
        <v>8265.2368000000006</v>
      </c>
      <c r="AO94" s="19">
        <f t="shared" si="234"/>
        <v>9114.8731200000002</v>
      </c>
      <c r="AP94" s="19">
        <f t="shared" si="234"/>
        <v>9490.9935999999998</v>
      </c>
      <c r="AQ94" s="19">
        <f t="shared" si="234"/>
        <v>9885.5132799999992</v>
      </c>
      <c r="AR94" s="19">
        <f t="shared" si="234"/>
        <v>10318.357119999999</v>
      </c>
      <c r="AS94" s="76">
        <f t="shared" si="234"/>
        <v>9750.0139199999994</v>
      </c>
    </row>
    <row r="95" spans="1:47">
      <c r="A95" s="781" t="s">
        <v>743</v>
      </c>
      <c r="E95" s="74"/>
      <c r="F95" s="71"/>
      <c r="G95" s="71"/>
      <c r="H95" s="71"/>
      <c r="I95" s="71"/>
      <c r="J95" s="74"/>
      <c r="K95" s="71"/>
      <c r="L95" s="71"/>
      <c r="M95" s="71"/>
      <c r="N95" s="71"/>
      <c r="O95" s="74"/>
      <c r="P95" s="71"/>
      <c r="Q95" s="71"/>
      <c r="R95" s="71"/>
      <c r="S95" s="71"/>
      <c r="T95" s="74"/>
      <c r="U95" s="71">
        <f>U97-U94</f>
        <v>20956.177891914496</v>
      </c>
      <c r="V95" s="71">
        <f t="shared" ref="V95:AA95" si="235">V97-V94</f>
        <v>21145.825000000001</v>
      </c>
      <c r="W95" s="71">
        <f t="shared" si="235"/>
        <v>21048</v>
      </c>
      <c r="X95" s="71">
        <f t="shared" si="235"/>
        <v>21383.1</v>
      </c>
      <c r="Y95" s="74">
        <f t="shared" si="235"/>
        <v>20809.452891914494</v>
      </c>
      <c r="Z95" s="71">
        <f t="shared" si="235"/>
        <v>21979.9</v>
      </c>
      <c r="AA95" s="71">
        <f t="shared" si="235"/>
        <v>23090.949999999997</v>
      </c>
      <c r="AB95" s="71">
        <f>AB96+AA95</f>
        <v>23090.949999999997</v>
      </c>
      <c r="AC95" s="19">
        <f>AC97-AC94</f>
        <v>21815.949999999997</v>
      </c>
      <c r="AD95" s="76">
        <f t="shared" ref="AD95:AS95" si="236">AD97-AD94</f>
        <v>21125.327891914494</v>
      </c>
      <c r="AE95" s="19">
        <f t="shared" si="236"/>
        <v>22115.949999999997</v>
      </c>
      <c r="AF95" s="19">
        <f t="shared" si="236"/>
        <v>22465.949999999997</v>
      </c>
      <c r="AG95" s="19">
        <f t="shared" si="236"/>
        <v>22915.949999999997</v>
      </c>
      <c r="AH95" s="19">
        <f t="shared" si="236"/>
        <v>23342.525199999996</v>
      </c>
      <c r="AI95" s="76">
        <f t="shared" si="236"/>
        <v>22742.525199999996</v>
      </c>
      <c r="AJ95" s="19">
        <f t="shared" si="236"/>
        <v>23716.323240000002</v>
      </c>
      <c r="AK95" s="19">
        <f t="shared" si="236"/>
        <v>24173.013919999998</v>
      </c>
      <c r="AL95" s="19">
        <f t="shared" si="236"/>
        <v>24707.75216</v>
      </c>
      <c r="AM95" s="19">
        <f t="shared" si="236"/>
        <v>25247.88536</v>
      </c>
      <c r="AN95" s="76">
        <f t="shared" si="236"/>
        <v>24515.924279999999</v>
      </c>
      <c r="AO95" s="19">
        <f t="shared" si="236"/>
        <v>25769.137851999989</v>
      </c>
      <c r="AP95" s="19">
        <f t="shared" si="236"/>
        <v>26323.915559999994</v>
      </c>
      <c r="AQ95" s="19">
        <f t="shared" si="236"/>
        <v>26905.832087999996</v>
      </c>
      <c r="AR95" s="19">
        <f t="shared" si="236"/>
        <v>27544.276751999991</v>
      </c>
      <c r="AS95" s="76">
        <f t="shared" si="236"/>
        <v>26705.970531999992</v>
      </c>
    </row>
    <row r="96" spans="1:47" outlineLevel="1">
      <c r="A96" s="782" t="s">
        <v>746</v>
      </c>
      <c r="E96" s="74"/>
      <c r="F96" s="71"/>
      <c r="G96" s="71"/>
      <c r="H96" s="71"/>
      <c r="I96" s="71"/>
      <c r="J96" s="74"/>
      <c r="K96" s="71"/>
      <c r="L96" s="71"/>
      <c r="M96" s="71"/>
      <c r="N96" s="71"/>
      <c r="O96" s="74"/>
      <c r="P96" s="71"/>
      <c r="Q96" s="71"/>
      <c r="R96" s="71"/>
      <c r="S96" s="71"/>
      <c r="T96" s="74"/>
      <c r="U96" s="71"/>
      <c r="V96" s="71">
        <f>V95-U95</f>
        <v>189.64710808550444</v>
      </c>
      <c r="W96" s="71">
        <f>W95-V95</f>
        <v>-97.825000000000728</v>
      </c>
      <c r="X96" s="71">
        <f>X95-W95</f>
        <v>335.09999999999854</v>
      </c>
      <c r="Y96" s="74"/>
      <c r="Z96" s="71">
        <f>Z95-X95</f>
        <v>596.80000000000291</v>
      </c>
      <c r="AA96" s="71">
        <f t="shared" ref="AA96" si="237">AA95-Z95</f>
        <v>1111.0499999999956</v>
      </c>
      <c r="AB96" s="594"/>
      <c r="AC96" s="71"/>
      <c r="AD96" s="76"/>
      <c r="AE96" s="71">
        <f>AE95-AC95</f>
        <v>300</v>
      </c>
      <c r="AF96" s="594"/>
      <c r="AG96" s="594"/>
      <c r="AH96" s="594"/>
      <c r="AI96" s="76"/>
      <c r="AJ96" s="594"/>
      <c r="AK96" s="594"/>
      <c r="AL96" s="594"/>
      <c r="AM96" s="594"/>
      <c r="AN96" s="76"/>
      <c r="AO96" s="594"/>
      <c r="AP96" s="594"/>
      <c r="AQ96" s="594"/>
      <c r="AR96" s="594"/>
      <c r="AS96" s="76"/>
    </row>
    <row r="97" spans="1:269">
      <c r="A97" s="781" t="s">
        <v>742</v>
      </c>
      <c r="E97" s="74">
        <f>E59</f>
        <v>9324.5</v>
      </c>
      <c r="F97" s="71">
        <f t="shared" ref="F97:AA97" si="238">F59</f>
        <v>10871</v>
      </c>
      <c r="G97" s="71">
        <f t="shared" si="238"/>
        <v>11635</v>
      </c>
      <c r="H97" s="71">
        <f t="shared" si="238"/>
        <v>12440.5</v>
      </c>
      <c r="I97" s="71">
        <f t="shared" si="238"/>
        <v>13350.5</v>
      </c>
      <c r="J97" s="74">
        <f t="shared" si="238"/>
        <v>12198</v>
      </c>
      <c r="K97" s="71">
        <f t="shared" si="238"/>
        <v>14146.5</v>
      </c>
      <c r="L97" s="71">
        <f t="shared" si="238"/>
        <v>14458</v>
      </c>
      <c r="M97" s="71">
        <f t="shared" si="238"/>
        <v>14809.5</v>
      </c>
      <c r="N97" s="71">
        <f t="shared" si="238"/>
        <v>15398</v>
      </c>
      <c r="O97" s="74">
        <f t="shared" si="238"/>
        <v>14772</v>
      </c>
      <c r="P97" s="71">
        <f t="shared" si="238"/>
        <v>16089.533636363636</v>
      </c>
      <c r="Q97" s="71">
        <f t="shared" si="238"/>
        <v>17087.103374739519</v>
      </c>
      <c r="R97" s="71">
        <f t="shared" si="238"/>
        <v>18207.708962261331</v>
      </c>
      <c r="S97" s="71">
        <f t="shared" si="238"/>
        <v>19516.492115799942</v>
      </c>
      <c r="T97" s="74">
        <f t="shared" si="238"/>
        <v>17978.352891914496</v>
      </c>
      <c r="U97" s="71">
        <f t="shared" si="238"/>
        <v>21001.852891914496</v>
      </c>
      <c r="V97" s="71">
        <f t="shared" si="238"/>
        <v>22324</v>
      </c>
      <c r="W97" s="71">
        <f t="shared" si="238"/>
        <v>23701</v>
      </c>
      <c r="X97" s="71">
        <f t="shared" si="238"/>
        <v>24904.5</v>
      </c>
      <c r="Y97" s="74">
        <f t="shared" si="238"/>
        <v>22810.352891914496</v>
      </c>
      <c r="Z97" s="71">
        <f t="shared" si="238"/>
        <v>26371</v>
      </c>
      <c r="AA97" s="71">
        <f t="shared" si="238"/>
        <v>28544</v>
      </c>
      <c r="AB97" s="71">
        <f>AB94+AB95</f>
        <v>24515.949999999997</v>
      </c>
      <c r="AC97" s="71">
        <f>AC59</f>
        <v>25378.449999999997</v>
      </c>
      <c r="AD97" s="76">
        <f t="shared" ref="AD97:AS97" si="239">AD59</f>
        <v>23262.827891914494</v>
      </c>
      <c r="AE97" s="71">
        <f t="shared" si="239"/>
        <v>27103.449999999997</v>
      </c>
      <c r="AF97" s="71">
        <f t="shared" si="239"/>
        <v>28878.449999999997</v>
      </c>
      <c r="AG97" s="71">
        <f t="shared" si="239"/>
        <v>30153.449999999997</v>
      </c>
      <c r="AH97" s="71">
        <f t="shared" si="239"/>
        <v>30812.237199999996</v>
      </c>
      <c r="AI97" s="76">
        <f t="shared" si="239"/>
        <v>28674.737199999996</v>
      </c>
      <c r="AJ97" s="71">
        <f t="shared" si="239"/>
        <v>31439.457640000001</v>
      </c>
      <c r="AK97" s="71">
        <f t="shared" si="239"/>
        <v>32205.769119999997</v>
      </c>
      <c r="AL97" s="71">
        <f t="shared" si="239"/>
        <v>33103.04176</v>
      </c>
      <c r="AM97" s="71">
        <f t="shared" si="239"/>
        <v>34009.366959999999</v>
      </c>
      <c r="AN97" s="76">
        <f t="shared" si="239"/>
        <v>32781.161079999998</v>
      </c>
      <c r="AO97" s="71">
        <f t="shared" si="239"/>
        <v>34884.010971999989</v>
      </c>
      <c r="AP97" s="71">
        <f t="shared" si="239"/>
        <v>35814.909159999996</v>
      </c>
      <c r="AQ97" s="71">
        <f t="shared" si="239"/>
        <v>36791.345367999995</v>
      </c>
      <c r="AR97" s="71">
        <f t="shared" si="239"/>
        <v>37862.633871999991</v>
      </c>
      <c r="AS97" s="76">
        <f t="shared" si="239"/>
        <v>36455.98445199999</v>
      </c>
    </row>
    <row r="98" spans="1:269">
      <c r="A98" s="827"/>
      <c r="E98" s="74"/>
      <c r="F98" s="71"/>
      <c r="G98" s="71"/>
      <c r="H98" s="71"/>
      <c r="I98" s="71"/>
      <c r="J98" s="74"/>
      <c r="K98" s="71"/>
      <c r="L98" s="71"/>
      <c r="M98" s="71"/>
      <c r="N98" s="71"/>
      <c r="O98" s="74"/>
      <c r="P98" s="71"/>
      <c r="Q98" s="71"/>
      <c r="R98" s="71"/>
      <c r="S98" s="71"/>
      <c r="T98" s="74"/>
      <c r="U98" s="71"/>
      <c r="V98" s="71"/>
      <c r="W98" s="71"/>
      <c r="X98" s="71"/>
      <c r="Y98" s="74"/>
      <c r="Z98" s="71"/>
      <c r="AA98" s="71"/>
      <c r="AB98" s="71"/>
      <c r="AC98" s="71"/>
      <c r="AD98" s="76"/>
      <c r="AE98" s="71"/>
      <c r="AF98" s="71"/>
      <c r="AG98" s="71"/>
      <c r="AH98" s="71"/>
      <c r="AI98" s="76"/>
      <c r="AJ98" s="71"/>
      <c r="AK98" s="71"/>
      <c r="AL98" s="71"/>
      <c r="AM98" s="71"/>
      <c r="AN98" s="76"/>
      <c r="AO98" s="71"/>
      <c r="AP98" s="71"/>
      <c r="AQ98" s="71"/>
      <c r="AR98" s="71"/>
      <c r="AS98" s="76"/>
    </row>
    <row r="99" spans="1:269" s="81" customFormat="1">
      <c r="A99" s="418"/>
      <c r="C99" s="417"/>
      <c r="D99" s="417"/>
      <c r="E99" s="417"/>
      <c r="F99" s="414"/>
      <c r="G99" s="414"/>
      <c r="H99" s="414"/>
      <c r="I99" s="414"/>
      <c r="J99" s="417"/>
      <c r="K99" s="414"/>
      <c r="L99" s="414"/>
      <c r="M99" s="414"/>
      <c r="N99" s="414"/>
      <c r="O99" s="417"/>
      <c r="P99" s="414"/>
      <c r="Q99" s="414"/>
      <c r="R99" s="414"/>
      <c r="S99" s="414"/>
      <c r="T99" s="417"/>
      <c r="U99" s="414"/>
      <c r="V99" s="414"/>
      <c r="W99" s="414"/>
      <c r="X99" s="414"/>
      <c r="Y99" s="417"/>
      <c r="Z99" s="414"/>
      <c r="AA99" s="414"/>
      <c r="AC99" s="359"/>
      <c r="AD99" s="422"/>
      <c r="AE99" s="359"/>
      <c r="AF99" s="359"/>
      <c r="AG99" s="359"/>
      <c r="AH99" s="359"/>
      <c r="AI99" s="422"/>
      <c r="AJ99" s="359"/>
      <c r="AK99" s="359"/>
      <c r="AL99" s="359"/>
      <c r="AM99" s="359"/>
      <c r="AN99" s="422"/>
      <c r="AO99" s="359"/>
      <c r="AP99" s="359"/>
      <c r="AQ99" s="359"/>
      <c r="AR99" s="359"/>
      <c r="AS99" s="422"/>
      <c r="AT99" s="456"/>
      <c r="AU99" s="508"/>
    </row>
    <row r="100" spans="1:269" s="429" customFormat="1">
      <c r="A100" s="430" t="s">
        <v>567</v>
      </c>
      <c r="B100" s="431"/>
      <c r="C100" s="432"/>
      <c r="D100" s="432"/>
      <c r="E100" s="432"/>
      <c r="F100" s="432"/>
      <c r="G100" s="432"/>
      <c r="H100" s="432"/>
      <c r="I100" s="432"/>
      <c r="J100" s="432"/>
      <c r="K100" s="432"/>
      <c r="L100" s="432"/>
      <c r="M100" s="432"/>
      <c r="N100" s="432"/>
      <c r="O100" s="432"/>
      <c r="P100" s="432"/>
      <c r="Q100" s="432"/>
      <c r="R100" s="432"/>
      <c r="S100" s="432"/>
      <c r="T100" s="432"/>
      <c r="U100" s="432"/>
      <c r="V100" s="432"/>
      <c r="W100" s="432"/>
      <c r="X100" s="432"/>
      <c r="Y100" s="432"/>
      <c r="Z100" s="432"/>
      <c r="AA100" s="432"/>
      <c r="AB100" s="432"/>
      <c r="AC100" s="55"/>
      <c r="AD100" s="55"/>
      <c r="AE100" s="55"/>
      <c r="AF100" s="55"/>
      <c r="AG100" s="55"/>
      <c r="AH100" s="55"/>
      <c r="AI100" s="55"/>
      <c r="AJ100" s="55"/>
      <c r="AK100" s="55"/>
      <c r="AL100" s="55"/>
      <c r="AM100" s="55"/>
      <c r="AN100" s="55"/>
      <c r="AO100" s="55"/>
      <c r="AP100" s="55"/>
      <c r="AQ100" s="55"/>
      <c r="AR100" s="55"/>
      <c r="AS100" s="55"/>
      <c r="AT100" s="317"/>
      <c r="AU100" s="507"/>
      <c r="AV100" s="317"/>
      <c r="AW100" s="317"/>
      <c r="AX100" s="317"/>
      <c r="AY100" s="317"/>
      <c r="AZ100" s="317"/>
      <c r="BA100" s="317"/>
      <c r="BB100" s="317"/>
      <c r="BC100" s="317"/>
      <c r="BD100" s="317"/>
      <c r="BE100" s="317"/>
      <c r="BF100" s="317"/>
      <c r="BG100" s="317"/>
      <c r="BH100" s="317"/>
      <c r="BI100" s="317"/>
      <c r="BJ100" s="317"/>
      <c r="BK100" s="317"/>
      <c r="BL100" s="317"/>
      <c r="BM100" s="317"/>
      <c r="BN100" s="317"/>
      <c r="BO100" s="317"/>
      <c r="BP100" s="317"/>
      <c r="BQ100" s="317"/>
      <c r="BR100" s="317"/>
      <c r="BS100" s="317"/>
      <c r="BT100" s="317"/>
      <c r="BU100" s="317"/>
      <c r="BV100" s="317"/>
      <c r="BW100" s="317"/>
      <c r="BX100" s="317"/>
      <c r="BY100" s="317"/>
      <c r="BZ100" s="317"/>
      <c r="CA100" s="317"/>
      <c r="CB100" s="317"/>
      <c r="CC100" s="317"/>
      <c r="CD100" s="317"/>
      <c r="CE100" s="317"/>
      <c r="CF100" s="317"/>
      <c r="CG100" s="317"/>
      <c r="CH100" s="317"/>
      <c r="CI100" s="317"/>
      <c r="CJ100" s="317"/>
      <c r="CK100" s="317"/>
      <c r="CL100" s="317"/>
      <c r="CM100" s="317"/>
      <c r="CN100" s="317"/>
      <c r="CO100" s="317"/>
      <c r="CP100" s="317"/>
      <c r="CQ100" s="317"/>
      <c r="CR100" s="317"/>
      <c r="CS100" s="317"/>
      <c r="CT100" s="317"/>
      <c r="CU100" s="317"/>
      <c r="CV100" s="317"/>
      <c r="CW100" s="317"/>
      <c r="CX100" s="317"/>
      <c r="CY100" s="317"/>
      <c r="CZ100" s="317"/>
      <c r="DA100" s="317"/>
      <c r="DB100" s="317"/>
      <c r="DC100" s="317"/>
      <c r="DD100" s="317"/>
      <c r="DE100" s="317"/>
      <c r="DF100" s="317"/>
      <c r="DG100" s="317"/>
      <c r="DH100" s="317"/>
      <c r="DI100" s="317"/>
      <c r="DJ100" s="317"/>
      <c r="DK100" s="317"/>
      <c r="DL100" s="317"/>
      <c r="DM100" s="317"/>
      <c r="DN100" s="317"/>
      <c r="DO100" s="317"/>
      <c r="DP100" s="317"/>
      <c r="DQ100" s="317"/>
      <c r="DR100" s="317"/>
      <c r="DS100" s="317"/>
      <c r="DT100" s="317"/>
      <c r="DU100" s="317"/>
      <c r="DV100" s="317"/>
      <c r="DW100" s="317"/>
      <c r="DX100" s="317"/>
      <c r="DY100" s="317"/>
      <c r="DZ100" s="317"/>
      <c r="EA100" s="317"/>
      <c r="EB100" s="317"/>
      <c r="EC100" s="317"/>
      <c r="ED100" s="317"/>
      <c r="EE100" s="317"/>
      <c r="EF100" s="317"/>
      <c r="EG100" s="317"/>
      <c r="EH100" s="317"/>
      <c r="EI100" s="317"/>
      <c r="EJ100" s="317"/>
      <c r="EK100" s="317"/>
      <c r="EL100" s="317"/>
      <c r="EM100" s="317"/>
      <c r="EN100" s="317"/>
      <c r="EO100" s="317"/>
      <c r="EP100" s="317"/>
      <c r="EQ100" s="317"/>
      <c r="ER100" s="317"/>
      <c r="ES100" s="317"/>
      <c r="ET100" s="317"/>
      <c r="EU100" s="317"/>
      <c r="EV100" s="317"/>
      <c r="EW100" s="317"/>
      <c r="EX100" s="317"/>
      <c r="EY100" s="317"/>
      <c r="EZ100" s="317"/>
      <c r="FA100" s="317"/>
      <c r="FB100" s="317"/>
      <c r="FC100" s="317"/>
      <c r="FD100" s="317"/>
      <c r="FE100" s="317"/>
      <c r="FF100" s="317"/>
      <c r="FG100" s="317"/>
      <c r="FH100" s="317"/>
      <c r="FI100" s="317"/>
      <c r="FJ100" s="317"/>
      <c r="FK100" s="317"/>
      <c r="FL100" s="317"/>
      <c r="FM100" s="317"/>
      <c r="FN100" s="317"/>
      <c r="FO100" s="317"/>
      <c r="FP100" s="317"/>
      <c r="FQ100" s="317"/>
      <c r="FR100" s="317"/>
      <c r="FS100" s="317"/>
      <c r="FT100" s="317"/>
      <c r="FU100" s="317"/>
      <c r="FV100" s="317"/>
      <c r="FW100" s="317"/>
      <c r="FX100" s="317"/>
      <c r="FY100" s="317"/>
      <c r="FZ100" s="317"/>
      <c r="GA100" s="317"/>
      <c r="GB100" s="317"/>
      <c r="GC100" s="317"/>
      <c r="GD100" s="317"/>
      <c r="GE100" s="317"/>
      <c r="GF100" s="317"/>
      <c r="GG100" s="317"/>
      <c r="GH100" s="317"/>
      <c r="GI100" s="317"/>
      <c r="GJ100" s="317"/>
      <c r="GK100" s="317"/>
      <c r="GL100" s="317"/>
      <c r="GM100" s="317"/>
      <c r="GN100" s="317"/>
      <c r="GO100" s="317"/>
      <c r="GP100" s="317"/>
      <c r="GQ100" s="317"/>
      <c r="GR100" s="317"/>
      <c r="GS100" s="317"/>
      <c r="GT100" s="317"/>
      <c r="GU100" s="317"/>
      <c r="GV100" s="317"/>
      <c r="GW100" s="317"/>
      <c r="GX100" s="317"/>
      <c r="GY100" s="317"/>
      <c r="GZ100" s="317"/>
      <c r="HA100" s="317"/>
      <c r="HB100" s="317"/>
      <c r="HC100" s="317"/>
      <c r="HD100" s="317"/>
      <c r="HE100" s="317"/>
      <c r="HF100" s="317"/>
      <c r="HG100" s="317"/>
      <c r="HH100" s="317"/>
      <c r="HI100" s="317"/>
      <c r="HJ100" s="317"/>
      <c r="HK100" s="317"/>
      <c r="HL100" s="317"/>
      <c r="HM100" s="317"/>
      <c r="HN100" s="317"/>
      <c r="HO100" s="317"/>
      <c r="HP100" s="317"/>
      <c r="HQ100" s="317"/>
      <c r="HR100" s="317"/>
      <c r="HS100" s="317"/>
      <c r="HT100" s="317"/>
      <c r="HU100" s="317"/>
      <c r="HV100" s="317"/>
      <c r="HW100" s="317"/>
      <c r="HX100" s="317"/>
      <c r="HY100" s="317"/>
      <c r="HZ100" s="317"/>
      <c r="IA100" s="317"/>
      <c r="IB100" s="317"/>
      <c r="IC100" s="317"/>
      <c r="ID100" s="317"/>
      <c r="IE100" s="317"/>
      <c r="IF100" s="317"/>
      <c r="IG100" s="317"/>
      <c r="IH100" s="317"/>
      <c r="II100" s="317"/>
      <c r="IJ100" s="317"/>
      <c r="IK100" s="317"/>
      <c r="IL100" s="317"/>
      <c r="IM100" s="317"/>
      <c r="IN100" s="317"/>
      <c r="IO100" s="317"/>
      <c r="IP100" s="317"/>
      <c r="IQ100" s="317"/>
      <c r="IR100" s="317"/>
      <c r="IS100" s="317"/>
      <c r="IT100" s="317"/>
      <c r="IU100" s="317"/>
      <c r="IV100" s="317"/>
      <c r="IW100" s="317"/>
      <c r="IX100" s="317"/>
      <c r="IY100" s="317"/>
      <c r="IZ100" s="317"/>
      <c r="JA100" s="317"/>
      <c r="JB100" s="317"/>
      <c r="JC100" s="317"/>
      <c r="JD100" s="317"/>
      <c r="JE100" s="317"/>
      <c r="JF100" s="317"/>
      <c r="JG100" s="317"/>
      <c r="JH100" s="317"/>
      <c r="JI100" s="317"/>
    </row>
    <row r="101" spans="1:269" s="81" customFormat="1">
      <c r="A101" s="418"/>
      <c r="C101" s="417"/>
      <c r="D101" s="417"/>
      <c r="E101" s="417"/>
      <c r="F101" s="414"/>
      <c r="G101" s="414"/>
      <c r="H101" s="414"/>
      <c r="I101" s="414"/>
      <c r="J101" s="417"/>
      <c r="K101" s="414"/>
      <c r="L101" s="414"/>
      <c r="M101" s="414"/>
      <c r="N101" s="414"/>
      <c r="O101" s="417"/>
      <c r="P101" s="414"/>
      <c r="Q101" s="414"/>
      <c r="R101" s="414"/>
      <c r="S101" s="414"/>
      <c r="T101" s="417"/>
      <c r="U101" s="414"/>
      <c r="V101" s="414"/>
      <c r="W101" s="414"/>
      <c r="X101" s="414"/>
      <c r="Y101" s="417"/>
      <c r="Z101" s="414"/>
      <c r="AA101" s="414"/>
      <c r="AB101" s="359"/>
      <c r="AC101" s="359"/>
      <c r="AD101" s="422"/>
      <c r="AE101" s="359"/>
      <c r="AF101" s="359"/>
      <c r="AG101" s="359"/>
      <c r="AH101" s="359"/>
      <c r="AI101" s="422"/>
      <c r="AJ101" s="359"/>
      <c r="AK101" s="359"/>
      <c r="AL101" s="359"/>
      <c r="AM101" s="359"/>
      <c r="AN101" s="422"/>
      <c r="AO101" s="359"/>
      <c r="AP101" s="359"/>
      <c r="AQ101" s="359"/>
      <c r="AR101" s="359"/>
      <c r="AS101" s="422"/>
      <c r="AT101" s="456"/>
      <c r="AU101" s="508"/>
    </row>
    <row r="102" spans="1:269" s="81" customFormat="1">
      <c r="A102" s="91" t="s">
        <v>830</v>
      </c>
      <c r="C102" s="417"/>
      <c r="D102" s="417"/>
      <c r="E102" s="316">
        <f>E97</f>
        <v>9324.5</v>
      </c>
      <c r="F102" s="280">
        <f t="shared" ref="F102:AS102" si="240">F97</f>
        <v>10871</v>
      </c>
      <c r="G102" s="280">
        <f t="shared" si="240"/>
        <v>11635</v>
      </c>
      <c r="H102" s="280">
        <f t="shared" si="240"/>
        <v>12440.5</v>
      </c>
      <c r="I102" s="280">
        <f t="shared" si="240"/>
        <v>13350.5</v>
      </c>
      <c r="J102" s="316">
        <f t="shared" si="240"/>
        <v>12198</v>
      </c>
      <c r="K102" s="280">
        <f t="shared" si="240"/>
        <v>14146.5</v>
      </c>
      <c r="L102" s="280">
        <f t="shared" si="240"/>
        <v>14458</v>
      </c>
      <c r="M102" s="280">
        <f t="shared" si="240"/>
        <v>14809.5</v>
      </c>
      <c r="N102" s="280">
        <f t="shared" si="240"/>
        <v>15398</v>
      </c>
      <c r="O102" s="316">
        <f t="shared" si="240"/>
        <v>14772</v>
      </c>
      <c r="P102" s="280">
        <f t="shared" si="240"/>
        <v>16089.533636363636</v>
      </c>
      <c r="Q102" s="280">
        <f t="shared" si="240"/>
        <v>17087.103374739519</v>
      </c>
      <c r="R102" s="280">
        <f t="shared" si="240"/>
        <v>18207.708962261331</v>
      </c>
      <c r="S102" s="280">
        <f t="shared" si="240"/>
        <v>19516.492115799942</v>
      </c>
      <c r="T102" s="316">
        <f t="shared" si="240"/>
        <v>17978.352891914496</v>
      </c>
      <c r="U102" s="280">
        <f t="shared" si="240"/>
        <v>21001.852891914496</v>
      </c>
      <c r="V102" s="280">
        <f t="shared" si="240"/>
        <v>22324</v>
      </c>
      <c r="W102" s="280">
        <f t="shared" si="240"/>
        <v>23701</v>
      </c>
      <c r="X102" s="280">
        <f t="shared" si="240"/>
        <v>24904.5</v>
      </c>
      <c r="Y102" s="316">
        <f t="shared" si="240"/>
        <v>22810.352891914496</v>
      </c>
      <c r="Z102" s="280">
        <f t="shared" si="240"/>
        <v>26371</v>
      </c>
      <c r="AA102" s="280">
        <f t="shared" si="240"/>
        <v>28544</v>
      </c>
      <c r="AB102" s="280">
        <f t="shared" si="240"/>
        <v>24515.949999999997</v>
      </c>
      <c r="AC102" s="280">
        <f t="shared" si="240"/>
        <v>25378.449999999997</v>
      </c>
      <c r="AD102" s="320">
        <f t="shared" si="240"/>
        <v>23262.827891914494</v>
      </c>
      <c r="AE102" s="280">
        <f t="shared" si="240"/>
        <v>27103.449999999997</v>
      </c>
      <c r="AF102" s="280">
        <f t="shared" si="240"/>
        <v>28878.449999999997</v>
      </c>
      <c r="AG102" s="280">
        <f t="shared" si="240"/>
        <v>30153.449999999997</v>
      </c>
      <c r="AH102" s="280">
        <f t="shared" si="240"/>
        <v>30812.237199999996</v>
      </c>
      <c r="AI102" s="320">
        <f t="shared" si="240"/>
        <v>28674.737199999996</v>
      </c>
      <c r="AJ102" s="280">
        <f t="shared" si="240"/>
        <v>31439.457640000001</v>
      </c>
      <c r="AK102" s="280">
        <f t="shared" si="240"/>
        <v>32205.769119999997</v>
      </c>
      <c r="AL102" s="280">
        <f t="shared" si="240"/>
        <v>33103.04176</v>
      </c>
      <c r="AM102" s="280">
        <f t="shared" si="240"/>
        <v>34009.366959999999</v>
      </c>
      <c r="AN102" s="320">
        <f t="shared" si="240"/>
        <v>32781.161079999998</v>
      </c>
      <c r="AO102" s="280">
        <f t="shared" si="240"/>
        <v>34884.010971999989</v>
      </c>
      <c r="AP102" s="280">
        <f t="shared" si="240"/>
        <v>35814.909159999996</v>
      </c>
      <c r="AQ102" s="280">
        <f t="shared" si="240"/>
        <v>36791.345367999995</v>
      </c>
      <c r="AR102" s="280">
        <f t="shared" si="240"/>
        <v>37862.633871999991</v>
      </c>
      <c r="AS102" s="320">
        <f t="shared" si="240"/>
        <v>36455.98445199999</v>
      </c>
      <c r="AT102" s="456"/>
      <c r="AU102" s="508"/>
    </row>
    <row r="103" spans="1:269" s="81" customFormat="1" ht="15" thickBot="1">
      <c r="A103" s="860" t="s">
        <v>470</v>
      </c>
      <c r="B103" s="60"/>
      <c r="C103" s="478"/>
      <c r="D103" s="478"/>
      <c r="E103" s="861">
        <v>55.2</v>
      </c>
      <c r="F103" s="862">
        <v>18.2</v>
      </c>
      <c r="G103" s="862">
        <v>22.2</v>
      </c>
      <c r="H103" s="862">
        <v>21.1</v>
      </c>
      <c r="I103" s="862">
        <v>26.1</v>
      </c>
      <c r="J103" s="861">
        <v>85.2</v>
      </c>
      <c r="K103" s="862">
        <v>18.5</v>
      </c>
      <c r="L103" s="862">
        <v>8.1</v>
      </c>
      <c r="M103" s="862">
        <v>18.600000000000001</v>
      </c>
      <c r="N103" s="862">
        <v>20.5</v>
      </c>
      <c r="O103" s="861">
        <v>65.7</v>
      </c>
      <c r="P103" s="862">
        <v>21.9</v>
      </c>
      <c r="Q103" s="862">
        <v>31.6</v>
      </c>
      <c r="R103" s="862">
        <v>32</v>
      </c>
      <c r="S103" s="862">
        <v>35.200000000000003</v>
      </c>
      <c r="T103" s="861">
        <f>SUM(P103:S103)</f>
        <v>120.7</v>
      </c>
      <c r="U103" s="862">
        <v>33.799999999999997</v>
      </c>
      <c r="V103" s="862">
        <v>38.753</v>
      </c>
      <c r="W103" s="862">
        <v>39.700000000000003</v>
      </c>
      <c r="X103" s="862">
        <v>47.4</v>
      </c>
      <c r="Y103" s="861">
        <f>SUM(U103:X103)</f>
        <v>159.65299999999999</v>
      </c>
      <c r="Z103" s="862">
        <v>40.9</v>
      </c>
      <c r="AA103" s="862">
        <v>51.9</v>
      </c>
      <c r="AB103" s="862">
        <v>46.4</v>
      </c>
      <c r="AC103" s="863">
        <f>(1+AC104)*AB103</f>
        <v>38.048000000000002</v>
      </c>
      <c r="AD103" s="864">
        <f>SUM(Z103:AC103)</f>
        <v>177.24799999999999</v>
      </c>
      <c r="AE103" s="863">
        <f>(1+AE104)*AC103</f>
        <v>35.765120000000003</v>
      </c>
      <c r="AF103" s="863">
        <f t="shared" ref="AF103:AG103" si="241">(1+AF104)*AE103</f>
        <v>35.765120000000003</v>
      </c>
      <c r="AG103" s="863">
        <f>AG106*AG59/1000000</f>
        <v>54.216299021657328</v>
      </c>
      <c r="AH103" s="863">
        <f>AH106*AH59/1000000</f>
        <v>62.479774584807295</v>
      </c>
      <c r="AI103" s="864">
        <f>SUM(AE103:AH103)</f>
        <v>188.22631360646463</v>
      </c>
      <c r="AJ103" s="863">
        <f>AJ106*AJ59/1000000</f>
        <v>57.904579042385443</v>
      </c>
      <c r="AK103" s="863">
        <f>AK106*AK59/1000000</f>
        <v>73.179581596386484</v>
      </c>
      <c r="AL103" s="863">
        <f>AL106*AL59/1000000</f>
        <v>65.471674108442883</v>
      </c>
      <c r="AM103" s="863">
        <f>AM106*AM59/1000000</f>
        <v>75.859059645823848</v>
      </c>
      <c r="AN103" s="864">
        <f>SUM(AJ103:AM103)</f>
        <v>272.41489439303865</v>
      </c>
      <c r="AO103" s="863">
        <f>AO106*AO59/1000000</f>
        <v>65.533663896133504</v>
      </c>
      <c r="AP103" s="863">
        <f>AP106*AP59/1000000</f>
        <v>83.008061649614703</v>
      </c>
      <c r="AQ103" s="863">
        <f>AQ106*AQ59/1000000</f>
        <v>74.221783340545883</v>
      </c>
      <c r="AR103" s="863">
        <f>AR106*AR59/1000000</f>
        <v>86.142981747194469</v>
      </c>
      <c r="AS103" s="864">
        <f>SUM(AO103:AR103)</f>
        <v>308.90649063348854</v>
      </c>
      <c r="AT103" s="456"/>
      <c r="AU103" s="508"/>
    </row>
    <row r="104" spans="1:269" s="81" customFormat="1" ht="15" thickTop="1">
      <c r="A104" s="418" t="s">
        <v>758</v>
      </c>
      <c r="C104" s="417"/>
      <c r="D104" s="417"/>
      <c r="E104" s="562"/>
      <c r="F104" s="558"/>
      <c r="G104" s="414">
        <f>G103/F103-1</f>
        <v>0.21978021978021989</v>
      </c>
      <c r="H104" s="414">
        <f t="shared" ref="H104:I104" si="242">H103/G103-1</f>
        <v>-4.9549549549549488E-2</v>
      </c>
      <c r="I104" s="414">
        <f t="shared" si="242"/>
        <v>0.23696682464454977</v>
      </c>
      <c r="J104" s="316"/>
      <c r="K104" s="414">
        <f>K103/I103-1</f>
        <v>-0.29118773946360155</v>
      </c>
      <c r="L104" s="414">
        <f t="shared" ref="L104" si="243">L103/K103-1</f>
        <v>-0.56216216216216219</v>
      </c>
      <c r="M104" s="414">
        <f t="shared" ref="M104" si="244">M103/L103-1</f>
        <v>1.2962962962962967</v>
      </c>
      <c r="N104" s="414">
        <f t="shared" ref="N104" si="245">N103/M103-1</f>
        <v>0.10215053763440851</v>
      </c>
      <c r="O104" s="562"/>
      <c r="P104" s="414">
        <f>P103/N103-1</f>
        <v>6.8292682926829107E-2</v>
      </c>
      <c r="Q104" s="414">
        <f t="shared" ref="Q104" si="246">Q103/P103-1</f>
        <v>0.44292237442922389</v>
      </c>
      <c r="R104" s="414">
        <f t="shared" ref="R104" si="247">R103/Q103-1</f>
        <v>1.2658227848101111E-2</v>
      </c>
      <c r="S104" s="414">
        <f t="shared" ref="S104" si="248">S103/R103-1</f>
        <v>0.10000000000000009</v>
      </c>
      <c r="T104" s="562"/>
      <c r="U104" s="414">
        <f>U103/S103-1</f>
        <v>-3.9772727272727404E-2</v>
      </c>
      <c r="V104" s="414">
        <f t="shared" ref="V104" si="249">V103/U103-1</f>
        <v>0.14653846153846173</v>
      </c>
      <c r="W104" s="414">
        <f t="shared" ref="W104" si="250">W103/V103-1</f>
        <v>2.4436817794751375E-2</v>
      </c>
      <c r="X104" s="414">
        <f t="shared" ref="X104" si="251">X103/W103-1</f>
        <v>0.19395465994962202</v>
      </c>
      <c r="Y104" s="562"/>
      <c r="Z104" s="414">
        <f>Z103/X103-1</f>
        <v>-0.1371308016877637</v>
      </c>
      <c r="AA104" s="414">
        <f t="shared" ref="AA104" si="252">AA103/Z103-1</f>
        <v>0.26894865525672373</v>
      </c>
      <c r="AB104" s="414">
        <f t="shared" ref="AB104" si="253">AB103/AA103-1</f>
        <v>-0.10597302504816952</v>
      </c>
      <c r="AC104" s="359">
        <v>-0.18</v>
      </c>
      <c r="AD104" s="567"/>
      <c r="AE104" s="359">
        <v>-0.06</v>
      </c>
      <c r="AF104" s="359">
        <v>0</v>
      </c>
      <c r="AG104" s="414">
        <f t="shared" ref="AG104:AH104" si="254">AG103/AF103-1</f>
        <v>0.51589870302846252</v>
      </c>
      <c r="AH104" s="414">
        <f t="shared" si="254"/>
        <v>0.15241681398888973</v>
      </c>
      <c r="AI104" s="567"/>
      <c r="AJ104" s="414">
        <f>AJ103/AH103-1</f>
        <v>-7.322682536588998E-2</v>
      </c>
      <c r="AK104" s="414">
        <f t="shared" ref="AK104" si="255">AK103/AJ103-1</f>
        <v>0.26379610743426563</v>
      </c>
      <c r="AL104" s="414">
        <f t="shared" ref="AL104" si="256">AL103/AK103-1</f>
        <v>-0.10532866299312382</v>
      </c>
      <c r="AM104" s="414">
        <f t="shared" ref="AM104" si="257">AM103/AL103-1</f>
        <v>0.1586546499510002</v>
      </c>
      <c r="AN104" s="567"/>
      <c r="AO104" s="414">
        <f>AO103/AM103-1</f>
        <v>-0.13611288879533023</v>
      </c>
      <c r="AP104" s="414">
        <f t="shared" ref="AP104" si="258">AP103/AO103-1</f>
        <v>0.26664765426784243</v>
      </c>
      <c r="AQ104" s="414">
        <f t="shared" ref="AQ104" si="259">AQ103/AP103-1</f>
        <v>-0.10584849392287432</v>
      </c>
      <c r="AR104" s="414">
        <f t="shared" ref="AR104" si="260">AR103/AQ103-1</f>
        <v>0.16061589832666101</v>
      </c>
      <c r="AS104" s="567"/>
      <c r="AT104" s="456"/>
      <c r="AU104" s="508"/>
    </row>
    <row r="105" spans="1:269" s="81" customFormat="1">
      <c r="A105" s="418" t="s">
        <v>208</v>
      </c>
      <c r="C105" s="277"/>
      <c r="D105" s="277"/>
      <c r="E105" s="277"/>
      <c r="F105" s="278"/>
      <c r="G105" s="278"/>
      <c r="H105" s="278"/>
      <c r="I105" s="278"/>
      <c r="J105" s="417">
        <f>J103/E103-1</f>
        <v>0.54347826086956519</v>
      </c>
      <c r="K105" s="414">
        <f t="shared" ref="K105:AS105" si="261">K103/F103-1</f>
        <v>1.6483516483516425E-2</v>
      </c>
      <c r="L105" s="414">
        <f t="shared" si="261"/>
        <v>-0.63513513513513509</v>
      </c>
      <c r="M105" s="414">
        <f t="shared" si="261"/>
        <v>-0.11848341232227488</v>
      </c>
      <c r="N105" s="414">
        <f t="shared" si="261"/>
        <v>-0.21455938697318011</v>
      </c>
      <c r="O105" s="417">
        <f t="shared" si="261"/>
        <v>-0.22887323943661975</v>
      </c>
      <c r="P105" s="414">
        <f t="shared" si="261"/>
        <v>0.18378378378378368</v>
      </c>
      <c r="Q105" s="280">
        <f t="shared" si="261"/>
        <v>2.901234567901235</v>
      </c>
      <c r="R105" s="414">
        <f t="shared" si="261"/>
        <v>0.72043010752688152</v>
      </c>
      <c r="S105" s="414">
        <f t="shared" si="261"/>
        <v>0.71707317073170751</v>
      </c>
      <c r="T105" s="417">
        <f t="shared" si="261"/>
        <v>0.83713850837138515</v>
      </c>
      <c r="U105" s="414">
        <f t="shared" si="261"/>
        <v>0.54337899543378998</v>
      </c>
      <c r="V105" s="414">
        <f t="shared" si="261"/>
        <v>0.22636075949367074</v>
      </c>
      <c r="W105" s="414">
        <f t="shared" si="261"/>
        <v>0.24062500000000009</v>
      </c>
      <c r="X105" s="414">
        <f t="shared" si="261"/>
        <v>0.34659090909090895</v>
      </c>
      <c r="Y105" s="417">
        <f t="shared" si="261"/>
        <v>0.32272576636288308</v>
      </c>
      <c r="Z105" s="414">
        <f t="shared" si="261"/>
        <v>0.21005917159763321</v>
      </c>
      <c r="AA105" s="414">
        <f t="shared" si="261"/>
        <v>0.33925115474930978</v>
      </c>
      <c r="AB105" s="414">
        <f t="shared" si="261"/>
        <v>0.16876574307304781</v>
      </c>
      <c r="AC105" s="414">
        <f t="shared" si="261"/>
        <v>-0.19729957805907172</v>
      </c>
      <c r="AD105" s="422">
        <f t="shared" si="261"/>
        <v>0.11020776308619329</v>
      </c>
      <c r="AE105" s="414">
        <f t="shared" si="261"/>
        <v>-0.12554718826405853</v>
      </c>
      <c r="AF105" s="414">
        <f t="shared" si="261"/>
        <v>-0.31088400770712898</v>
      </c>
      <c r="AG105" s="414">
        <f t="shared" si="261"/>
        <v>0.16845472029433894</v>
      </c>
      <c r="AH105" s="414">
        <f t="shared" si="261"/>
        <v>0.6421303244535137</v>
      </c>
      <c r="AI105" s="422">
        <f t="shared" si="261"/>
        <v>6.1937588048748937E-2</v>
      </c>
      <c r="AJ105" s="414">
        <f t="shared" si="261"/>
        <v>0.61902375952842981</v>
      </c>
      <c r="AK105" s="414">
        <f t="shared" si="261"/>
        <v>1.0461159251356205</v>
      </c>
      <c r="AL105" s="414">
        <f t="shared" si="261"/>
        <v>0.20760131712954921</v>
      </c>
      <c r="AM105" s="414">
        <f t="shared" si="261"/>
        <v>0.21413785740945812</v>
      </c>
      <c r="AN105" s="422">
        <f t="shared" si="261"/>
        <v>0.44727317436918956</v>
      </c>
      <c r="AO105" s="414">
        <f t="shared" si="261"/>
        <v>0.13175270384339832</v>
      </c>
      <c r="AP105" s="414">
        <f t="shared" si="261"/>
        <v>0.13430631658207703</v>
      </c>
      <c r="AQ105" s="414">
        <f t="shared" si="261"/>
        <v>0.13364725052867765</v>
      </c>
      <c r="AR105" s="414">
        <f t="shared" si="261"/>
        <v>0.13556616901639607</v>
      </c>
      <c r="AS105" s="422">
        <f t="shared" si="261"/>
        <v>0.13395595098335566</v>
      </c>
      <c r="AT105" s="456"/>
      <c r="AU105" s="508"/>
    </row>
    <row r="106" spans="1:269" s="81" customFormat="1">
      <c r="A106" s="91" t="s">
        <v>471</v>
      </c>
      <c r="C106" s="277"/>
      <c r="D106" s="277"/>
      <c r="E106" s="316">
        <f>E103/E59*1000*1000</f>
        <v>5919.8884658694833</v>
      </c>
      <c r="F106" s="280">
        <f>F103/F59*1000*1000</f>
        <v>1674.179008370895</v>
      </c>
      <c r="G106" s="280">
        <f>G103/G59*1000*1000</f>
        <v>1908.0360979802319</v>
      </c>
      <c r="H106" s="280">
        <f>H103/H59*1000*1000</f>
        <v>1696.073308950605</v>
      </c>
      <c r="I106" s="280">
        <f>I103/I59*1000*1000</f>
        <v>1954.9829594397213</v>
      </c>
      <c r="J106" s="316">
        <f>J103/J59*1000*1000</f>
        <v>6984.7515986227245</v>
      </c>
      <c r="K106" s="280">
        <f>K103/K59*1000*1000</f>
        <v>1307.7439649383241</v>
      </c>
      <c r="L106" s="280">
        <f>L103/L59*1000*1000</f>
        <v>560.24346382625538</v>
      </c>
      <c r="M106" s="280">
        <f>M103/M59*1000*1000</f>
        <v>1255.9505722678011</v>
      </c>
      <c r="N106" s="280">
        <f>N103/N59*1000*1000</f>
        <v>1331.3417326925573</v>
      </c>
      <c r="O106" s="316">
        <f>O103/O59*1000*1000</f>
        <v>4447.6035743298135</v>
      </c>
      <c r="P106" s="280">
        <f>P103/P59*1000*1000</f>
        <v>1361.133299134553</v>
      </c>
      <c r="Q106" s="280">
        <f>Q103/Q59*1000*1000</f>
        <v>1849.3479735550391</v>
      </c>
      <c r="R106" s="280">
        <f>R103/R59*1000*1000</f>
        <v>1757.4973362286057</v>
      </c>
      <c r="S106" s="280">
        <f>S103/S59*1000*1000</f>
        <v>1803.602808903511</v>
      </c>
      <c r="T106" s="316">
        <f>T103/T59*1000*1000</f>
        <v>6713.6294812792939</v>
      </c>
      <c r="U106" s="280">
        <f>U103/U59*1000*1000</f>
        <v>1609.3818090218442</v>
      </c>
      <c r="V106" s="280">
        <f>V103/V59*1000*1000</f>
        <v>1735.9344203547751</v>
      </c>
      <c r="W106" s="280">
        <f>W103/W59*1000*1000</f>
        <v>1675.0348086578626</v>
      </c>
      <c r="X106" s="280">
        <f>X103/X59*1000*1000</f>
        <v>1903.2704932843462</v>
      </c>
      <c r="Y106" s="316">
        <f>Y103/Y59*1000*1000</f>
        <v>6999.1464295404057</v>
      </c>
      <c r="Z106" s="280">
        <f>Z103/Z59*1000*1000</f>
        <v>1550.9461150506236</v>
      </c>
      <c r="AA106" s="280">
        <f>AA103/AA59*1000*1000</f>
        <v>1818.2455156950673</v>
      </c>
      <c r="AB106" s="280">
        <f>AB103/AB59*1000*1000</f>
        <v>1892.6454002394362</v>
      </c>
      <c r="AC106" s="280">
        <f>AC103*AC59/1000</f>
        <v>965.59926559999997</v>
      </c>
      <c r="AD106" s="320">
        <f>AD103/AD59*1000*1000</f>
        <v>7619.3660041480352</v>
      </c>
      <c r="AE106" s="280">
        <f>AE103*AE59/1000</f>
        <v>969.35814166399996</v>
      </c>
      <c r="AF106" s="280">
        <f>AF103*AF59/1000</f>
        <v>1032.8412296639999</v>
      </c>
      <c r="AG106" s="280">
        <f t="shared" ref="AG106:AH106" si="262">(1+AG107)*AB106</f>
        <v>1798.0131302274642</v>
      </c>
      <c r="AH106" s="280">
        <f t="shared" si="262"/>
        <v>2027.7584577600001</v>
      </c>
      <c r="AI106" s="320">
        <f>AI103/AI59*1000*1000</f>
        <v>6564.186178712901</v>
      </c>
      <c r="AJ106" s="280">
        <f t="shared" ref="AJ106:AM106" si="263">(1+AJ107)*AE106</f>
        <v>1841.7804691615997</v>
      </c>
      <c r="AK106" s="280">
        <f t="shared" si="263"/>
        <v>2272.2507052607998</v>
      </c>
      <c r="AL106" s="280">
        <f t="shared" si="263"/>
        <v>1977.8144432502108</v>
      </c>
      <c r="AM106" s="280">
        <f t="shared" si="263"/>
        <v>2230.5343035360002</v>
      </c>
      <c r="AN106" s="320">
        <f>AN103/AN59*1000*1000</f>
        <v>8310.1051158081391</v>
      </c>
      <c r="AO106" s="280">
        <f t="shared" ref="AO106:AR106" si="264">(1+AO107)*AJ106</f>
        <v>1878.6160785448317</v>
      </c>
      <c r="AP106" s="280">
        <f t="shared" si="264"/>
        <v>2317.695719366016</v>
      </c>
      <c r="AQ106" s="280">
        <f t="shared" si="264"/>
        <v>2017.3707321152151</v>
      </c>
      <c r="AR106" s="280">
        <f t="shared" si="264"/>
        <v>2275.1449896067202</v>
      </c>
      <c r="AS106" s="320">
        <f>AS103/AS59*1000*1000</f>
        <v>8473.4096548733251</v>
      </c>
      <c r="AT106" s="456"/>
      <c r="AU106" s="508"/>
      <c r="AX106" s="803"/>
    </row>
    <row r="107" spans="1:269" s="81" customFormat="1">
      <c r="A107" s="418" t="s">
        <v>208</v>
      </c>
      <c r="C107" s="277"/>
      <c r="D107" s="277"/>
      <c r="E107" s="277"/>
      <c r="F107" s="278"/>
      <c r="G107" s="278"/>
      <c r="H107" s="278"/>
      <c r="I107" s="278"/>
      <c r="J107" s="417">
        <f>J106/E106-1</f>
        <v>0.17987891814053625</v>
      </c>
      <c r="K107" s="414">
        <f t="shared" ref="K107" si="265">K106/F106-1</f>
        <v>-0.21887447017337791</v>
      </c>
      <c r="L107" s="414">
        <f t="shared" ref="L107" si="266">L106/G106-1</f>
        <v>-0.70637690533250086</v>
      </c>
      <c r="M107" s="414">
        <f t="shared" ref="M107" si="267">M106/H106-1</f>
        <v>-0.25949511401433278</v>
      </c>
      <c r="N107" s="414">
        <f t="shared" ref="N107" si="268">N106/I106-1</f>
        <v>-0.3190008504861308</v>
      </c>
      <c r="O107" s="417">
        <f t="shared" ref="O107" si="269">O106/J106-1</f>
        <v>-0.36324098122447102</v>
      </c>
      <c r="P107" s="414">
        <f t="shared" ref="P107" si="270">P106/K106-1</f>
        <v>4.0825525200375745E-2</v>
      </c>
      <c r="Q107" s="414">
        <f t="shared" ref="Q107" si="271">Q106/L106-1</f>
        <v>2.3009719755134266</v>
      </c>
      <c r="R107" s="414">
        <f t="shared" ref="R107" si="272">R106/M106-1</f>
        <v>0.39933638714395348</v>
      </c>
      <c r="S107" s="414">
        <f t="shared" ref="S107" si="273">S106/N106-1</f>
        <v>0.35472566104859826</v>
      </c>
      <c r="T107" s="417">
        <f t="shared" ref="T107" si="274">T106/O106-1</f>
        <v>0.50949367880453167</v>
      </c>
      <c r="U107" s="414">
        <f t="shared" ref="U107" si="275">U106/P106-1</f>
        <v>0.18238368721501019</v>
      </c>
      <c r="V107" s="414">
        <f t="shared" ref="V107" si="276">V106/Q106-1</f>
        <v>-6.1326237583209875E-2</v>
      </c>
      <c r="W107" s="414">
        <f t="shared" ref="W107" si="277">W106/R106-1</f>
        <v>-4.6920428196891906E-2</v>
      </c>
      <c r="X107" s="414">
        <f t="shared" ref="X107" si="278">X106/S106-1</f>
        <v>5.5260328875528675E-2</v>
      </c>
      <c r="Y107" s="417">
        <f t="shared" ref="Y107" si="279">Y106/T106-1</f>
        <v>4.2527957352616053E-2</v>
      </c>
      <c r="Z107" s="414">
        <f t="shared" ref="Z107" si="280">Z106/U106-1</f>
        <v>-3.6309403799423379E-2</v>
      </c>
      <c r="AA107" s="414">
        <f>AA106/V106-1</f>
        <v>4.7416016627788382E-2</v>
      </c>
      <c r="AB107" s="414">
        <f t="shared" ref="AB107:AC107" si="281">AB106/W106-1</f>
        <v>0.12991407131170973</v>
      </c>
      <c r="AC107" s="414">
        <f t="shared" si="281"/>
        <v>-0.49266314535579747</v>
      </c>
      <c r="AD107" s="422">
        <f t="shared" ref="AD107" si="282">AD106/Y106-1</f>
        <v>8.8613601794348407E-2</v>
      </c>
      <c r="AE107" s="414">
        <f t="shared" ref="AE107" si="283">AE106/Z106-1</f>
        <v>-0.37498915516329223</v>
      </c>
      <c r="AF107" s="414">
        <f t="shared" ref="AF107" si="284">AF106/AA106-1</f>
        <v>-0.43195722428652772</v>
      </c>
      <c r="AG107" s="359">
        <v>-0.05</v>
      </c>
      <c r="AH107" s="359">
        <v>1.1000000000000001</v>
      </c>
      <c r="AI107" s="422">
        <f t="shared" ref="AI107" si="285">AI106/AD106-1</f>
        <v>-0.13848656500563006</v>
      </c>
      <c r="AJ107" s="359">
        <v>0.9</v>
      </c>
      <c r="AK107" s="359">
        <v>1.2</v>
      </c>
      <c r="AL107" s="359">
        <v>0.1</v>
      </c>
      <c r="AM107" s="359">
        <v>0.1</v>
      </c>
      <c r="AN107" s="422">
        <f t="shared" ref="AN107" si="286">AN106/AI106-1</f>
        <v>0.26597645002165016</v>
      </c>
      <c r="AO107" s="359">
        <v>0.02</v>
      </c>
      <c r="AP107" s="359">
        <v>0.02</v>
      </c>
      <c r="AQ107" s="359">
        <v>0.02</v>
      </c>
      <c r="AR107" s="359">
        <v>0.02</v>
      </c>
      <c r="AS107" s="422">
        <f t="shared" ref="AS107" si="287">AS106/AN106-1</f>
        <v>1.9651320505505332E-2</v>
      </c>
      <c r="AT107" s="456"/>
      <c r="AU107" s="508"/>
      <c r="AX107" s="803"/>
    </row>
    <row r="108" spans="1:269" s="81" customFormat="1">
      <c r="A108" s="835" t="s">
        <v>207</v>
      </c>
      <c r="C108" s="310"/>
      <c r="D108" s="310"/>
      <c r="E108" s="310"/>
      <c r="F108" s="312"/>
      <c r="G108" s="312"/>
      <c r="H108" s="312"/>
      <c r="I108" s="312"/>
      <c r="J108" s="423"/>
      <c r="K108" s="424"/>
      <c r="L108" s="424"/>
      <c r="M108" s="424"/>
      <c r="N108" s="424"/>
      <c r="O108" s="423"/>
      <c r="P108" s="424"/>
      <c r="Q108" s="424"/>
      <c r="R108" s="424"/>
      <c r="S108" s="424"/>
      <c r="T108" s="423"/>
      <c r="U108" s="424"/>
      <c r="V108" s="424"/>
      <c r="W108" s="424"/>
      <c r="X108" s="424"/>
      <c r="Y108" s="423"/>
      <c r="Z108" s="424">
        <f>Z106/$F$106-1</f>
        <v>-7.360795512553131E-2</v>
      </c>
      <c r="AA108" s="424">
        <f>AA106/$G$106-1</f>
        <v>-4.7059163283238337E-2</v>
      </c>
      <c r="AB108" s="424">
        <f>AB106/$H$106-1</f>
        <v>0.11589834605112337</v>
      </c>
      <c r="AC108" s="424">
        <f>AC106/$I$106-1</f>
        <v>-0.50608302699644447</v>
      </c>
      <c r="AD108" s="535">
        <f>AD106/$J$106-1</f>
        <v>9.0857118762884381E-2</v>
      </c>
      <c r="AE108" s="424">
        <f>AE106/$F$106-1</f>
        <v>-0.42099492538300309</v>
      </c>
      <c r="AF108" s="424">
        <f>AF106/$G$106-1</f>
        <v>-0.45868884202069193</v>
      </c>
      <c r="AG108" s="424">
        <f>AG106/$H$106-1</f>
        <v>6.0103428748567111E-2</v>
      </c>
      <c r="AH108" s="424">
        <f>AH106/$I$106-1</f>
        <v>3.7225643307466694E-2</v>
      </c>
      <c r="AI108" s="535">
        <f>AI106/$J$106-1</f>
        <v>-6.0211936526526122E-2</v>
      </c>
      <c r="AJ108" s="424">
        <f>AJ106/$F$106-1</f>
        <v>0.10010964177229398</v>
      </c>
      <c r="AK108" s="424">
        <f>AK106/$G$106-1</f>
        <v>0.19088454755447781</v>
      </c>
      <c r="AL108" s="424">
        <f>AL106/$H$106-1</f>
        <v>0.166113771623424</v>
      </c>
      <c r="AM108" s="424">
        <f>AM106/$I$106-1</f>
        <v>0.14094820763821336</v>
      </c>
      <c r="AN108" s="535">
        <f>AN106/$J$106-1</f>
        <v>0.18974955636886959</v>
      </c>
      <c r="AO108" s="424">
        <f>AO106/$F$106-1</f>
        <v>0.12211183460773989</v>
      </c>
      <c r="AP108" s="424">
        <f>AP106/$G$106-1</f>
        <v>0.21470223850556747</v>
      </c>
      <c r="AQ108" s="424">
        <f>AQ106/$H$106-1</f>
        <v>0.18943604705589245</v>
      </c>
      <c r="AR108" s="424">
        <f>AR106/$I$106-1</f>
        <v>0.16376717179097766</v>
      </c>
      <c r="AS108" s="535">
        <f>AS106/$J$106-1</f>
        <v>0.21312970622235716</v>
      </c>
      <c r="AT108" s="836"/>
      <c r="AU108" s="508" t="s">
        <v>781</v>
      </c>
      <c r="AX108" s="803"/>
    </row>
    <row r="109" spans="1:269" s="81" customFormat="1">
      <c r="A109" s="418"/>
      <c r="C109" s="277"/>
      <c r="D109" s="277"/>
      <c r="E109" s="277"/>
      <c r="F109" s="278"/>
      <c r="G109" s="278"/>
      <c r="H109" s="278"/>
      <c r="I109" s="278"/>
      <c r="J109" s="277"/>
      <c r="K109" s="278"/>
      <c r="L109" s="278"/>
      <c r="M109" s="278"/>
      <c r="N109" s="278"/>
      <c r="O109" s="417"/>
      <c r="P109" s="278"/>
      <c r="Q109" s="278"/>
      <c r="R109" s="278"/>
      <c r="S109" s="278"/>
      <c r="T109" s="417"/>
      <c r="U109" s="278"/>
      <c r="V109" s="278"/>
      <c r="W109" s="278"/>
      <c r="X109" s="278"/>
      <c r="Y109" s="417"/>
      <c r="Z109" s="414"/>
      <c r="AA109" s="414"/>
      <c r="AB109" s="414"/>
      <c r="AC109" s="414"/>
      <c r="AD109" s="422"/>
      <c r="AE109" s="414"/>
      <c r="AF109" s="414"/>
      <c r="AG109" s="414"/>
      <c r="AH109" s="414"/>
      <c r="AI109" s="422"/>
      <c r="AJ109" s="414"/>
      <c r="AK109" s="414"/>
      <c r="AL109" s="414"/>
      <c r="AM109" s="414"/>
      <c r="AN109" s="422"/>
      <c r="AO109" s="414"/>
      <c r="AP109" s="414"/>
      <c r="AQ109" s="414"/>
      <c r="AR109" s="414"/>
      <c r="AS109" s="422"/>
      <c r="AT109" s="456"/>
      <c r="AU109" s="508"/>
    </row>
    <row r="110" spans="1:269" s="81" customFormat="1">
      <c r="A110" s="91" t="s">
        <v>554</v>
      </c>
      <c r="B110" s="447" t="s">
        <v>436</v>
      </c>
      <c r="C110" s="277"/>
      <c r="D110" s="277"/>
      <c r="E110" s="602" t="str" cm="1">
        <f t="array" ref="E110">_xll.VAData("SKIN_US", E$4, $B110, "consensus", "CD", "IMPL","", "")</f>
        <v>-</v>
      </c>
      <c r="F110" s="601" cm="1">
        <f t="array" ref="F110">_xll.VAData("SKIN_US", F$4, $B110, "consensus", "CD", "IMPL","", "")</f>
        <v>18.186120082735176</v>
      </c>
      <c r="G110" s="601" cm="1">
        <f t="array" ref="G110">_xll.VAData("SKIN_US", G$4, $B110, "consensus", "CD", "IMPL","", "")</f>
        <v>22.224394693989581</v>
      </c>
      <c r="H110" s="601" cm="1">
        <f t="array" ref="H110">_xll.VAData("SKIN_US", H$4, $B110, "consensus", "CD", "IMPL","", "")</f>
        <v>21.085784872428388</v>
      </c>
      <c r="I110" s="601" cm="1">
        <f t="array" ref="I110">_xll.VAData("SKIN_US", I$4, $B110, "consensus", "CD", "IMPL","", "")</f>
        <v>26.147341104530287</v>
      </c>
      <c r="J110" s="600" cm="1">
        <f t="array" ref="J110">_xll.VAData("SKIN_US", J$4, $B110, "consensus", "CD", "IMPL","", "")</f>
        <v>85.412462642467617</v>
      </c>
      <c r="K110" s="601" cm="1">
        <f t="array" ref="K110">_xll.VAData("SKIN_US", K$4, $B110, "consensus", "CD", "IMPL","", "")</f>
        <v>18.452999999999999</v>
      </c>
      <c r="L110" s="601" cm="1">
        <f t="array" ref="L110">_xll.VAData("SKIN_US", L$4, $B110, "consensus", "CD", "IMPL","", "")</f>
        <v>8.1263281250000006</v>
      </c>
      <c r="M110" s="601" cm="1">
        <f t="array" ref="M110">_xll.VAData("SKIN_US", M$4, $B110, "consensus", "CD", "IMPL","", "")</f>
        <v>18.622499999999999</v>
      </c>
      <c r="N110" s="601" cm="1">
        <f t="array" ref="N110">_xll.VAData("SKIN_US", N$4, $B110, "consensus", "CD", "IMPL","", "")</f>
        <v>20.495845714212166</v>
      </c>
      <c r="O110" s="602" cm="1">
        <f t="array" ref="O110">_xll.VAData("SKIN_US", O$4, $B110, "consensus", "CD", "IMPL","", "")</f>
        <v>65.697932301521917</v>
      </c>
      <c r="P110" s="601" cm="1">
        <f t="array" ref="P110">_xll.VAData("SKIN_US", P$4, $B110, "consensus", "CD", "IMPL","", "")</f>
        <v>21.884294627574398</v>
      </c>
      <c r="Q110" s="601" cm="1">
        <f t="array" ref="Q110">_xll.VAData("SKIN_US", Q$4, $B110, "consensus", "CD", "IMPL","", "")</f>
        <v>31.585777777777775</v>
      </c>
      <c r="R110" s="601" cm="1">
        <f t="array" ref="R110">_xll.VAData("SKIN_US", R$4, $B110, "consensus", "CD", "IMPL","", "")</f>
        <v>31.97711111111111</v>
      </c>
      <c r="S110" s="601" cm="1">
        <f t="array" ref="S110">_xll.VAData("SKIN_US", S$4, $B110, "consensus", "CD", "IMPL","", "")</f>
        <v>35.197705372425602</v>
      </c>
      <c r="T110" s="602" cm="1">
        <f t="array" ref="T110">_xll.VAData("SKIN_US", T$4, $B110, "consensus", "CD", "IMPL","", "")</f>
        <v>120.6448888888889</v>
      </c>
      <c r="U110" s="601" cm="1">
        <f t="array" ref="U110">_xll.VAData("SKIN_US", U$4, $B110, "consensus", "CD", "IMPL","", "")</f>
        <v>33.782222222222224</v>
      </c>
      <c r="V110" s="601" cm="1">
        <f t="array" ref="V110">_xll.VAData("SKIN_US", V$4, $B110, "consensus", "CD", "IMPL","", "")</f>
        <v>38.770091881468545</v>
      </c>
      <c r="W110" s="601" cm="1">
        <f t="array" ref="W110">_xll.VAData("SKIN_US", W$4, $B110, "consensus", "CD", "IMPL","", "")</f>
        <v>39.705081468545785</v>
      </c>
      <c r="X110" s="601" cm="1">
        <f t="array" ref="X110">_xll.VAData("SKIN_US", X$4, $B110, "consensus", "CD", "IMPL","", "")</f>
        <v>47.423965795630551</v>
      </c>
      <c r="Y110" s="602" cm="1">
        <f t="array" ref="Y110">_xll.VAData("SKIN_US", Y$4, $B110, "consensus", "CD", "IMPL","", "")</f>
        <v>159.68136136786711</v>
      </c>
      <c r="Z110" s="601" cm="1">
        <f t="array" ref="Z110">_xll.VAData("SKIN_US", Z$4, $B110, "consensus", "CD", "IMPL","", "")</f>
        <v>40.926234510470437</v>
      </c>
      <c r="AA110" s="601" cm="1">
        <f t="array" ref="AA110">_xll.VAData("SKIN_US", AA$4, $B110, "consensus", "CD", "IMPL","", "")</f>
        <v>51.91430469956471</v>
      </c>
      <c r="AB110" s="601" cm="1">
        <f t="array" ref="AB110">_xll.VAData("SKIN_US", AB$4, $B110, "consensus", "CD", "IMPL","", "")</f>
        <v>46.4</v>
      </c>
      <c r="AC110" s="601" cm="1">
        <f t="array" ref="AC110">_xll.VAData("SKIN_US", AC$4, $B110, "consensus", "CD", "IMPL","", "")</f>
        <v>50.662883815081024</v>
      </c>
      <c r="AD110" s="603" cm="1">
        <f t="array" ref="AD110">_xll.VAData("SKIN_US", AD$4, $B110, "consensus", "CD", "IMPL","", "")</f>
        <v>190.47242867230088</v>
      </c>
      <c r="AE110" s="601" cm="1">
        <f t="array" ref="AE110">_xll.VAData("SKIN_US", AE$4, $B110, "consensus", "CD", "IMPL","", "")</f>
        <v>48.17914702783758</v>
      </c>
      <c r="AF110" s="601" cm="1">
        <f t="array" ref="AF110">_xll.VAData("SKIN_US", AF$4, $B110, "consensus", "CD", "IMPL","", "")</f>
        <v>57.069422397599133</v>
      </c>
      <c r="AG110" s="601" cm="1">
        <f t="array" ref="AG110">_xll.VAData("SKIN_US", AG$4, $B110, "consensus", "CD", "IMPL","", "")</f>
        <v>55.59129298122938</v>
      </c>
      <c r="AH110" s="601" cm="1">
        <f t="array" ref="AH110">_xll.VAData("SKIN_US", AH$4, $B110, "consensus", "CD", "IMPL","", "")</f>
        <v>61.868636543720712</v>
      </c>
      <c r="AI110" s="603" cm="1">
        <f t="array" ref="AI110">_xll.VAData("SKIN_US", AI$4, $B110, "consensus", "CD", "IMPL","", "")</f>
        <v>219.16359083341158</v>
      </c>
      <c r="AJ110" s="601" cm="1">
        <f t="array" ref="AJ110">_xll.VAData("SKIN_US", AJ$4, $B110, "consensus", "CD", "IMPL","", "")</f>
        <v>52.721607839528836</v>
      </c>
      <c r="AK110" s="601" cm="1">
        <f t="array" ref="AK110">_xll.VAData("SKIN_US", AK$4, $B110, "consensus", "CD", "IMPL","", "")</f>
        <v>62.988551103636063</v>
      </c>
      <c r="AL110" s="601" cm="1">
        <f t="array" ref="AL110">_xll.VAData("SKIN_US", AL$4, $B110, "consensus", "CD", "IMPL","", "")</f>
        <v>61.060147519325433</v>
      </c>
      <c r="AM110" s="601" cm="1">
        <f t="array" ref="AM110">_xll.VAData("SKIN_US", AM$4, $B110, "consensus", "CD", "IMPL","", "")</f>
        <v>66.345586272602532</v>
      </c>
      <c r="AN110" s="603" cm="1">
        <f t="array" ref="AN110">_xll.VAData("SKIN_US", AN$4, $B110, "consensus", "CD", "IMPL","", "")</f>
        <v>251.56077890997099</v>
      </c>
      <c r="AO110" s="601" cm="1">
        <f t="array" ref="AO110">_xll.VAData("SKIN_US", AO$4, $B110, "consensus", "CD", "IMPL","", "")</f>
        <v>61.105281088983197</v>
      </c>
      <c r="AP110" s="601" cm="1">
        <f t="array" ref="AP110">_xll.VAData("SKIN_US", AP$4, $B110, "consensus", "CD", "IMPL","", "")</f>
        <v>71.090511315920295</v>
      </c>
      <c r="AQ110" s="601" cm="1">
        <f t="array" ref="AQ110">_xll.VAData("SKIN_US", AQ$4, $B110, "consensus", "CD", "IMPL","", "")</f>
        <v>71.042976276035247</v>
      </c>
      <c r="AR110" s="601" cm="1">
        <f t="array" ref="AR110">_xll.VAData("SKIN_US", AR$4, $B110, "consensus", "CD", "IMPL","", "")</f>
        <v>76.2906364275876</v>
      </c>
      <c r="AS110" s="603" cm="1">
        <f t="array" ref="AS110">_xll.VAData("SKIN_US", AS$4, $B110, "consensus", "CD", "IMPL","", "")</f>
        <v>263.96604639465198</v>
      </c>
      <c r="AT110" s="456"/>
      <c r="AU110" s="508"/>
    </row>
    <row r="111" spans="1:269" s="81" customFormat="1">
      <c r="A111" s="418" t="s">
        <v>530</v>
      </c>
      <c r="B111" s="447"/>
      <c r="C111" s="277"/>
      <c r="D111" s="277"/>
      <c r="E111" s="277"/>
      <c r="F111" s="414">
        <f>(F110/F103)-1</f>
        <v>-7.6263281674848749E-4</v>
      </c>
      <c r="G111" s="414">
        <f t="shared" ref="G111:AS111" si="288">(G110/G103)-1</f>
        <v>1.098860089620679E-3</v>
      </c>
      <c r="H111" s="414">
        <f t="shared" si="288"/>
        <v>-6.7370272851252633E-4</v>
      </c>
      <c r="I111" s="414">
        <f t="shared" si="288"/>
        <v>1.8138354226162612E-3</v>
      </c>
      <c r="J111" s="417">
        <f t="shared" si="288"/>
        <v>2.4936929867089841E-3</v>
      </c>
      <c r="K111" s="414">
        <f t="shared" si="288"/>
        <v>-2.5405405405405368E-3</v>
      </c>
      <c r="L111" s="414">
        <f t="shared" si="288"/>
        <v>3.25038580246928E-3</v>
      </c>
      <c r="M111" s="414">
        <f t="shared" si="288"/>
        <v>1.2096774193546267E-3</v>
      </c>
      <c r="N111" s="414">
        <f t="shared" si="288"/>
        <v>-2.0264808721137673E-4</v>
      </c>
      <c r="O111" s="417">
        <f t="shared" si="288"/>
        <v>-3.1471818540129703E-5</v>
      </c>
      <c r="P111" s="414">
        <f t="shared" si="288"/>
        <v>-7.1714029340641527E-4</v>
      </c>
      <c r="Q111" s="414">
        <f t="shared" si="288"/>
        <v>-4.500703234882053E-4</v>
      </c>
      <c r="R111" s="414">
        <f t="shared" si="288"/>
        <v>-7.1527777777780077E-4</v>
      </c>
      <c r="S111" s="414">
        <f t="shared" si="288"/>
        <v>-6.5188283363659671E-5</v>
      </c>
      <c r="T111" s="417">
        <f t="shared" si="288"/>
        <v>-4.5659578385337518E-4</v>
      </c>
      <c r="U111" s="414">
        <f t="shared" si="288"/>
        <v>-5.2596975673890878E-4</v>
      </c>
      <c r="V111" s="414">
        <f t="shared" si="288"/>
        <v>4.4104666654321001E-4</v>
      </c>
      <c r="W111" s="414">
        <f t="shared" si="288"/>
        <v>1.2799668881058324E-4</v>
      </c>
      <c r="X111" s="414">
        <f t="shared" si="288"/>
        <v>5.0560750275430166E-4</v>
      </c>
      <c r="Y111" s="417">
        <f t="shared" si="288"/>
        <v>1.7764381419160813E-4</v>
      </c>
      <c r="Z111" s="414">
        <f t="shared" si="288"/>
        <v>6.4143057384935531E-4</v>
      </c>
      <c r="AA111" s="414">
        <f t="shared" si="288"/>
        <v>2.7562041550499572E-4</v>
      </c>
      <c r="AB111" s="280">
        <f t="shared" si="288"/>
        <v>0</v>
      </c>
      <c r="AC111" s="414">
        <f t="shared" si="288"/>
        <v>0.33155182440814301</v>
      </c>
      <c r="AD111" s="422">
        <f t="shared" si="288"/>
        <v>7.460974833172096E-2</v>
      </c>
      <c r="AE111" s="414">
        <f t="shared" si="288"/>
        <v>0.34709871035907547</v>
      </c>
      <c r="AF111" s="414">
        <f t="shared" si="288"/>
        <v>0.59567261056580056</v>
      </c>
      <c r="AG111" s="414">
        <f t="shared" si="288"/>
        <v>2.5361265604330496E-2</v>
      </c>
      <c r="AH111" s="414">
        <f t="shared" si="288"/>
        <v>-9.7813739749821327E-3</v>
      </c>
      <c r="AI111" s="422">
        <f t="shared" si="288"/>
        <v>0.16436212681521911</v>
      </c>
      <c r="AJ111" s="414">
        <f t="shared" si="288"/>
        <v>-8.9508831401100997E-2</v>
      </c>
      <c r="AK111" s="414">
        <f t="shared" si="288"/>
        <v>-0.13926057337903175</v>
      </c>
      <c r="AL111" s="414">
        <f t="shared" si="288"/>
        <v>-6.7380690186881309E-2</v>
      </c>
      <c r="AM111" s="414">
        <f t="shared" si="288"/>
        <v>-0.12540985107960068</v>
      </c>
      <c r="AN111" s="422">
        <f t="shared" si="288"/>
        <v>-7.6552772672478953E-2</v>
      </c>
      <c r="AO111" s="414">
        <f t="shared" si="288"/>
        <v>-6.7574167898944215E-2</v>
      </c>
      <c r="AP111" s="414">
        <f t="shared" si="288"/>
        <v>-0.14357099897115499</v>
      </c>
      <c r="AQ111" s="414">
        <f t="shared" si="288"/>
        <v>-4.2828492141256835E-2</v>
      </c>
      <c r="AR111" s="414">
        <f t="shared" si="288"/>
        <v>-0.11437200245193213</v>
      </c>
      <c r="AS111" s="422">
        <f t="shared" si="288"/>
        <v>-0.14548235664027376</v>
      </c>
      <c r="AT111" s="456"/>
      <c r="AU111" s="508"/>
    </row>
    <row r="112" spans="1:269" s="81" customFormat="1">
      <c r="A112" s="91" t="s">
        <v>555</v>
      </c>
      <c r="C112" s="277"/>
      <c r="D112" s="277"/>
      <c r="E112" s="277"/>
      <c r="F112" s="280">
        <f>F110/F62*1000*1000</f>
        <v>1672.9007887686948</v>
      </c>
      <c r="G112" s="280">
        <f>G110/G62*1000*1000</f>
        <v>1910.1322718652295</v>
      </c>
      <c r="H112" s="280">
        <f>H110/H62*1000*1000</f>
        <v>1694.7165605741729</v>
      </c>
      <c r="I112" s="280">
        <f>I110/I62*1000*1000</f>
        <v>1952.958356417734</v>
      </c>
      <c r="J112" s="316">
        <f>J110/J62*1000*1000</f>
        <v>7042.704642945364</v>
      </c>
      <c r="K112" s="280">
        <f>K110/K62*1000*1000</f>
        <v>1304.4210322668221</v>
      </c>
      <c r="L112" s="280">
        <f>L110/L62*1000*1000</f>
        <v>562.06444180256619</v>
      </c>
      <c r="M112" s="280">
        <f>M110/M62*1000*1000</f>
        <v>1257.4701777197965</v>
      </c>
      <c r="N112" s="280">
        <f>N110/N62*1000*1000</f>
        <v>1331.0724455748366</v>
      </c>
      <c r="O112" s="316">
        <f>O110/O62*1000*1000</f>
        <v>4455.112836473706</v>
      </c>
      <c r="P112" s="280">
        <f>P110/P62*1000*1000</f>
        <v>1358.3123223466503</v>
      </c>
      <c r="Q112" s="280">
        <f>Q110/Q62*1000*1000</f>
        <v>1822.7618183778893</v>
      </c>
      <c r="R112" s="280">
        <f>R110/R62*1000*1000</f>
        <v>1731.154019417273</v>
      </c>
      <c r="S112" s="280">
        <f>S110/S62*1000*1000</f>
        <v>1792.3436767775565</v>
      </c>
      <c r="T112" s="316">
        <f>T110/T62*1000*1000</f>
        <v>6724.2252716815256</v>
      </c>
      <c r="U112" s="280">
        <f>U110/U62*1000*1000</f>
        <v>1604.502169999859</v>
      </c>
      <c r="V112" s="280">
        <f>V110/V62*1000*1000</f>
        <v>1736.7441237436637</v>
      </c>
      <c r="W112" s="280">
        <f>W110/W62*1000*1000</f>
        <v>1675.7077305191081</v>
      </c>
      <c r="X112" s="280">
        <f>X110/X62*1000*1000</f>
        <v>1908.3868377884719</v>
      </c>
      <c r="Y112" s="316">
        <f>Y110/Y62*1000*1000</f>
        <v>7012.6503948342379</v>
      </c>
      <c r="Z112" s="280">
        <f>Z110/Z62*1000*1000</f>
        <v>1549.8694730868779</v>
      </c>
      <c r="AA112" s="280">
        <f>AA110/AA62*1000*1000</f>
        <v>1818.6790929018814</v>
      </c>
      <c r="AB112" s="280">
        <f>AB110/AB62*1000*1000</f>
        <v>1551.4431790729179</v>
      </c>
      <c r="AC112" s="280">
        <f>AC110/AC62*1000*1000</f>
        <v>1639.1818565160045</v>
      </c>
      <c r="AD112" s="320">
        <f>AD110/AD62*1000*1000</f>
        <v>6721.1295747740123</v>
      </c>
      <c r="AE112" s="280">
        <f>AE110/AE62*1000*1000</f>
        <v>1495.8785693717293</v>
      </c>
      <c r="AF112" s="280">
        <f>AF110/AF62*1000*1000</f>
        <v>1703.1232953558708</v>
      </c>
      <c r="AG112" s="280">
        <f>AG110/AG62*1000*1000</f>
        <v>1582.4587545024672</v>
      </c>
      <c r="AH112" s="280">
        <f>AH110/AH62*1000*1000</f>
        <v>1686.6993359839937</v>
      </c>
      <c r="AI112" s="320">
        <f>AI110/AI62*1000*1000</f>
        <v>6413.3282058386794</v>
      </c>
      <c r="AJ112" s="280">
        <f>AJ110/AJ62*1000*1000</f>
        <v>1404.8586984321191</v>
      </c>
      <c r="AK112" s="280">
        <f>AK110/AK62*1000*1000</f>
        <v>1616.4880022322202</v>
      </c>
      <c r="AL112" s="280">
        <f>AL110/AL62*1000*1000</f>
        <v>1507.1642227106556</v>
      </c>
      <c r="AM112" s="280">
        <f>AM110/AM62*1000*1000</f>
        <v>1579.2324888510977</v>
      </c>
      <c r="AN112" s="320">
        <f>AN110/AN62*1000*1000</f>
        <v>6345.014230021161</v>
      </c>
      <c r="AO112" s="280">
        <f>AO110/AO62*1000*1000</f>
        <v>1393.8381865098802</v>
      </c>
      <c r="AP112" s="280">
        <f>AP110/AP62*1000*1000</f>
        <v>1565.8385768304702</v>
      </c>
      <c r="AQ112" s="280">
        <f>AQ110/AQ62*1000*1000</f>
        <v>1507.475502385036</v>
      </c>
      <c r="AR112" s="280">
        <f>AR110/AR62*1000*1000</f>
        <v>1564.1562034601516</v>
      </c>
      <c r="AS112" s="320">
        <f>AS110/AS62*1000*1000</f>
        <v>5902.9260160412941</v>
      </c>
      <c r="AT112" s="456"/>
      <c r="AU112" s="508"/>
    </row>
    <row r="113" spans="1:47" s="81" customFormat="1">
      <c r="A113" s="418" t="s">
        <v>530</v>
      </c>
      <c r="C113" s="277"/>
      <c r="D113" s="277"/>
      <c r="E113" s="277"/>
      <c r="F113" s="414">
        <f>(F106/F112)-1</f>
        <v>7.6407376383680337E-4</v>
      </c>
      <c r="G113" s="414">
        <f>(G106/G112)-1</f>
        <v>-1.097397240951592E-3</v>
      </c>
      <c r="H113" s="414">
        <f t="shared" ref="H113:AS113" si="289">(H106/H112)-1</f>
        <v>8.0057539295674829E-4</v>
      </c>
      <c r="I113" s="414">
        <f t="shared" si="289"/>
        <v>1.0366851988083958E-3</v>
      </c>
      <c r="J113" s="417">
        <f t="shared" si="289"/>
        <v>-8.2288051623307101E-3</v>
      </c>
      <c r="K113" s="414">
        <f t="shared" si="289"/>
        <v>2.5474387404866849E-3</v>
      </c>
      <c r="L113" s="414">
        <f t="shared" si="289"/>
        <v>-3.2398028426613434E-3</v>
      </c>
      <c r="M113" s="414">
        <f t="shared" si="289"/>
        <v>-1.2084624183700265E-3</v>
      </c>
      <c r="N113" s="414">
        <f t="shared" si="289"/>
        <v>2.0230838570500786E-4</v>
      </c>
      <c r="O113" s="417">
        <f t="shared" si="289"/>
        <v>-1.6855380367506445E-3</v>
      </c>
      <c r="P113" s="414">
        <f t="shared" si="289"/>
        <v>2.0768248520555144E-3</v>
      </c>
      <c r="Q113" s="414">
        <f t="shared" si="289"/>
        <v>1.4585644108350504E-2</v>
      </c>
      <c r="R113" s="414">
        <f t="shared" si="289"/>
        <v>1.5217199923205138E-2</v>
      </c>
      <c r="S113" s="414">
        <f t="shared" si="289"/>
        <v>6.2817930912653086E-3</v>
      </c>
      <c r="T113" s="417">
        <f t="shared" si="289"/>
        <v>-1.5757637458778673E-3</v>
      </c>
      <c r="U113" s="414">
        <f t="shared" si="289"/>
        <v>3.0412168417233154E-3</v>
      </c>
      <c r="V113" s="414">
        <f t="shared" si="289"/>
        <v>-4.6621916137157271E-4</v>
      </c>
      <c r="W113" s="414">
        <f t="shared" si="289"/>
        <v>-4.0157471914092913E-4</v>
      </c>
      <c r="X113" s="414">
        <f t="shared" si="289"/>
        <v>-2.6809787213030178E-3</v>
      </c>
      <c r="Y113" s="417">
        <f t="shared" si="289"/>
        <v>-1.9256578516704259E-3</v>
      </c>
      <c r="Z113" s="414">
        <f t="shared" si="289"/>
        <v>6.9466621702107823E-4</v>
      </c>
      <c r="AA113" s="414">
        <f t="shared" si="289"/>
        <v>-2.3840226046822899E-4</v>
      </c>
      <c r="AB113" s="414">
        <f t="shared" si="289"/>
        <v>0.21992569613178325</v>
      </c>
      <c r="AC113" s="414">
        <f t="shared" si="289"/>
        <v>-0.41092608988954349</v>
      </c>
      <c r="AD113" s="422">
        <f t="shared" si="289"/>
        <v>0.13364367096050578</v>
      </c>
      <c r="AE113" s="414">
        <f t="shared" si="289"/>
        <v>-0.35198072790685708</v>
      </c>
      <c r="AF113" s="414">
        <f t="shared" si="289"/>
        <v>-0.39356050587741753</v>
      </c>
      <c r="AG113" s="414">
        <f t="shared" si="289"/>
        <v>0.13621484611317314</v>
      </c>
      <c r="AH113" s="414">
        <f t="shared" si="289"/>
        <v>0.20220504893780489</v>
      </c>
      <c r="AI113" s="422">
        <f t="shared" si="289"/>
        <v>2.3522571749389209E-2</v>
      </c>
      <c r="AJ113" s="414">
        <f t="shared" si="289"/>
        <v>0.31100762746965471</v>
      </c>
      <c r="AK113" s="414">
        <f t="shared" si="289"/>
        <v>0.40567124663036913</v>
      </c>
      <c r="AL113" s="414">
        <f t="shared" si="289"/>
        <v>0.31227534030305226</v>
      </c>
      <c r="AM113" s="414">
        <f t="shared" si="289"/>
        <v>0.41241667663431159</v>
      </c>
      <c r="AN113" s="422">
        <f t="shared" si="289"/>
        <v>0.3097063008132015</v>
      </c>
      <c r="AO113" s="414">
        <f t="shared" si="289"/>
        <v>0.34780069647023915</v>
      </c>
      <c r="AP113" s="414">
        <f t="shared" si="289"/>
        <v>0.48016261296706308</v>
      </c>
      <c r="AQ113" s="414">
        <f t="shared" si="289"/>
        <v>0.33824445500006739</v>
      </c>
      <c r="AR113" s="414">
        <f t="shared" si="289"/>
        <v>0.45455101259947894</v>
      </c>
      <c r="AS113" s="422">
        <f t="shared" si="289"/>
        <v>0.43545923358122751</v>
      </c>
      <c r="AT113" s="456"/>
      <c r="AU113" s="508"/>
    </row>
    <row r="114" spans="1:47" s="81" customFormat="1">
      <c r="A114" s="418"/>
      <c r="C114" s="277"/>
      <c r="D114" s="277"/>
      <c r="E114" s="277"/>
      <c r="F114" s="414"/>
      <c r="G114" s="414"/>
      <c r="H114" s="414"/>
      <c r="I114" s="414"/>
      <c r="J114" s="417"/>
      <c r="K114" s="414"/>
      <c r="L114" s="414"/>
      <c r="M114" s="414"/>
      <c r="N114" s="414"/>
      <c r="O114" s="417"/>
      <c r="P114" s="414"/>
      <c r="Q114" s="414"/>
      <c r="R114" s="414"/>
      <c r="S114" s="414"/>
      <c r="T114" s="417"/>
      <c r="U114" s="414"/>
      <c r="V114" s="414"/>
      <c r="W114" s="414"/>
      <c r="X114" s="414"/>
      <c r="Y114" s="417"/>
      <c r="Z114" s="414"/>
      <c r="AA114" s="414"/>
      <c r="AB114" s="414"/>
      <c r="AC114" s="414"/>
      <c r="AD114" s="422"/>
      <c r="AE114" s="414"/>
      <c r="AF114" s="414"/>
      <c r="AG114" s="414"/>
      <c r="AH114" s="414"/>
      <c r="AI114" s="422"/>
      <c r="AJ114" s="414"/>
      <c r="AK114" s="414"/>
      <c r="AL114" s="414"/>
      <c r="AM114" s="414"/>
      <c r="AN114" s="422"/>
      <c r="AO114" s="414"/>
      <c r="AP114" s="414"/>
      <c r="AQ114" s="414"/>
      <c r="AR114" s="414"/>
      <c r="AS114" s="422"/>
      <c r="AT114" s="456"/>
      <c r="AU114" s="508"/>
    </row>
    <row r="115" spans="1:47" s="81" customFormat="1">
      <c r="A115" s="418"/>
      <c r="C115" s="277"/>
      <c r="D115" s="277"/>
      <c r="E115" s="277"/>
      <c r="F115" s="414"/>
      <c r="G115" s="414"/>
      <c r="H115" s="414"/>
      <c r="I115" s="414"/>
      <c r="J115" s="417"/>
      <c r="K115" s="414"/>
      <c r="L115" s="414"/>
      <c r="M115" s="414"/>
      <c r="N115" s="414"/>
      <c r="O115" s="417"/>
      <c r="P115" s="414"/>
      <c r="Q115" s="414"/>
      <c r="R115" s="414"/>
      <c r="S115" s="414"/>
      <c r="T115" s="417"/>
      <c r="U115" s="414"/>
      <c r="V115" s="414"/>
      <c r="W115" s="414"/>
      <c r="X115" s="414"/>
      <c r="Y115" s="417"/>
      <c r="Z115" s="414"/>
      <c r="AA115" s="414"/>
      <c r="AB115" s="414"/>
      <c r="AC115" s="414"/>
      <c r="AD115" s="422"/>
      <c r="AE115" s="414"/>
      <c r="AF115" s="414"/>
      <c r="AG115" s="414"/>
      <c r="AH115" s="414"/>
      <c r="AI115" s="422"/>
      <c r="AJ115" s="414"/>
      <c r="AK115" s="414"/>
      <c r="AL115" s="414"/>
      <c r="AM115" s="414"/>
      <c r="AN115" s="422"/>
      <c r="AO115" s="414"/>
      <c r="AP115" s="414"/>
      <c r="AQ115" s="414"/>
      <c r="AR115" s="414"/>
      <c r="AS115" s="422"/>
      <c r="AT115" s="456"/>
      <c r="AU115" s="508"/>
    </row>
    <row r="116" spans="1:47" s="81" customFormat="1">
      <c r="A116" s="418"/>
      <c r="C116" s="277"/>
      <c r="D116" s="277"/>
      <c r="E116" s="277"/>
      <c r="F116" s="414"/>
      <c r="G116" s="414"/>
      <c r="H116" s="414"/>
      <c r="I116" s="414"/>
      <c r="J116" s="417"/>
      <c r="K116" s="414"/>
      <c r="L116" s="414"/>
      <c r="M116" s="414"/>
      <c r="N116" s="414"/>
      <c r="O116" s="417"/>
      <c r="P116" s="414"/>
      <c r="Q116" s="414"/>
      <c r="R116" s="414"/>
      <c r="S116" s="414"/>
      <c r="T116" s="417"/>
      <c r="U116" s="414"/>
      <c r="V116" s="414"/>
      <c r="W116" s="414"/>
      <c r="X116" s="414"/>
      <c r="Y116" s="417"/>
      <c r="Z116" s="414"/>
      <c r="AA116" s="414"/>
      <c r="AB116" s="414"/>
      <c r="AC116" s="414"/>
      <c r="AD116" s="422"/>
      <c r="AE116" s="414"/>
      <c r="AF116" s="414"/>
      <c r="AG116" s="414"/>
      <c r="AH116" s="414"/>
      <c r="AI116" s="422"/>
      <c r="AJ116" s="414"/>
      <c r="AK116" s="414"/>
      <c r="AL116" s="414"/>
      <c r="AM116" s="414"/>
      <c r="AN116" s="422"/>
      <c r="AO116" s="414"/>
      <c r="AP116" s="414"/>
      <c r="AQ116" s="414"/>
      <c r="AR116" s="414"/>
      <c r="AS116" s="422"/>
      <c r="AT116" s="456"/>
      <c r="AU116" s="508"/>
    </row>
    <row r="117" spans="1:47" s="81" customFormat="1">
      <c r="A117" s="430" t="s">
        <v>767</v>
      </c>
      <c r="B117" s="431"/>
      <c r="C117" s="432"/>
      <c r="D117" s="432"/>
      <c r="E117" s="432"/>
      <c r="F117" s="432"/>
      <c r="G117" s="432"/>
      <c r="H117" s="432"/>
      <c r="I117" s="432"/>
      <c r="J117" s="432"/>
      <c r="K117" s="432"/>
      <c r="L117" s="432"/>
      <c r="M117" s="432"/>
      <c r="N117" s="432"/>
      <c r="O117" s="432"/>
      <c r="P117" s="432"/>
      <c r="Q117" s="432"/>
      <c r="R117" s="432"/>
      <c r="S117" s="432"/>
      <c r="T117" s="432"/>
      <c r="U117" s="432"/>
      <c r="V117" s="432"/>
      <c r="W117" s="432"/>
      <c r="X117" s="432"/>
      <c r="Y117" s="432"/>
      <c r="Z117" s="432"/>
      <c r="AA117" s="432"/>
      <c r="AB117" s="432"/>
      <c r="AC117" s="55"/>
      <c r="AD117" s="55"/>
      <c r="AE117" s="55"/>
      <c r="AF117" s="55"/>
      <c r="AG117" s="55"/>
      <c r="AH117" s="55"/>
      <c r="AI117" s="55"/>
      <c r="AJ117" s="55"/>
      <c r="AK117" s="55"/>
      <c r="AL117" s="55"/>
      <c r="AM117" s="55"/>
      <c r="AN117" s="55"/>
      <c r="AO117" s="55"/>
      <c r="AP117" s="55"/>
      <c r="AQ117" s="55"/>
      <c r="AR117" s="55"/>
      <c r="AS117" s="55"/>
      <c r="AT117" s="456"/>
      <c r="AU117" s="508"/>
    </row>
    <row r="118" spans="1:47" s="81" customFormat="1" outlineLevel="1">
      <c r="A118" s="418"/>
      <c r="C118" s="277"/>
      <c r="D118" s="277"/>
      <c r="E118" s="277"/>
      <c r="F118" s="414"/>
      <c r="G118" s="414"/>
      <c r="H118" s="414"/>
      <c r="I118" s="414"/>
      <c r="J118" s="417"/>
      <c r="K118" s="414"/>
      <c r="L118" s="414"/>
      <c r="M118" s="414"/>
      <c r="N118" s="414"/>
      <c r="O118" s="417"/>
      <c r="P118" s="414"/>
      <c r="Q118" s="414"/>
      <c r="R118" s="414"/>
      <c r="S118" s="414"/>
      <c r="T118" s="417"/>
      <c r="U118" s="414"/>
      <c r="V118" s="414"/>
      <c r="W118" s="414"/>
      <c r="X118" s="414"/>
      <c r="Y118" s="417"/>
      <c r="Z118" s="414"/>
      <c r="AA118" s="414"/>
      <c r="AB118" s="414"/>
      <c r="AC118" s="414"/>
      <c r="AD118" s="422"/>
      <c r="AE118" s="414"/>
      <c r="AF118" s="414"/>
      <c r="AG118" s="414"/>
      <c r="AH118" s="414"/>
      <c r="AI118" s="422"/>
      <c r="AJ118" s="414"/>
      <c r="AK118" s="414"/>
      <c r="AL118" s="414"/>
      <c r="AM118" s="414"/>
      <c r="AN118" s="422"/>
      <c r="AO118" s="414"/>
      <c r="AP118" s="414"/>
      <c r="AQ118" s="414"/>
      <c r="AR118" s="414"/>
      <c r="AS118" s="422"/>
      <c r="AT118" s="456"/>
      <c r="AU118" s="508"/>
    </row>
    <row r="119" spans="1:47" s="81" customFormat="1" outlineLevel="1">
      <c r="A119" s="418" t="s">
        <v>768</v>
      </c>
      <c r="C119" s="277"/>
      <c r="D119" s="277"/>
      <c r="E119" s="316">
        <f>E97</f>
        <v>9324.5</v>
      </c>
      <c r="F119" s="280">
        <f>F97</f>
        <v>10871</v>
      </c>
      <c r="G119" s="280">
        <f>G97</f>
        <v>11635</v>
      </c>
      <c r="H119" s="280">
        <f>H97</f>
        <v>12440.5</v>
      </c>
      <c r="I119" s="280">
        <f>I97</f>
        <v>13350.5</v>
      </c>
      <c r="J119" s="316">
        <f>J97</f>
        <v>12198</v>
      </c>
      <c r="K119" s="280">
        <f>K97</f>
        <v>14146.5</v>
      </c>
      <c r="L119" s="280">
        <f>L97</f>
        <v>14458</v>
      </c>
      <c r="M119" s="280">
        <f>M97</f>
        <v>14809.5</v>
      </c>
      <c r="N119" s="280">
        <f>N97</f>
        <v>15398</v>
      </c>
      <c r="O119" s="316">
        <f>O97</f>
        <v>14772</v>
      </c>
      <c r="P119" s="280">
        <f>P97</f>
        <v>16089.533636363636</v>
      </c>
      <c r="Q119" s="280">
        <f>Q97</f>
        <v>17087.103374739519</v>
      </c>
      <c r="R119" s="280">
        <f>R97</f>
        <v>18207.708962261331</v>
      </c>
      <c r="S119" s="280">
        <f>S97</f>
        <v>19516.492115799942</v>
      </c>
      <c r="T119" s="316">
        <f>T97</f>
        <v>17978.352891914496</v>
      </c>
      <c r="U119" s="280">
        <f>U95</f>
        <v>20956.177891914496</v>
      </c>
      <c r="V119" s="280">
        <f>V95</f>
        <v>21145.825000000001</v>
      </c>
      <c r="W119" s="280">
        <f>W95</f>
        <v>21048</v>
      </c>
      <c r="X119" s="280">
        <f>X95</f>
        <v>21383.1</v>
      </c>
      <c r="Y119" s="316">
        <f>Y95</f>
        <v>20809.452891914494</v>
      </c>
      <c r="Z119" s="280">
        <f>Z95</f>
        <v>21979.9</v>
      </c>
      <c r="AA119" s="280">
        <f>AA95</f>
        <v>23090.949999999997</v>
      </c>
      <c r="AB119" s="280">
        <f>AB120+AA119</f>
        <v>23090.949999999997</v>
      </c>
      <c r="AC119" s="280">
        <f>AC120+AB119</f>
        <v>23090.949999999997</v>
      </c>
      <c r="AD119" s="422"/>
      <c r="AE119" s="280">
        <f>AE120+AC119</f>
        <v>23090.949999999997</v>
      </c>
      <c r="AF119" s="280">
        <f t="shared" ref="AF119:AH119" si="290">AF120+AE119</f>
        <v>23090.949999999997</v>
      </c>
      <c r="AG119" s="280">
        <f t="shared" si="290"/>
        <v>23090.949999999997</v>
      </c>
      <c r="AH119" s="280">
        <f t="shared" si="290"/>
        <v>23090.949999999997</v>
      </c>
      <c r="AI119" s="422"/>
      <c r="AJ119" s="280">
        <f>AJ120+AH119</f>
        <v>23090.949999999997</v>
      </c>
      <c r="AK119" s="280">
        <f t="shared" ref="AK119:AM119" si="291">AK120+AJ119</f>
        <v>23090.949999999997</v>
      </c>
      <c r="AL119" s="280">
        <f t="shared" si="291"/>
        <v>23090.949999999997</v>
      </c>
      <c r="AM119" s="280">
        <f t="shared" si="291"/>
        <v>23090.949999999997</v>
      </c>
      <c r="AN119" s="422"/>
      <c r="AO119" s="280">
        <f>AO120+AM119</f>
        <v>23090.949999999997</v>
      </c>
      <c r="AP119" s="280">
        <f t="shared" ref="AP119:AR119" si="292">AP120+AO119</f>
        <v>23090.949999999997</v>
      </c>
      <c r="AQ119" s="280">
        <f t="shared" si="292"/>
        <v>23090.949999999997</v>
      </c>
      <c r="AR119" s="280">
        <f t="shared" si="292"/>
        <v>23090.949999999997</v>
      </c>
      <c r="AS119" s="422"/>
      <c r="AT119" s="456"/>
      <c r="AU119" s="508"/>
    </row>
    <row r="120" spans="1:47" s="81" customFormat="1" outlineLevel="1">
      <c r="A120" s="419" t="s">
        <v>769</v>
      </c>
      <c r="C120" s="277"/>
      <c r="D120" s="277"/>
      <c r="E120" s="277"/>
      <c r="F120" s="414"/>
      <c r="G120" s="280">
        <f>G119-F119</f>
        <v>764</v>
      </c>
      <c r="H120" s="280">
        <f t="shared" ref="H120:I120" si="293">H119-G119</f>
        <v>805.5</v>
      </c>
      <c r="I120" s="280">
        <f t="shared" si="293"/>
        <v>910</v>
      </c>
      <c r="J120" s="417"/>
      <c r="K120" s="280">
        <f>K119-I119</f>
        <v>796</v>
      </c>
      <c r="L120" s="280">
        <f t="shared" ref="L120:N120" si="294">L119-K119</f>
        <v>311.5</v>
      </c>
      <c r="M120" s="280">
        <f t="shared" si="294"/>
        <v>351.5</v>
      </c>
      <c r="N120" s="280">
        <f t="shared" si="294"/>
        <v>588.5</v>
      </c>
      <c r="O120" s="417"/>
      <c r="P120" s="280">
        <f>P119-N119</f>
        <v>691.53363636363611</v>
      </c>
      <c r="Q120" s="280">
        <f t="shared" ref="Q120" si="295">Q119-P119</f>
        <v>997.56973837588339</v>
      </c>
      <c r="R120" s="280">
        <f t="shared" ref="R120" si="296">R119-Q119</f>
        <v>1120.6055875218117</v>
      </c>
      <c r="S120" s="280">
        <f t="shared" ref="S120" si="297">S119-R119</f>
        <v>1308.7831535386103</v>
      </c>
      <c r="T120" s="417"/>
      <c r="U120" s="280">
        <f>U119-S119</f>
        <v>1439.6857761145548</v>
      </c>
      <c r="V120" s="280">
        <f t="shared" ref="V120" si="298">V119-U119</f>
        <v>189.64710808550444</v>
      </c>
      <c r="W120" s="280">
        <f t="shared" ref="W120" si="299">W119-V119</f>
        <v>-97.825000000000728</v>
      </c>
      <c r="X120" s="280">
        <f t="shared" ref="X120" si="300">X119-W119</f>
        <v>335.09999999999854</v>
      </c>
      <c r="Y120" s="417"/>
      <c r="Z120" s="280">
        <f>Z119-X119</f>
        <v>596.80000000000291</v>
      </c>
      <c r="AA120" s="280">
        <f t="shared" ref="AA120" si="301">AA119-Z119</f>
        <v>1111.0499999999956</v>
      </c>
      <c r="AB120" s="287">
        <v>0</v>
      </c>
      <c r="AC120" s="287">
        <v>0</v>
      </c>
      <c r="AD120" s="422"/>
      <c r="AE120" s="287">
        <v>0</v>
      </c>
      <c r="AF120" s="287">
        <v>0</v>
      </c>
      <c r="AG120" s="287">
        <v>0</v>
      </c>
      <c r="AH120" s="287">
        <v>0</v>
      </c>
      <c r="AI120" s="422"/>
      <c r="AJ120" s="287">
        <v>0</v>
      </c>
      <c r="AK120" s="287">
        <v>0</v>
      </c>
      <c r="AL120" s="287">
        <v>0</v>
      </c>
      <c r="AM120" s="287">
        <v>0</v>
      </c>
      <c r="AN120" s="422"/>
      <c r="AO120" s="287">
        <v>0</v>
      </c>
      <c r="AP120" s="287">
        <v>0</v>
      </c>
      <c r="AQ120" s="287">
        <v>0</v>
      </c>
      <c r="AR120" s="287">
        <v>0</v>
      </c>
      <c r="AS120" s="422"/>
      <c r="AT120" s="456"/>
      <c r="AU120" s="508"/>
    </row>
    <row r="121" spans="1:47" s="81" customFormat="1" outlineLevel="1">
      <c r="A121" s="418"/>
      <c r="C121" s="277"/>
      <c r="D121" s="277"/>
      <c r="E121" s="277"/>
      <c r="F121" s="414"/>
      <c r="G121" s="414"/>
      <c r="H121" s="414"/>
      <c r="I121" s="414"/>
      <c r="J121" s="417"/>
      <c r="K121" s="414"/>
      <c r="L121" s="414"/>
      <c r="M121" s="414"/>
      <c r="N121" s="414"/>
      <c r="O121" s="417"/>
      <c r="P121" s="414"/>
      <c r="Q121" s="414"/>
      <c r="R121" s="414"/>
      <c r="S121" s="414"/>
      <c r="T121" s="417"/>
      <c r="U121" s="414"/>
      <c r="V121" s="414"/>
      <c r="W121" s="414"/>
      <c r="X121" s="414"/>
      <c r="Y121" s="417"/>
      <c r="Z121" s="414"/>
      <c r="AA121" s="414"/>
      <c r="AB121" s="414"/>
      <c r="AC121" s="414"/>
      <c r="AD121" s="422"/>
      <c r="AE121" s="414"/>
      <c r="AF121" s="414"/>
      <c r="AG121" s="414"/>
      <c r="AH121" s="414"/>
      <c r="AI121" s="422"/>
      <c r="AJ121" s="414"/>
      <c r="AK121" s="414"/>
      <c r="AL121" s="414"/>
      <c r="AM121" s="414"/>
      <c r="AN121" s="422"/>
      <c r="AO121" s="414"/>
      <c r="AP121" s="414"/>
      <c r="AQ121" s="414"/>
      <c r="AR121" s="414"/>
      <c r="AS121" s="422"/>
      <c r="AT121" s="456"/>
      <c r="AU121" s="508"/>
    </row>
    <row r="122" spans="1:47" s="81" customFormat="1" outlineLevel="1">
      <c r="A122" s="418" t="s">
        <v>770</v>
      </c>
      <c r="C122" s="277"/>
      <c r="D122" s="277"/>
      <c r="E122" s="316">
        <f>E106</f>
        <v>5919.8884658694833</v>
      </c>
      <c r="F122" s="280">
        <f t="shared" ref="F122:AB122" si="302">F106</f>
        <v>1674.179008370895</v>
      </c>
      <c r="G122" s="280">
        <f t="shared" si="302"/>
        <v>1908.0360979802319</v>
      </c>
      <c r="H122" s="280">
        <f t="shared" si="302"/>
        <v>1696.073308950605</v>
      </c>
      <c r="I122" s="280">
        <f t="shared" si="302"/>
        <v>1954.9829594397213</v>
      </c>
      <c r="J122" s="316">
        <f t="shared" si="302"/>
        <v>6984.7515986227245</v>
      </c>
      <c r="K122" s="280">
        <f t="shared" si="302"/>
        <v>1307.7439649383241</v>
      </c>
      <c r="L122" s="280">
        <f t="shared" si="302"/>
        <v>560.24346382625538</v>
      </c>
      <c r="M122" s="280">
        <f t="shared" si="302"/>
        <v>1255.9505722678011</v>
      </c>
      <c r="N122" s="280">
        <f t="shared" si="302"/>
        <v>1331.3417326925573</v>
      </c>
      <c r="O122" s="316">
        <f t="shared" si="302"/>
        <v>4447.6035743298135</v>
      </c>
      <c r="P122" s="280">
        <f t="shared" si="302"/>
        <v>1361.133299134553</v>
      </c>
      <c r="Q122" s="280">
        <f t="shared" si="302"/>
        <v>1849.3479735550391</v>
      </c>
      <c r="R122" s="280">
        <f t="shared" si="302"/>
        <v>1757.4973362286057</v>
      </c>
      <c r="S122" s="280">
        <f t="shared" si="302"/>
        <v>1803.602808903511</v>
      </c>
      <c r="T122" s="316">
        <f t="shared" si="302"/>
        <v>6713.6294812792939</v>
      </c>
      <c r="U122" s="280">
        <f t="shared" si="302"/>
        <v>1609.3818090218442</v>
      </c>
      <c r="V122" s="280">
        <f t="shared" si="302"/>
        <v>1735.9344203547751</v>
      </c>
      <c r="W122" s="280">
        <f t="shared" si="302"/>
        <v>1675.0348086578626</v>
      </c>
      <c r="X122" s="280">
        <f t="shared" si="302"/>
        <v>1903.2704932843462</v>
      </c>
      <c r="Y122" s="316">
        <f t="shared" si="302"/>
        <v>6999.1464295404057</v>
      </c>
      <c r="Z122" s="280">
        <f t="shared" si="302"/>
        <v>1550.9461150506236</v>
      </c>
      <c r="AA122" s="280">
        <f t="shared" si="302"/>
        <v>1818.2455156950673</v>
      </c>
      <c r="AB122" s="280">
        <f t="shared" si="302"/>
        <v>1892.6454002394362</v>
      </c>
      <c r="AC122" s="280">
        <f>(1+AC123)*X122</f>
        <v>1712.9434439559116</v>
      </c>
      <c r="AD122" s="422"/>
      <c r="AE122" s="280">
        <f t="shared" ref="AE122:AH122" si="303">(1+AE123)*Z122</f>
        <v>1395.8515035455612</v>
      </c>
      <c r="AF122" s="280">
        <f t="shared" si="303"/>
        <v>1727.3332399103138</v>
      </c>
      <c r="AG122" s="280">
        <f t="shared" si="303"/>
        <v>1892.6454002394362</v>
      </c>
      <c r="AH122" s="280">
        <f t="shared" si="303"/>
        <v>1712.9434439559116</v>
      </c>
      <c r="AI122" s="422"/>
      <c r="AJ122" s="280">
        <f t="shared" ref="AJ122:AM122" si="304">(1+AJ123)*AE122</f>
        <v>1423.7685336164725</v>
      </c>
      <c r="AK122" s="280">
        <f t="shared" si="304"/>
        <v>1761.8799047085201</v>
      </c>
      <c r="AL122" s="280">
        <f t="shared" si="304"/>
        <v>1930.498308244225</v>
      </c>
      <c r="AM122" s="280">
        <f t="shared" si="304"/>
        <v>1747.2023128350297</v>
      </c>
      <c r="AN122" s="422"/>
      <c r="AO122" s="280">
        <f t="shared" ref="AO122:AR122" si="305">(1+AO123)*AJ122</f>
        <v>1452.243904288802</v>
      </c>
      <c r="AP122" s="280">
        <f t="shared" si="305"/>
        <v>1797.1175028026905</v>
      </c>
      <c r="AQ122" s="280">
        <f t="shared" si="305"/>
        <v>1969.1082744091095</v>
      </c>
      <c r="AR122" s="280">
        <f t="shared" si="305"/>
        <v>1782.1463590917303</v>
      </c>
      <c r="AS122" s="422"/>
      <c r="AT122" s="456"/>
      <c r="AU122" s="508"/>
    </row>
    <row r="123" spans="1:47" s="81" customFormat="1" outlineLevel="1">
      <c r="A123" s="419" t="s">
        <v>205</v>
      </c>
      <c r="C123" s="277"/>
      <c r="D123" s="277"/>
      <c r="E123" s="277"/>
      <c r="F123" s="414"/>
      <c r="G123" s="414"/>
      <c r="H123" s="414"/>
      <c r="I123" s="414"/>
      <c r="J123" s="417">
        <f>J122/E122-1</f>
        <v>0.17987891814053625</v>
      </c>
      <c r="K123" s="414">
        <f t="shared" ref="K123:AB123" si="306">K122/F122-1</f>
        <v>-0.21887447017337791</v>
      </c>
      <c r="L123" s="414">
        <f t="shared" si="306"/>
        <v>-0.70637690533250086</v>
      </c>
      <c r="M123" s="414">
        <f t="shared" si="306"/>
        <v>-0.25949511401433278</v>
      </c>
      <c r="N123" s="414">
        <f t="shared" si="306"/>
        <v>-0.3190008504861308</v>
      </c>
      <c r="O123" s="417">
        <f t="shared" si="306"/>
        <v>-0.36324098122447102</v>
      </c>
      <c r="P123" s="414">
        <f t="shared" si="306"/>
        <v>4.0825525200375745E-2</v>
      </c>
      <c r="Q123" s="414">
        <f t="shared" si="306"/>
        <v>2.3009719755134266</v>
      </c>
      <c r="R123" s="414">
        <f t="shared" si="306"/>
        <v>0.39933638714395348</v>
      </c>
      <c r="S123" s="414">
        <f t="shared" si="306"/>
        <v>0.35472566104859826</v>
      </c>
      <c r="T123" s="417">
        <f t="shared" si="306"/>
        <v>0.50949367880453167</v>
      </c>
      <c r="U123" s="414">
        <f t="shared" si="306"/>
        <v>0.18238368721501019</v>
      </c>
      <c r="V123" s="414">
        <f t="shared" si="306"/>
        <v>-6.1326237583209875E-2</v>
      </c>
      <c r="W123" s="414">
        <f t="shared" si="306"/>
        <v>-4.6920428196891906E-2</v>
      </c>
      <c r="X123" s="414">
        <f t="shared" si="306"/>
        <v>5.5260328875528675E-2</v>
      </c>
      <c r="Y123" s="417">
        <f t="shared" si="306"/>
        <v>4.2527957352616053E-2</v>
      </c>
      <c r="Z123" s="414">
        <f t="shared" si="306"/>
        <v>-3.6309403799423379E-2</v>
      </c>
      <c r="AA123" s="414">
        <f t="shared" si="306"/>
        <v>4.7416016627788382E-2</v>
      </c>
      <c r="AB123" s="414">
        <f t="shared" si="306"/>
        <v>0.12991407131170973</v>
      </c>
      <c r="AC123" s="359">
        <v>-0.1</v>
      </c>
      <c r="AD123" s="422"/>
      <c r="AE123" s="359">
        <v>-0.1</v>
      </c>
      <c r="AF123" s="359">
        <v>-0.05</v>
      </c>
      <c r="AG123" s="359">
        <v>0</v>
      </c>
      <c r="AH123" s="359">
        <v>0</v>
      </c>
      <c r="AI123" s="422"/>
      <c r="AJ123" s="359">
        <v>0.02</v>
      </c>
      <c r="AK123" s="359">
        <v>0.02</v>
      </c>
      <c r="AL123" s="359">
        <v>0.02</v>
      </c>
      <c r="AM123" s="359">
        <v>0.02</v>
      </c>
      <c r="AN123" s="422"/>
      <c r="AO123" s="359">
        <v>0.02</v>
      </c>
      <c r="AP123" s="359">
        <v>0.02</v>
      </c>
      <c r="AQ123" s="359">
        <v>0.02</v>
      </c>
      <c r="AR123" s="359">
        <v>0.02</v>
      </c>
      <c r="AS123" s="422"/>
      <c r="AT123" s="456"/>
      <c r="AU123" s="508"/>
    </row>
    <row r="124" spans="1:47" s="81" customFormat="1" outlineLevel="1">
      <c r="A124" s="418"/>
      <c r="C124" s="277"/>
      <c r="D124" s="277"/>
      <c r="E124" s="277"/>
      <c r="F124" s="414"/>
      <c r="G124" s="414"/>
      <c r="H124" s="414"/>
      <c r="I124" s="414"/>
      <c r="J124" s="417"/>
      <c r="K124" s="414"/>
      <c r="L124" s="414"/>
      <c r="M124" s="414"/>
      <c r="N124" s="414"/>
      <c r="O124" s="417"/>
      <c r="P124" s="414"/>
      <c r="Q124" s="414"/>
      <c r="R124" s="414"/>
      <c r="S124" s="414"/>
      <c r="T124" s="417"/>
      <c r="U124" s="414"/>
      <c r="V124" s="414"/>
      <c r="W124" s="414"/>
      <c r="X124" s="414"/>
      <c r="Y124" s="417"/>
      <c r="Z124" s="414"/>
      <c r="AA124" s="414"/>
      <c r="AB124" s="414"/>
      <c r="AC124" s="414"/>
      <c r="AD124" s="422"/>
      <c r="AE124" s="414"/>
      <c r="AF124" s="414"/>
      <c r="AG124" s="414"/>
      <c r="AH124" s="414"/>
      <c r="AI124" s="422"/>
      <c r="AJ124" s="414"/>
      <c r="AK124" s="414"/>
      <c r="AL124" s="414"/>
      <c r="AM124" s="414"/>
      <c r="AN124" s="422"/>
      <c r="AO124" s="414"/>
      <c r="AP124" s="414"/>
      <c r="AQ124" s="414"/>
      <c r="AR124" s="414"/>
      <c r="AS124" s="422"/>
      <c r="AT124" s="456"/>
      <c r="AU124" s="508"/>
    </row>
    <row r="125" spans="1:47" s="81" customFormat="1" outlineLevel="1">
      <c r="A125" s="418" t="s">
        <v>771</v>
      </c>
      <c r="C125" s="277"/>
      <c r="D125" s="277"/>
      <c r="E125" s="316">
        <f>E122*E119/1000000</f>
        <v>55.2</v>
      </c>
      <c r="F125" s="280">
        <f t="shared" ref="F125:AS125" si="307">F122*F119/1000000</f>
        <v>18.2</v>
      </c>
      <c r="G125" s="280">
        <f t="shared" si="307"/>
        <v>22.2</v>
      </c>
      <c r="H125" s="280">
        <f t="shared" si="307"/>
        <v>21.1</v>
      </c>
      <c r="I125" s="280">
        <f t="shared" si="307"/>
        <v>26.1</v>
      </c>
      <c r="J125" s="316">
        <f t="shared" si="307"/>
        <v>85.2</v>
      </c>
      <c r="K125" s="280">
        <f t="shared" si="307"/>
        <v>18.5</v>
      </c>
      <c r="L125" s="280">
        <f t="shared" si="307"/>
        <v>8.1</v>
      </c>
      <c r="M125" s="280">
        <f t="shared" si="307"/>
        <v>18.600000000000001</v>
      </c>
      <c r="N125" s="280">
        <f t="shared" si="307"/>
        <v>20.499999999999996</v>
      </c>
      <c r="O125" s="316">
        <f t="shared" si="307"/>
        <v>65.7</v>
      </c>
      <c r="P125" s="280">
        <f t="shared" si="307"/>
        <v>21.899999999999995</v>
      </c>
      <c r="Q125" s="280">
        <f t="shared" si="307"/>
        <v>31.6</v>
      </c>
      <c r="R125" s="280">
        <f t="shared" si="307"/>
        <v>32</v>
      </c>
      <c r="S125" s="280">
        <f t="shared" si="307"/>
        <v>35.200000000000003</v>
      </c>
      <c r="T125" s="316">
        <f t="shared" si="307"/>
        <v>120.70000000000002</v>
      </c>
      <c r="U125" s="280">
        <f t="shared" si="307"/>
        <v>33.726491485872934</v>
      </c>
      <c r="V125" s="280">
        <f t="shared" si="307"/>
        <v>36.707765464298511</v>
      </c>
      <c r="W125" s="280">
        <f t="shared" si="307"/>
        <v>35.256132652630697</v>
      </c>
      <c r="X125" s="280">
        <f t="shared" si="307"/>
        <v>40.697823284948498</v>
      </c>
      <c r="Y125" s="316">
        <f t="shared" si="307"/>
        <v>145.6484079091326</v>
      </c>
      <c r="Z125" s="280">
        <f t="shared" si="307"/>
        <v>34.0896405142012</v>
      </c>
      <c r="AA125" s="280">
        <f t="shared" si="307"/>
        <v>41.985016290639003</v>
      </c>
      <c r="AB125" s="280">
        <f t="shared" si="307"/>
        <v>43.702980304658801</v>
      </c>
      <c r="AC125" s="280">
        <f t="shared" si="307"/>
        <v>39.553491417213756</v>
      </c>
      <c r="AD125" s="320">
        <f>SUM(Z125:AC125)</f>
        <v>159.33112852671277</v>
      </c>
      <c r="AE125" s="280">
        <f t="shared" si="307"/>
        <v>32.231537275795368</v>
      </c>
      <c r="AF125" s="280">
        <f t="shared" si="307"/>
        <v>39.885765476107053</v>
      </c>
      <c r="AG125" s="280">
        <f t="shared" si="307"/>
        <v>43.702980304658801</v>
      </c>
      <c r="AH125" s="280">
        <f t="shared" si="307"/>
        <v>39.553491417213756</v>
      </c>
      <c r="AI125" s="320">
        <f>SUM(AE125:AH125)</f>
        <v>155.373774473775</v>
      </c>
      <c r="AJ125" s="280">
        <f t="shared" si="307"/>
        <v>32.87616802131128</v>
      </c>
      <c r="AK125" s="280">
        <f t="shared" si="307"/>
        <v>40.6834807856292</v>
      </c>
      <c r="AL125" s="280">
        <f t="shared" si="307"/>
        <v>44.577039910751985</v>
      </c>
      <c r="AM125" s="280">
        <f t="shared" si="307"/>
        <v>40.344561245558026</v>
      </c>
      <c r="AN125" s="320">
        <f>SUM(AJ125:AM125)</f>
        <v>158.48124996325049</v>
      </c>
      <c r="AO125" s="280">
        <f t="shared" si="307"/>
        <v>33.533691381737505</v>
      </c>
      <c r="AP125" s="280">
        <f t="shared" si="307"/>
        <v>41.497150401341784</v>
      </c>
      <c r="AQ125" s="280">
        <f t="shared" si="307"/>
        <v>45.468580708967025</v>
      </c>
      <c r="AR125" s="280">
        <f t="shared" si="307"/>
        <v>41.151452470469181</v>
      </c>
      <c r="AS125" s="320">
        <f>SUM(AO125:AR125)</f>
        <v>161.6508749625155</v>
      </c>
      <c r="AT125" s="456"/>
      <c r="AU125" s="508"/>
    </row>
    <row r="126" spans="1:47" s="81" customFormat="1" outlineLevel="1">
      <c r="A126" s="419" t="s">
        <v>208</v>
      </c>
      <c r="C126" s="277"/>
      <c r="D126" s="277"/>
      <c r="E126" s="277"/>
      <c r="F126" s="414"/>
      <c r="G126" s="414"/>
      <c r="H126" s="414"/>
      <c r="I126" s="414"/>
      <c r="J126" s="417">
        <f>J125/E125-1</f>
        <v>0.54347826086956519</v>
      </c>
      <c r="K126" s="414">
        <f t="shared" ref="K126:AS126" si="308">K125/F125-1</f>
        <v>1.6483516483516425E-2</v>
      </c>
      <c r="L126" s="414">
        <f t="shared" si="308"/>
        <v>-0.63513513513513509</v>
      </c>
      <c r="M126" s="414">
        <f t="shared" si="308"/>
        <v>-0.11848341232227488</v>
      </c>
      <c r="N126" s="414">
        <f t="shared" si="308"/>
        <v>-0.21455938697318022</v>
      </c>
      <c r="O126" s="417">
        <f t="shared" si="308"/>
        <v>-0.22887323943661975</v>
      </c>
      <c r="P126" s="414">
        <f t="shared" si="308"/>
        <v>0.18378378378378346</v>
      </c>
      <c r="Q126" s="414">
        <f t="shared" si="308"/>
        <v>2.901234567901235</v>
      </c>
      <c r="R126" s="414">
        <f t="shared" si="308"/>
        <v>0.72043010752688152</v>
      </c>
      <c r="S126" s="414">
        <f t="shared" si="308"/>
        <v>0.71707317073170773</v>
      </c>
      <c r="T126" s="417">
        <f t="shared" si="308"/>
        <v>0.83713850837138537</v>
      </c>
      <c r="U126" s="414">
        <f t="shared" si="308"/>
        <v>0.54002244227730323</v>
      </c>
      <c r="V126" s="414">
        <f t="shared" si="308"/>
        <v>0.16163814760438311</v>
      </c>
      <c r="W126" s="414">
        <f t="shared" si="308"/>
        <v>0.10175414539470928</v>
      </c>
      <c r="X126" s="414">
        <f t="shared" si="308"/>
        <v>0.15618816150421866</v>
      </c>
      <c r="Y126" s="417">
        <f t="shared" si="308"/>
        <v>0.20669766287599489</v>
      </c>
      <c r="Z126" s="414">
        <f t="shared" si="308"/>
        <v>1.07674712764112E-2</v>
      </c>
      <c r="AA126" s="414">
        <f t="shared" si="308"/>
        <v>0.14376388100967552</v>
      </c>
      <c r="AB126" s="414">
        <f t="shared" si="308"/>
        <v>0.23958520167973751</v>
      </c>
      <c r="AC126" s="414">
        <f t="shared" si="308"/>
        <v>-2.811776589923809E-2</v>
      </c>
      <c r="AD126" s="422">
        <f t="shared" si="308"/>
        <v>9.3943495943440647E-2</v>
      </c>
      <c r="AE126" s="414">
        <f t="shared" si="308"/>
        <v>-5.4506389928980825E-2</v>
      </c>
      <c r="AF126" s="414">
        <f t="shared" si="308"/>
        <v>-4.9999999999999933E-2</v>
      </c>
      <c r="AG126" s="414">
        <f t="shared" si="308"/>
        <v>0</v>
      </c>
      <c r="AH126" s="414">
        <f t="shared" si="308"/>
        <v>0</v>
      </c>
      <c r="AI126" s="422">
        <f t="shared" si="308"/>
        <v>-2.4837293814022665E-2</v>
      </c>
      <c r="AJ126" s="414">
        <f t="shared" si="308"/>
        <v>2.0000000000000018E-2</v>
      </c>
      <c r="AK126" s="414">
        <f t="shared" si="308"/>
        <v>2.000000000000024E-2</v>
      </c>
      <c r="AL126" s="414">
        <f t="shared" si="308"/>
        <v>2.000000000000024E-2</v>
      </c>
      <c r="AM126" s="414">
        <f t="shared" si="308"/>
        <v>1.9999999999999796E-2</v>
      </c>
      <c r="AN126" s="422">
        <f t="shared" si="308"/>
        <v>2.0000000000000018E-2</v>
      </c>
      <c r="AO126" s="414">
        <f t="shared" si="308"/>
        <v>2.0000000000000018E-2</v>
      </c>
      <c r="AP126" s="414">
        <f t="shared" si="308"/>
        <v>2.0000000000000018E-2</v>
      </c>
      <c r="AQ126" s="414">
        <f t="shared" si="308"/>
        <v>2.0000000000000018E-2</v>
      </c>
      <c r="AR126" s="414">
        <f t="shared" si="308"/>
        <v>1.9999999999999796E-2</v>
      </c>
      <c r="AS126" s="422">
        <f t="shared" si="308"/>
        <v>2.0000000000000018E-2</v>
      </c>
      <c r="AT126" s="456"/>
      <c r="AU126" s="508"/>
    </row>
    <row r="127" spans="1:47" s="81" customFormat="1" outlineLevel="1">
      <c r="A127" s="418"/>
      <c r="C127" s="277"/>
      <c r="D127" s="277"/>
      <c r="E127" s="277"/>
      <c r="F127" s="414"/>
      <c r="G127" s="414"/>
      <c r="H127" s="414"/>
      <c r="I127" s="414"/>
      <c r="J127" s="417"/>
      <c r="K127" s="414"/>
      <c r="L127" s="414"/>
      <c r="M127" s="414"/>
      <c r="N127" s="414"/>
      <c r="O127" s="417"/>
      <c r="P127" s="414"/>
      <c r="Q127" s="414"/>
      <c r="R127" s="414"/>
      <c r="S127" s="414"/>
      <c r="T127" s="417"/>
      <c r="U127" s="414"/>
      <c r="V127" s="414"/>
      <c r="W127" s="414"/>
      <c r="X127" s="414"/>
      <c r="Y127" s="417"/>
      <c r="Z127" s="414"/>
      <c r="AA127" s="414"/>
      <c r="AB127" s="414"/>
      <c r="AC127" s="414"/>
      <c r="AD127" s="422"/>
      <c r="AE127" s="414"/>
      <c r="AF127" s="414"/>
      <c r="AG127" s="414"/>
      <c r="AH127" s="414"/>
      <c r="AI127" s="422"/>
      <c r="AJ127" s="414"/>
      <c r="AK127" s="414"/>
      <c r="AL127" s="414"/>
      <c r="AM127" s="414"/>
      <c r="AN127" s="422"/>
      <c r="AO127" s="414"/>
      <c r="AP127" s="414"/>
      <c r="AQ127" s="414"/>
      <c r="AR127" s="414"/>
      <c r="AS127" s="422"/>
      <c r="AT127" s="456"/>
      <c r="AU127" s="508"/>
    </row>
    <row r="128" spans="1:47" s="81" customFormat="1" outlineLevel="1">
      <c r="A128" s="418" t="s">
        <v>568</v>
      </c>
      <c r="C128" s="277"/>
      <c r="D128" s="277"/>
      <c r="E128" s="570">
        <v>0.8</v>
      </c>
      <c r="F128" s="359">
        <v>0.8</v>
      </c>
      <c r="G128" s="359">
        <v>0.8</v>
      </c>
      <c r="H128" s="359">
        <v>0.8</v>
      </c>
      <c r="I128" s="359">
        <v>0.8</v>
      </c>
      <c r="J128" s="570">
        <v>0.8</v>
      </c>
      <c r="K128" s="359">
        <v>0.8</v>
      </c>
      <c r="L128" s="359">
        <v>0.8</v>
      </c>
      <c r="M128" s="359">
        <v>0.8</v>
      </c>
      <c r="N128" s="359">
        <v>0.8</v>
      </c>
      <c r="O128" s="570">
        <v>0.8</v>
      </c>
      <c r="P128" s="359">
        <v>0.8</v>
      </c>
      <c r="Q128" s="359">
        <v>0.8</v>
      </c>
      <c r="R128" s="359">
        <v>0.8</v>
      </c>
      <c r="S128" s="359">
        <v>0.8</v>
      </c>
      <c r="T128" s="570">
        <v>0.8</v>
      </c>
      <c r="U128" s="359">
        <v>0.8</v>
      </c>
      <c r="V128" s="359">
        <v>0.8</v>
      </c>
      <c r="W128" s="359">
        <v>0.8</v>
      </c>
      <c r="X128" s="359">
        <v>0.8</v>
      </c>
      <c r="Y128" s="570">
        <v>0.8</v>
      </c>
      <c r="Z128" s="359">
        <v>0.8</v>
      </c>
      <c r="AA128" s="359">
        <v>0.8</v>
      </c>
      <c r="AB128" s="359">
        <v>0.8</v>
      </c>
      <c r="AC128" s="359">
        <v>0.8</v>
      </c>
      <c r="AD128" s="571">
        <v>0.8</v>
      </c>
      <c r="AE128" s="359">
        <v>0.8</v>
      </c>
      <c r="AF128" s="359">
        <v>0.8</v>
      </c>
      <c r="AG128" s="359">
        <v>0.8</v>
      </c>
      <c r="AH128" s="359">
        <v>0.8</v>
      </c>
      <c r="AI128" s="571">
        <v>0.8</v>
      </c>
      <c r="AJ128" s="359">
        <v>0.8</v>
      </c>
      <c r="AK128" s="359">
        <v>0.8</v>
      </c>
      <c r="AL128" s="359">
        <v>0.8</v>
      </c>
      <c r="AM128" s="359">
        <v>0.8</v>
      </c>
      <c r="AN128" s="571">
        <v>0.8</v>
      </c>
      <c r="AO128" s="359">
        <v>0.8</v>
      </c>
      <c r="AP128" s="359">
        <v>0.8</v>
      </c>
      <c r="AQ128" s="359">
        <v>0.8</v>
      </c>
      <c r="AR128" s="359">
        <v>0.8</v>
      </c>
      <c r="AS128" s="571">
        <v>0.8</v>
      </c>
      <c r="AT128" s="456"/>
      <c r="AU128" s="508"/>
    </row>
    <row r="129" spans="1:269" s="81" customFormat="1" outlineLevel="1">
      <c r="A129" s="418" t="s">
        <v>719</v>
      </c>
      <c r="C129" s="277"/>
      <c r="D129" s="277"/>
      <c r="E129" s="316">
        <f>E128*E125</f>
        <v>44.160000000000004</v>
      </c>
      <c r="F129" s="280">
        <f t="shared" ref="F129:AS130" si="309">F128*F125</f>
        <v>14.56</v>
      </c>
      <c r="G129" s="280">
        <f t="shared" si="309"/>
        <v>17.760000000000002</v>
      </c>
      <c r="H129" s="280">
        <f t="shared" si="309"/>
        <v>16.880000000000003</v>
      </c>
      <c r="I129" s="280">
        <f t="shared" si="309"/>
        <v>20.880000000000003</v>
      </c>
      <c r="J129" s="316">
        <f t="shared" si="309"/>
        <v>68.160000000000011</v>
      </c>
      <c r="K129" s="280">
        <f t="shared" si="309"/>
        <v>14.8</v>
      </c>
      <c r="L129" s="280">
        <f t="shared" si="309"/>
        <v>6.48</v>
      </c>
      <c r="M129" s="280">
        <f t="shared" si="309"/>
        <v>14.880000000000003</v>
      </c>
      <c r="N129" s="280">
        <f t="shared" si="309"/>
        <v>16.399999999999999</v>
      </c>
      <c r="O129" s="316">
        <f t="shared" si="309"/>
        <v>52.56</v>
      </c>
      <c r="P129" s="280">
        <f t="shared" si="309"/>
        <v>17.519999999999996</v>
      </c>
      <c r="Q129" s="280">
        <f t="shared" si="309"/>
        <v>25.28</v>
      </c>
      <c r="R129" s="280">
        <f t="shared" si="309"/>
        <v>25.6</v>
      </c>
      <c r="S129" s="280">
        <f t="shared" si="309"/>
        <v>28.160000000000004</v>
      </c>
      <c r="T129" s="316">
        <f t="shared" si="309"/>
        <v>96.560000000000016</v>
      </c>
      <c r="U129" s="280">
        <f t="shared" si="309"/>
        <v>26.981193188698349</v>
      </c>
      <c r="V129" s="280">
        <f t="shared" si="309"/>
        <v>29.366212371438809</v>
      </c>
      <c r="W129" s="280">
        <f t="shared" si="309"/>
        <v>28.20490612210456</v>
      </c>
      <c r="X129" s="280">
        <f t="shared" si="309"/>
        <v>32.5582586279588</v>
      </c>
      <c r="Y129" s="316">
        <f t="shared" si="309"/>
        <v>116.51872632730608</v>
      </c>
      <c r="Z129" s="280">
        <f t="shared" si="309"/>
        <v>27.271712411360962</v>
      </c>
      <c r="AA129" s="280">
        <f t="shared" si="309"/>
        <v>33.588013032511206</v>
      </c>
      <c r="AB129" s="280">
        <f t="shared" si="309"/>
        <v>34.962384243727044</v>
      </c>
      <c r="AC129" s="280">
        <f t="shared" si="309"/>
        <v>31.642793133771008</v>
      </c>
      <c r="AD129" s="320">
        <f t="shared" si="309"/>
        <v>127.46490282137023</v>
      </c>
      <c r="AE129" s="280">
        <f t="shared" si="309"/>
        <v>25.785229820636296</v>
      </c>
      <c r="AF129" s="280">
        <f t="shared" si="309"/>
        <v>31.908612380885643</v>
      </c>
      <c r="AG129" s="280">
        <f t="shared" si="309"/>
        <v>34.962384243727044</v>
      </c>
      <c r="AH129" s="280">
        <f t="shared" si="309"/>
        <v>31.642793133771008</v>
      </c>
      <c r="AI129" s="320">
        <f t="shared" si="309"/>
        <v>124.29901957902001</v>
      </c>
      <c r="AJ129" s="280">
        <f t="shared" si="309"/>
        <v>26.300934417049024</v>
      </c>
      <c r="AK129" s="280">
        <f t="shared" si="309"/>
        <v>32.54678462850336</v>
      </c>
      <c r="AL129" s="280">
        <f t="shared" si="309"/>
        <v>35.661631928601587</v>
      </c>
      <c r="AM129" s="280">
        <f t="shared" si="309"/>
        <v>32.275648996446421</v>
      </c>
      <c r="AN129" s="320">
        <f t="shared" si="309"/>
        <v>126.7849999706004</v>
      </c>
      <c r="AO129" s="280">
        <f t="shared" si="309"/>
        <v>26.826953105390004</v>
      </c>
      <c r="AP129" s="280">
        <f t="shared" si="309"/>
        <v>33.197720321073426</v>
      </c>
      <c r="AQ129" s="280">
        <f t="shared" si="309"/>
        <v>36.374864567173624</v>
      </c>
      <c r="AR129" s="280">
        <f t="shared" si="309"/>
        <v>32.921161976375345</v>
      </c>
      <c r="AS129" s="320">
        <f t="shared" si="309"/>
        <v>129.32069997001241</v>
      </c>
      <c r="AT129" s="456"/>
      <c r="AU129" s="508"/>
    </row>
    <row r="130" spans="1:269" s="81" customFormat="1" outlineLevel="1">
      <c r="A130" s="418" t="s">
        <v>772</v>
      </c>
      <c r="C130" s="277"/>
      <c r="D130" s="277"/>
      <c r="E130" s="277"/>
      <c r="F130" s="414"/>
      <c r="G130" s="414"/>
      <c r="H130" s="414"/>
      <c r="I130" s="414"/>
      <c r="J130" s="417"/>
      <c r="K130" s="414"/>
      <c r="L130" s="414"/>
      <c r="M130" s="414"/>
      <c r="N130" s="414"/>
      <c r="O130" s="417"/>
      <c r="P130" s="414"/>
      <c r="Q130" s="414"/>
      <c r="R130" s="414"/>
      <c r="S130" s="414"/>
      <c r="T130" s="417"/>
      <c r="U130" s="414"/>
      <c r="V130" s="414"/>
      <c r="W130" s="414"/>
      <c r="X130" s="414"/>
      <c r="Y130" s="417"/>
      <c r="Z130" s="414"/>
      <c r="AA130" s="414"/>
      <c r="AB130" s="414"/>
      <c r="AC130" s="287">
        <v>10</v>
      </c>
      <c r="AD130" s="320">
        <f>SUM(Z130:AC130)</f>
        <v>10</v>
      </c>
      <c r="AE130" s="287">
        <v>10</v>
      </c>
      <c r="AF130" s="287">
        <v>10</v>
      </c>
      <c r="AG130" s="287">
        <v>10</v>
      </c>
      <c r="AH130" s="287">
        <v>10</v>
      </c>
      <c r="AI130" s="320">
        <f>SUM(AE130:AH130)</f>
        <v>40</v>
      </c>
      <c r="AJ130" s="287">
        <v>10</v>
      </c>
      <c r="AK130" s="287">
        <v>10</v>
      </c>
      <c r="AL130" s="287">
        <v>10</v>
      </c>
      <c r="AM130" s="287">
        <v>10</v>
      </c>
      <c r="AN130" s="320">
        <f>SUM(AJ130:AM130)</f>
        <v>40</v>
      </c>
      <c r="AO130" s="287">
        <v>10</v>
      </c>
      <c r="AP130" s="287">
        <v>10</v>
      </c>
      <c r="AQ130" s="287">
        <v>10</v>
      </c>
      <c r="AR130" s="287">
        <v>10</v>
      </c>
      <c r="AS130" s="320">
        <f>SUM(AO130:AR130)</f>
        <v>40</v>
      </c>
      <c r="AT130" s="456"/>
      <c r="AU130" s="508"/>
    </row>
    <row r="131" spans="1:269" s="81" customFormat="1" outlineLevel="1">
      <c r="A131" s="418" t="s">
        <v>773</v>
      </c>
      <c r="C131" s="277"/>
      <c r="D131" s="277"/>
      <c r="E131" s="277"/>
      <c r="F131" s="414"/>
      <c r="G131" s="414"/>
      <c r="H131" s="414"/>
      <c r="I131" s="414"/>
      <c r="J131" s="417"/>
      <c r="K131" s="414"/>
      <c r="L131" s="414"/>
      <c r="M131" s="414"/>
      <c r="N131" s="414"/>
      <c r="O131" s="417"/>
      <c r="P131" s="414"/>
      <c r="Q131" s="414"/>
      <c r="R131" s="414"/>
      <c r="S131" s="414"/>
      <c r="T131" s="417"/>
      <c r="U131" s="414"/>
      <c r="V131" s="414"/>
      <c r="W131" s="414"/>
      <c r="X131" s="414"/>
      <c r="Y131" s="417"/>
      <c r="Z131" s="414"/>
      <c r="AA131" s="414"/>
      <c r="AB131" s="414"/>
      <c r="AC131" s="359">
        <v>0.55000000000000004</v>
      </c>
      <c r="AD131" s="422"/>
      <c r="AE131" s="359">
        <v>0.55000000000000004</v>
      </c>
      <c r="AF131" s="359">
        <v>0.55000000000000004</v>
      </c>
      <c r="AG131" s="359">
        <v>0.55000000000000004</v>
      </c>
      <c r="AH131" s="359">
        <v>0.55000000000000004</v>
      </c>
      <c r="AI131" s="422"/>
      <c r="AJ131" s="359">
        <v>0.55000000000000004</v>
      </c>
      <c r="AK131" s="359">
        <v>0.55000000000000004</v>
      </c>
      <c r="AL131" s="359">
        <v>0.55000000000000004</v>
      </c>
      <c r="AM131" s="359">
        <v>0.55000000000000004</v>
      </c>
      <c r="AN131" s="422"/>
      <c r="AO131" s="359">
        <v>0.55000000000000004</v>
      </c>
      <c r="AP131" s="359">
        <v>0.55000000000000004</v>
      </c>
      <c r="AQ131" s="359">
        <v>0.55000000000000004</v>
      </c>
      <c r="AR131" s="359">
        <v>0.55000000000000004</v>
      </c>
      <c r="AS131" s="422"/>
      <c r="AT131" s="456"/>
      <c r="AU131" s="508"/>
    </row>
    <row r="132" spans="1:269" s="81" customFormat="1" outlineLevel="1">
      <c r="A132" s="418" t="s">
        <v>775</v>
      </c>
      <c r="C132" s="277"/>
      <c r="D132" s="277"/>
      <c r="E132" s="277"/>
      <c r="F132" s="414"/>
      <c r="G132" s="414"/>
      <c r="H132" s="414"/>
      <c r="I132" s="414"/>
      <c r="J132" s="417"/>
      <c r="K132" s="414"/>
      <c r="L132" s="414"/>
      <c r="M132" s="414"/>
      <c r="N132" s="414"/>
      <c r="O132" s="417"/>
      <c r="P132" s="414"/>
      <c r="Q132" s="414"/>
      <c r="R132" s="414"/>
      <c r="S132" s="414"/>
      <c r="T132" s="417"/>
      <c r="U132" s="414"/>
      <c r="V132" s="414"/>
      <c r="W132" s="414"/>
      <c r="X132" s="414"/>
      <c r="Y132" s="417"/>
      <c r="Z132" s="414"/>
      <c r="AA132" s="414"/>
      <c r="AB132" s="414"/>
      <c r="AC132" s="287">
        <f t="shared" ref="AC132:AQ132" si="310">AC131*AC125</f>
        <v>21.754420279467567</v>
      </c>
      <c r="AD132" s="320">
        <f>SUM(Z132:AC132)</f>
        <v>21.754420279467567</v>
      </c>
      <c r="AE132" s="287">
        <f t="shared" si="310"/>
        <v>17.727345501687456</v>
      </c>
      <c r="AF132" s="287">
        <f t="shared" si="310"/>
        <v>21.937171011858879</v>
      </c>
      <c r="AG132" s="287">
        <f t="shared" si="310"/>
        <v>24.036639167562342</v>
      </c>
      <c r="AH132" s="287">
        <f t="shared" si="310"/>
        <v>21.754420279467567</v>
      </c>
      <c r="AI132" s="320">
        <f>SUM(AE132:AH132)</f>
        <v>85.45557596057624</v>
      </c>
      <c r="AJ132" s="287">
        <f t="shared" si="310"/>
        <v>18.081892411721206</v>
      </c>
      <c r="AK132" s="287">
        <f t="shared" si="310"/>
        <v>22.375914432096064</v>
      </c>
      <c r="AL132" s="287">
        <f t="shared" si="310"/>
        <v>24.517371950913592</v>
      </c>
      <c r="AM132" s="287">
        <f t="shared" si="310"/>
        <v>22.189508685056918</v>
      </c>
      <c r="AN132" s="320">
        <f>SUM(AJ132:AM132)</f>
        <v>87.164687479787773</v>
      </c>
      <c r="AO132" s="287">
        <f t="shared" si="310"/>
        <v>18.443530259955629</v>
      </c>
      <c r="AP132" s="287">
        <f t="shared" si="310"/>
        <v>22.823432720737983</v>
      </c>
      <c r="AQ132" s="287">
        <f t="shared" si="310"/>
        <v>25.007719389931864</v>
      </c>
      <c r="AR132" s="280">
        <f>AR131*AR125</f>
        <v>22.633298858758053</v>
      </c>
      <c r="AS132" s="320">
        <f>SUM(AO132:AR132)</f>
        <v>88.907981229383523</v>
      </c>
      <c r="AT132" s="456"/>
      <c r="AU132" s="508"/>
    </row>
    <row r="133" spans="1:269" s="81" customFormat="1" outlineLevel="1">
      <c r="A133" s="418" t="s">
        <v>774</v>
      </c>
      <c r="C133" s="277"/>
      <c r="D133" s="277"/>
      <c r="E133" s="277"/>
      <c r="F133" s="414"/>
      <c r="G133" s="414"/>
      <c r="H133" s="414"/>
      <c r="I133" s="414"/>
      <c r="J133" s="417"/>
      <c r="K133" s="414"/>
      <c r="L133" s="414"/>
      <c r="M133" s="414"/>
      <c r="N133" s="414"/>
      <c r="O133" s="417"/>
      <c r="P133" s="414"/>
      <c r="Q133" s="414"/>
      <c r="R133" s="414"/>
      <c r="S133" s="414"/>
      <c r="T133" s="417"/>
      <c r="U133" s="414"/>
      <c r="V133" s="414"/>
      <c r="W133" s="414"/>
      <c r="X133" s="414"/>
      <c r="Y133" s="417"/>
      <c r="Z133" s="414"/>
      <c r="AA133" s="414"/>
      <c r="AB133" s="414"/>
      <c r="AC133" s="287">
        <v>0</v>
      </c>
      <c r="AD133" s="499">
        <v>0</v>
      </c>
      <c r="AE133" s="287">
        <v>0</v>
      </c>
      <c r="AF133" s="287">
        <v>0</v>
      </c>
      <c r="AG133" s="287">
        <v>0</v>
      </c>
      <c r="AH133" s="287">
        <v>0</v>
      </c>
      <c r="AI133" s="499">
        <v>0</v>
      </c>
      <c r="AJ133" s="287">
        <v>0</v>
      </c>
      <c r="AK133" s="287">
        <v>0</v>
      </c>
      <c r="AL133" s="287">
        <v>0</v>
      </c>
      <c r="AM133" s="287">
        <v>0</v>
      </c>
      <c r="AN133" s="499">
        <v>0</v>
      </c>
      <c r="AO133" s="287">
        <v>0</v>
      </c>
      <c r="AP133" s="287">
        <v>0</v>
      </c>
      <c r="AQ133" s="287">
        <v>0</v>
      </c>
      <c r="AR133" s="287">
        <v>0</v>
      </c>
      <c r="AS133" s="499">
        <v>0</v>
      </c>
      <c r="AT133" s="456"/>
      <c r="AU133" s="508"/>
    </row>
    <row r="134" spans="1:269" s="81" customFormat="1" outlineLevel="1">
      <c r="A134" s="418"/>
      <c r="C134" s="277"/>
      <c r="D134" s="277"/>
      <c r="E134" s="277"/>
      <c r="F134" s="414"/>
      <c r="G134" s="414"/>
      <c r="H134" s="414"/>
      <c r="I134" s="414"/>
      <c r="J134" s="417"/>
      <c r="K134" s="414"/>
      <c r="L134" s="414"/>
      <c r="M134" s="414"/>
      <c r="N134" s="414"/>
      <c r="O134" s="417"/>
      <c r="P134" s="414"/>
      <c r="Q134" s="414"/>
      <c r="R134" s="414"/>
      <c r="S134" s="414"/>
      <c r="T134" s="417"/>
      <c r="U134" s="414"/>
      <c r="V134" s="414"/>
      <c r="W134" s="414"/>
      <c r="X134" s="414"/>
      <c r="Y134" s="417"/>
      <c r="Z134" s="414"/>
      <c r="AA134" s="414"/>
      <c r="AB134" s="414"/>
      <c r="AC134" s="287"/>
      <c r="AD134" s="499"/>
      <c r="AE134" s="287"/>
      <c r="AF134" s="287"/>
      <c r="AG134" s="287"/>
      <c r="AH134" s="287"/>
      <c r="AI134" s="499"/>
      <c r="AJ134" s="287"/>
      <c r="AK134" s="287"/>
      <c r="AL134" s="287"/>
      <c r="AM134" s="287"/>
      <c r="AN134" s="499"/>
      <c r="AO134" s="287"/>
      <c r="AP134" s="287"/>
      <c r="AQ134" s="287"/>
      <c r="AR134" s="287"/>
      <c r="AS134" s="499"/>
      <c r="AT134" s="456"/>
      <c r="AU134" s="508"/>
    </row>
    <row r="135" spans="1:269" s="81" customFormat="1" outlineLevel="1">
      <c r="A135" s="418" t="s">
        <v>58</v>
      </c>
      <c r="C135" s="277"/>
      <c r="D135" s="277"/>
      <c r="E135" s="277"/>
      <c r="F135" s="414"/>
      <c r="G135" s="414"/>
      <c r="H135" s="414"/>
      <c r="I135" s="414"/>
      <c r="J135" s="417"/>
      <c r="K135" s="414"/>
      <c r="L135" s="414"/>
      <c r="M135" s="414"/>
      <c r="N135" s="414"/>
      <c r="O135" s="417"/>
      <c r="P135" s="414"/>
      <c r="Q135" s="414"/>
      <c r="R135" s="414"/>
      <c r="S135" s="414"/>
      <c r="T135" s="417"/>
      <c r="U135" s="414"/>
      <c r="V135" s="414"/>
      <c r="W135" s="414"/>
      <c r="X135" s="414"/>
      <c r="Y135" s="417"/>
      <c r="Z135" s="414"/>
      <c r="AA135" s="414"/>
      <c r="AB135" s="414"/>
      <c r="AC135" s="280">
        <f>AC129-AC130-AC132-AC133</f>
        <v>-0.11162714569655918</v>
      </c>
      <c r="AD135" s="320"/>
      <c r="AE135" s="280">
        <f t="shared" ref="AE135:AH135" si="311">AE129-AE130-AE132-AE133</f>
        <v>-1.9421156810511597</v>
      </c>
      <c r="AF135" s="280">
        <f t="shared" si="311"/>
        <v>-2.8558630973236632E-2</v>
      </c>
      <c r="AG135" s="280">
        <f t="shared" si="311"/>
        <v>0.92574507616470214</v>
      </c>
      <c r="AH135" s="280">
        <f t="shared" si="311"/>
        <v>-0.11162714569655918</v>
      </c>
      <c r="AI135" s="320"/>
      <c r="AJ135" s="280">
        <f t="shared" ref="AJ135:AM135" si="312">AJ129-AJ130-AJ132-AJ133</f>
        <v>-1.7809579946721819</v>
      </c>
      <c r="AK135" s="280">
        <f t="shared" si="312"/>
        <v>0.1708701964072965</v>
      </c>
      <c r="AL135" s="280">
        <f t="shared" si="312"/>
        <v>1.1442599776879945</v>
      </c>
      <c r="AM135" s="280">
        <f t="shared" si="312"/>
        <v>8.6140311389502955E-2</v>
      </c>
      <c r="AN135" s="320"/>
      <c r="AO135" s="280">
        <f t="shared" ref="AO135:AR135" si="313">AO129-AO130-AO132-AO133</f>
        <v>-1.6165771545656256</v>
      </c>
      <c r="AP135" s="280">
        <f t="shared" si="313"/>
        <v>0.37428760033544251</v>
      </c>
      <c r="AQ135" s="280">
        <f t="shared" si="313"/>
        <v>1.3671451772417598</v>
      </c>
      <c r="AR135" s="280">
        <f t="shared" si="313"/>
        <v>0.28786311761729166</v>
      </c>
      <c r="AS135" s="499"/>
      <c r="AT135" s="456"/>
      <c r="AU135" s="508"/>
    </row>
    <row r="136" spans="1:269" s="81" customFormat="1">
      <c r="A136" s="418"/>
      <c r="C136" s="277"/>
      <c r="D136" s="277"/>
      <c r="E136" s="277"/>
      <c r="F136" s="414"/>
      <c r="G136" s="414"/>
      <c r="H136" s="414"/>
      <c r="I136" s="414"/>
      <c r="J136" s="417"/>
      <c r="K136" s="414"/>
      <c r="L136" s="414"/>
      <c r="M136" s="414"/>
      <c r="N136" s="414"/>
      <c r="O136" s="417"/>
      <c r="P136" s="414"/>
      <c r="Q136" s="414"/>
      <c r="R136" s="414"/>
      <c r="S136" s="414"/>
      <c r="T136" s="417"/>
      <c r="U136" s="414"/>
      <c r="V136" s="414"/>
      <c r="W136" s="414"/>
      <c r="X136" s="414"/>
      <c r="Y136" s="417"/>
      <c r="Z136" s="414"/>
      <c r="AA136" s="414"/>
      <c r="AB136" s="414"/>
      <c r="AC136" s="414"/>
      <c r="AD136" s="422"/>
      <c r="AE136" s="414"/>
      <c r="AF136" s="414"/>
      <c r="AG136" s="414"/>
      <c r="AH136" s="414"/>
      <c r="AI136" s="422"/>
      <c r="AJ136" s="414"/>
      <c r="AK136" s="414"/>
      <c r="AL136" s="414"/>
      <c r="AM136" s="414"/>
      <c r="AN136" s="422"/>
      <c r="AO136" s="414"/>
      <c r="AP136" s="414"/>
      <c r="AQ136" s="414"/>
      <c r="AR136" s="414"/>
      <c r="AS136" s="422"/>
      <c r="AT136" s="456"/>
      <c r="AU136" s="508"/>
    </row>
    <row r="137" spans="1:269" s="429" customFormat="1">
      <c r="A137" s="430" t="s">
        <v>648</v>
      </c>
      <c r="B137" s="431"/>
      <c r="C137" s="432"/>
      <c r="D137" s="432"/>
      <c r="E137" s="432"/>
      <c r="F137" s="432"/>
      <c r="G137" s="432"/>
      <c r="H137" s="432"/>
      <c r="I137" s="432"/>
      <c r="J137" s="432"/>
      <c r="K137" s="432"/>
      <c r="L137" s="432"/>
      <c r="M137" s="432"/>
      <c r="N137" s="432"/>
      <c r="O137" s="432"/>
      <c r="P137" s="432"/>
      <c r="Q137" s="432"/>
      <c r="R137" s="432"/>
      <c r="S137" s="432"/>
      <c r="T137" s="432"/>
      <c r="U137" s="432"/>
      <c r="V137" s="432"/>
      <c r="W137" s="432"/>
      <c r="X137" s="432"/>
      <c r="Y137" s="432"/>
      <c r="Z137" s="432"/>
      <c r="AA137" s="432"/>
      <c r="AB137" s="432"/>
      <c r="AC137" s="55"/>
      <c r="AD137" s="55"/>
      <c r="AE137" s="55"/>
      <c r="AF137" s="55"/>
      <c r="AG137" s="55"/>
      <c r="AH137" s="55"/>
      <c r="AI137" s="55"/>
      <c r="AJ137" s="55"/>
      <c r="AK137" s="55"/>
      <c r="AL137" s="55"/>
      <c r="AM137" s="55"/>
      <c r="AN137" s="55"/>
      <c r="AO137" s="55"/>
      <c r="AP137" s="55"/>
      <c r="AQ137" s="55"/>
      <c r="AR137" s="55"/>
      <c r="AS137" s="55"/>
      <c r="AT137" s="317"/>
      <c r="AU137" s="507"/>
      <c r="AV137" s="317"/>
      <c r="AW137" s="317"/>
      <c r="AX137" s="317"/>
      <c r="AY137" s="317"/>
      <c r="AZ137" s="317"/>
      <c r="BA137" s="317"/>
      <c r="BB137" s="317"/>
      <c r="BC137" s="317"/>
      <c r="BD137" s="317"/>
      <c r="BE137" s="317"/>
      <c r="BF137" s="317"/>
      <c r="BG137" s="317"/>
      <c r="BH137" s="317"/>
      <c r="BI137" s="317"/>
      <c r="BJ137" s="317"/>
      <c r="BK137" s="317"/>
      <c r="BL137" s="317"/>
      <c r="BM137" s="317"/>
      <c r="BN137" s="317"/>
      <c r="BO137" s="317"/>
      <c r="BP137" s="317"/>
      <c r="BQ137" s="317"/>
      <c r="BR137" s="317"/>
      <c r="BS137" s="317"/>
      <c r="BT137" s="317"/>
      <c r="BU137" s="317"/>
      <c r="BV137" s="317"/>
      <c r="BW137" s="317"/>
      <c r="BX137" s="317"/>
      <c r="BY137" s="317"/>
      <c r="BZ137" s="317"/>
      <c r="CA137" s="317"/>
      <c r="CB137" s="317"/>
      <c r="CC137" s="317"/>
      <c r="CD137" s="317"/>
      <c r="CE137" s="317"/>
      <c r="CF137" s="317"/>
      <c r="CG137" s="317"/>
      <c r="CH137" s="317"/>
      <c r="CI137" s="317"/>
      <c r="CJ137" s="317"/>
      <c r="CK137" s="317"/>
      <c r="CL137" s="317"/>
      <c r="CM137" s="317"/>
      <c r="CN137" s="317"/>
      <c r="CO137" s="317"/>
      <c r="CP137" s="317"/>
      <c r="CQ137" s="317"/>
      <c r="CR137" s="317"/>
      <c r="CS137" s="317"/>
      <c r="CT137" s="317"/>
      <c r="CU137" s="317"/>
      <c r="CV137" s="317"/>
      <c r="CW137" s="317"/>
      <c r="CX137" s="317"/>
      <c r="CY137" s="317"/>
      <c r="CZ137" s="317"/>
      <c r="DA137" s="317"/>
      <c r="DB137" s="317"/>
      <c r="DC137" s="317"/>
      <c r="DD137" s="317"/>
      <c r="DE137" s="317"/>
      <c r="DF137" s="317"/>
      <c r="DG137" s="317"/>
      <c r="DH137" s="317"/>
      <c r="DI137" s="317"/>
      <c r="DJ137" s="317"/>
      <c r="DK137" s="317"/>
      <c r="DL137" s="317"/>
      <c r="DM137" s="317"/>
      <c r="DN137" s="317"/>
      <c r="DO137" s="317"/>
      <c r="DP137" s="317"/>
      <c r="DQ137" s="317"/>
      <c r="DR137" s="317"/>
      <c r="DS137" s="317"/>
      <c r="DT137" s="317"/>
      <c r="DU137" s="317"/>
      <c r="DV137" s="317"/>
      <c r="DW137" s="317"/>
      <c r="DX137" s="317"/>
      <c r="DY137" s="317"/>
      <c r="DZ137" s="317"/>
      <c r="EA137" s="317"/>
      <c r="EB137" s="317"/>
      <c r="EC137" s="317"/>
      <c r="ED137" s="317"/>
      <c r="EE137" s="317"/>
      <c r="EF137" s="317"/>
      <c r="EG137" s="317"/>
      <c r="EH137" s="317"/>
      <c r="EI137" s="317"/>
      <c r="EJ137" s="317"/>
      <c r="EK137" s="317"/>
      <c r="EL137" s="317"/>
      <c r="EM137" s="317"/>
      <c r="EN137" s="317"/>
      <c r="EO137" s="317"/>
      <c r="EP137" s="317"/>
      <c r="EQ137" s="317"/>
      <c r="ER137" s="317"/>
      <c r="ES137" s="317"/>
      <c r="ET137" s="317"/>
      <c r="EU137" s="317"/>
      <c r="EV137" s="317"/>
      <c r="EW137" s="317"/>
      <c r="EX137" s="317"/>
      <c r="EY137" s="317"/>
      <c r="EZ137" s="317"/>
      <c r="FA137" s="317"/>
      <c r="FB137" s="317"/>
      <c r="FC137" s="317"/>
      <c r="FD137" s="317"/>
      <c r="FE137" s="317"/>
      <c r="FF137" s="317"/>
      <c r="FG137" s="317"/>
      <c r="FH137" s="317"/>
      <c r="FI137" s="317"/>
      <c r="FJ137" s="317"/>
      <c r="FK137" s="317"/>
      <c r="FL137" s="317"/>
      <c r="FM137" s="317"/>
      <c r="FN137" s="317"/>
      <c r="FO137" s="317"/>
      <c r="FP137" s="317"/>
      <c r="FQ137" s="317"/>
      <c r="FR137" s="317"/>
      <c r="FS137" s="317"/>
      <c r="FT137" s="317"/>
      <c r="FU137" s="317"/>
      <c r="FV137" s="317"/>
      <c r="FW137" s="317"/>
      <c r="FX137" s="317"/>
      <c r="FY137" s="317"/>
      <c r="FZ137" s="317"/>
      <c r="GA137" s="317"/>
      <c r="GB137" s="317"/>
      <c r="GC137" s="317"/>
      <c r="GD137" s="317"/>
      <c r="GE137" s="317"/>
      <c r="GF137" s="317"/>
      <c r="GG137" s="317"/>
      <c r="GH137" s="317"/>
      <c r="GI137" s="317"/>
      <c r="GJ137" s="317"/>
      <c r="GK137" s="317"/>
      <c r="GL137" s="317"/>
      <c r="GM137" s="317"/>
      <c r="GN137" s="317"/>
      <c r="GO137" s="317"/>
      <c r="GP137" s="317"/>
      <c r="GQ137" s="317"/>
      <c r="GR137" s="317"/>
      <c r="GS137" s="317"/>
      <c r="GT137" s="317"/>
      <c r="GU137" s="317"/>
      <c r="GV137" s="317"/>
      <c r="GW137" s="317"/>
      <c r="GX137" s="317"/>
      <c r="GY137" s="317"/>
      <c r="GZ137" s="317"/>
      <c r="HA137" s="317"/>
      <c r="HB137" s="317"/>
      <c r="HC137" s="317"/>
      <c r="HD137" s="317"/>
      <c r="HE137" s="317"/>
      <c r="HF137" s="317"/>
      <c r="HG137" s="317"/>
      <c r="HH137" s="317"/>
      <c r="HI137" s="317"/>
      <c r="HJ137" s="317"/>
      <c r="HK137" s="317"/>
      <c r="HL137" s="317"/>
      <c r="HM137" s="317"/>
      <c r="HN137" s="317"/>
      <c r="HO137" s="317"/>
      <c r="HP137" s="317"/>
      <c r="HQ137" s="317"/>
      <c r="HR137" s="317"/>
      <c r="HS137" s="317"/>
      <c r="HT137" s="317"/>
      <c r="HU137" s="317"/>
      <c r="HV137" s="317"/>
      <c r="HW137" s="317"/>
      <c r="HX137" s="317"/>
      <c r="HY137" s="317"/>
      <c r="HZ137" s="317"/>
      <c r="IA137" s="317"/>
      <c r="IB137" s="317"/>
      <c r="IC137" s="317"/>
      <c r="ID137" s="317"/>
      <c r="IE137" s="317"/>
      <c r="IF137" s="317"/>
      <c r="IG137" s="317"/>
      <c r="IH137" s="317"/>
      <c r="II137" s="317"/>
      <c r="IJ137" s="317"/>
      <c r="IK137" s="317"/>
      <c r="IL137" s="317"/>
      <c r="IM137" s="317"/>
      <c r="IN137" s="317"/>
      <c r="IO137" s="317"/>
      <c r="IP137" s="317"/>
      <c r="IQ137" s="317"/>
      <c r="IR137" s="317"/>
      <c r="IS137" s="317"/>
      <c r="IT137" s="317"/>
      <c r="IU137" s="317"/>
      <c r="IV137" s="317"/>
      <c r="IW137" s="317"/>
      <c r="IX137" s="317"/>
      <c r="IY137" s="317"/>
      <c r="IZ137" s="317"/>
      <c r="JA137" s="317"/>
      <c r="JB137" s="317"/>
      <c r="JC137" s="317"/>
      <c r="JD137" s="317"/>
      <c r="JE137" s="317"/>
      <c r="JF137" s="317"/>
      <c r="JG137" s="317"/>
      <c r="JH137" s="317"/>
      <c r="JI137" s="317"/>
    </row>
    <row r="138" spans="1:269" s="81" customFormat="1" hidden="1" outlineLevel="1">
      <c r="A138" s="91" t="s">
        <v>649</v>
      </c>
      <c r="C138" s="277"/>
      <c r="D138" s="277"/>
      <c r="E138" s="277"/>
      <c r="F138" s="278"/>
      <c r="G138" s="278"/>
      <c r="H138" s="278"/>
      <c r="I138" s="278"/>
      <c r="J138" s="277"/>
      <c r="K138" s="278"/>
      <c r="L138" s="278"/>
      <c r="M138" s="278"/>
      <c r="N138" s="278"/>
      <c r="O138" s="417"/>
      <c r="P138" s="278"/>
      <c r="Q138" s="278"/>
      <c r="R138" s="278"/>
      <c r="S138" s="278"/>
      <c r="T138" s="417"/>
      <c r="U138" s="278"/>
      <c r="V138" s="278"/>
      <c r="W138" s="278"/>
      <c r="X138" s="278"/>
      <c r="Y138" s="417"/>
      <c r="Z138" s="414"/>
      <c r="AA138" s="414"/>
      <c r="AB138" s="414"/>
      <c r="AC138" s="414"/>
      <c r="AD138" s="422"/>
      <c r="AE138" s="414"/>
      <c r="AF138" s="414"/>
      <c r="AG138" s="414"/>
      <c r="AH138" s="414"/>
      <c r="AI138" s="422"/>
      <c r="AJ138" s="414"/>
      <c r="AK138" s="414"/>
      <c r="AL138" s="414"/>
      <c r="AM138" s="414"/>
      <c r="AN138" s="422"/>
      <c r="AO138" s="414"/>
      <c r="AP138" s="414"/>
      <c r="AQ138" s="414"/>
      <c r="AR138" s="414"/>
      <c r="AS138" s="422"/>
      <c r="AT138" s="456"/>
      <c r="AU138" s="508"/>
    </row>
    <row r="139" spans="1:269" s="81" customFormat="1" hidden="1" outlineLevel="1">
      <c r="A139" s="59" t="s">
        <v>638</v>
      </c>
      <c r="C139" s="277"/>
      <c r="D139" s="277"/>
      <c r="E139" s="277">
        <v>88.688999999999993</v>
      </c>
      <c r="F139" s="278">
        <v>26.5</v>
      </c>
      <c r="G139" s="278">
        <v>31.75</v>
      </c>
      <c r="H139" s="278">
        <v>29.8</v>
      </c>
      <c r="I139" s="278">
        <v>34.200000000000003</v>
      </c>
      <c r="J139" s="277">
        <v>122.396</v>
      </c>
      <c r="K139" s="278">
        <v>23.913</v>
      </c>
      <c r="L139" s="278">
        <v>9.4689999999999994</v>
      </c>
      <c r="M139" s="278">
        <v>21.181000000000001</v>
      </c>
      <c r="N139" s="278">
        <f>+O139-SUM(K139:M139)</f>
        <v>26.89</v>
      </c>
      <c r="O139" s="277">
        <v>81.453000000000003</v>
      </c>
      <c r="P139" s="278">
        <v>31.28</v>
      </c>
      <c r="Q139" s="278">
        <v>42.66</v>
      </c>
      <c r="R139" s="278">
        <v>45.045999999999999</v>
      </c>
      <c r="S139" s="278">
        <f>+T139-SUM(P139:R139)</f>
        <v>50.44</v>
      </c>
      <c r="T139" s="277">
        <v>169.42599999999999</v>
      </c>
      <c r="U139" s="278">
        <v>44.606000000000002</v>
      </c>
      <c r="V139" s="278">
        <v>75.353999999999999</v>
      </c>
      <c r="W139" s="278">
        <v>58.375</v>
      </c>
      <c r="X139" s="278">
        <f>+Y139-SUM(U139:W139)</f>
        <v>64.907999999999987</v>
      </c>
      <c r="Y139" s="277">
        <v>243.24299999999999</v>
      </c>
      <c r="Z139" s="278">
        <v>52.978000000000002</v>
      </c>
      <c r="AA139" s="278">
        <v>63.643999999999998</v>
      </c>
      <c r="AB139" s="278">
        <v>51.7</v>
      </c>
      <c r="AC139" s="414"/>
      <c r="AD139" s="422"/>
      <c r="AE139" s="414"/>
      <c r="AF139" s="414"/>
      <c r="AG139" s="414"/>
      <c r="AH139" s="414"/>
      <c r="AI139" s="422"/>
      <c r="AJ139" s="414"/>
      <c r="AK139" s="414"/>
      <c r="AL139" s="414"/>
      <c r="AM139" s="414"/>
      <c r="AN139" s="422"/>
      <c r="AO139" s="414"/>
      <c r="AP139" s="414"/>
      <c r="AQ139" s="414"/>
      <c r="AR139" s="414"/>
      <c r="AS139" s="422"/>
      <c r="AT139" s="456"/>
      <c r="AU139" s="508"/>
    </row>
    <row r="140" spans="1:269" s="81" customFormat="1" hidden="1" outlineLevel="1">
      <c r="A140" s="59" t="s">
        <v>639</v>
      </c>
      <c r="C140" s="277"/>
      <c r="D140" s="277"/>
      <c r="E140" s="277">
        <v>17.358000000000001</v>
      </c>
      <c r="F140" s="278">
        <v>5.7000000000000028</v>
      </c>
      <c r="G140" s="278">
        <v>7.7999999999999972</v>
      </c>
      <c r="H140" s="278">
        <v>6.5203488372093057</v>
      </c>
      <c r="I140" s="278">
        <v>8.4046511627906959</v>
      </c>
      <c r="J140" s="277">
        <v>28.425000000000001</v>
      </c>
      <c r="K140" s="278">
        <v>6.8879999999999999</v>
      </c>
      <c r="L140" s="278">
        <v>2.0640000000000001</v>
      </c>
      <c r="M140" s="278">
        <v>8.0779999999999994</v>
      </c>
      <c r="N140" s="278">
        <v>6.1449999999999996</v>
      </c>
      <c r="O140" s="277">
        <v>23.175000000000001</v>
      </c>
      <c r="P140" s="278">
        <v>7.4710000000000001</v>
      </c>
      <c r="Q140" s="278">
        <v>11.407999999999999</v>
      </c>
      <c r="R140" s="278">
        <v>12.611000000000001</v>
      </c>
      <c r="S140" s="278">
        <v>15.469000000000005</v>
      </c>
      <c r="T140" s="277">
        <v>46.959000000000003</v>
      </c>
      <c r="U140" s="278">
        <v>17.908000000000001</v>
      </c>
      <c r="V140" s="278">
        <v>17.795999999999999</v>
      </c>
      <c r="W140" s="278">
        <v>15.307</v>
      </c>
      <c r="X140" s="278">
        <v>17.315999999999995</v>
      </c>
      <c r="Y140" s="277">
        <v>68.326999999999998</v>
      </c>
      <c r="Z140" s="278">
        <v>19.68</v>
      </c>
      <c r="AA140" s="278">
        <v>28.587</v>
      </c>
      <c r="AB140" s="278">
        <v>21.1</v>
      </c>
      <c r="AC140" s="414"/>
      <c r="AD140" s="422"/>
      <c r="AE140" s="414"/>
      <c r="AF140" s="414"/>
      <c r="AG140" s="414"/>
      <c r="AH140" s="414"/>
      <c r="AI140" s="422"/>
      <c r="AJ140" s="414"/>
      <c r="AK140" s="414"/>
      <c r="AL140" s="414"/>
      <c r="AM140" s="414"/>
      <c r="AN140" s="422"/>
      <c r="AO140" s="414"/>
      <c r="AP140" s="414"/>
      <c r="AQ140" s="414"/>
      <c r="AR140" s="414"/>
      <c r="AS140" s="422"/>
      <c r="AT140" s="456"/>
      <c r="AU140" s="508"/>
    </row>
    <row r="141" spans="1:269" s="81" customFormat="1" hidden="1" outlineLevel="1">
      <c r="A141" s="59" t="s">
        <v>640</v>
      </c>
      <c r="C141" s="277"/>
      <c r="D141" s="277"/>
      <c r="E141" s="277">
        <v>6.2629999999999999</v>
      </c>
      <c r="F141" s="278">
        <v>2.5</v>
      </c>
      <c r="G141" s="278">
        <v>2.75</v>
      </c>
      <c r="H141" s="278">
        <v>3.3</v>
      </c>
      <c r="I141" s="278">
        <v>7.3</v>
      </c>
      <c r="J141" s="277">
        <v>15.802</v>
      </c>
      <c r="K141" s="278">
        <v>1.7350000000000001</v>
      </c>
      <c r="L141" s="278">
        <v>2.5830000000000002</v>
      </c>
      <c r="M141" s="278">
        <v>5.3010000000000002</v>
      </c>
      <c r="N141" s="278">
        <v>4.8450000000000006</v>
      </c>
      <c r="O141" s="277">
        <v>14.464</v>
      </c>
      <c r="P141" s="278">
        <v>8.7910000000000004</v>
      </c>
      <c r="Q141" s="278">
        <v>12.44</v>
      </c>
      <c r="R141" s="278">
        <v>10.49</v>
      </c>
      <c r="S141" s="278">
        <v>11.979999999999997</v>
      </c>
      <c r="T141" s="277">
        <v>43.701000000000001</v>
      </c>
      <c r="U141" s="278">
        <v>12.901</v>
      </c>
      <c r="V141" s="278">
        <v>10.385999999999999</v>
      </c>
      <c r="W141" s="278">
        <v>15.11</v>
      </c>
      <c r="X141" s="278">
        <v>15.908999999999999</v>
      </c>
      <c r="Y141" s="277">
        <v>54.305999999999997</v>
      </c>
      <c r="Z141" s="278">
        <v>13.62</v>
      </c>
      <c r="AA141" s="278">
        <v>25.248000000000001</v>
      </c>
      <c r="AB141" s="278">
        <v>24.7</v>
      </c>
      <c r="AC141" s="414"/>
      <c r="AD141" s="422"/>
      <c r="AE141" s="414"/>
      <c r="AF141" s="414"/>
      <c r="AG141" s="414"/>
      <c r="AH141" s="414"/>
      <c r="AI141" s="422"/>
      <c r="AJ141" s="414"/>
      <c r="AK141" s="414"/>
      <c r="AL141" s="414"/>
      <c r="AM141" s="414"/>
      <c r="AN141" s="422"/>
      <c r="AO141" s="414"/>
      <c r="AP141" s="414"/>
      <c r="AQ141" s="414"/>
      <c r="AR141" s="414"/>
      <c r="AS141" s="422"/>
      <c r="AT141" s="456"/>
      <c r="AU141" s="508"/>
    </row>
    <row r="142" spans="1:269" s="81" customFormat="1" hidden="1" outlineLevel="1">
      <c r="A142" s="59" t="s">
        <v>642</v>
      </c>
      <c r="C142" s="277"/>
      <c r="D142" s="277"/>
      <c r="E142" s="316">
        <f>E139+E140+E141</f>
        <v>112.31</v>
      </c>
      <c r="F142" s="280">
        <f t="shared" ref="F142:AB142" si="314">F139+F140+F141</f>
        <v>34.700000000000003</v>
      </c>
      <c r="G142" s="280">
        <f t="shared" si="314"/>
        <v>42.3</v>
      </c>
      <c r="H142" s="280">
        <f t="shared" si="314"/>
        <v>39.620348837209306</v>
      </c>
      <c r="I142" s="280">
        <f t="shared" si="314"/>
        <v>49.904651162790699</v>
      </c>
      <c r="J142" s="316">
        <f t="shared" si="314"/>
        <v>166.62299999999999</v>
      </c>
      <c r="K142" s="280">
        <f t="shared" si="314"/>
        <v>32.536000000000001</v>
      </c>
      <c r="L142" s="280">
        <f t="shared" si="314"/>
        <v>14.116</v>
      </c>
      <c r="M142" s="280">
        <f t="shared" si="314"/>
        <v>34.56</v>
      </c>
      <c r="N142" s="280">
        <f t="shared" si="314"/>
        <v>37.879999999999995</v>
      </c>
      <c r="O142" s="316">
        <f t="shared" si="314"/>
        <v>119.092</v>
      </c>
      <c r="P142" s="280">
        <f t="shared" si="314"/>
        <v>47.542000000000002</v>
      </c>
      <c r="Q142" s="280">
        <f t="shared" si="314"/>
        <v>66.507999999999996</v>
      </c>
      <c r="R142" s="280">
        <f t="shared" si="314"/>
        <v>68.146999999999991</v>
      </c>
      <c r="S142" s="280">
        <f t="shared" si="314"/>
        <v>77.88900000000001</v>
      </c>
      <c r="T142" s="316">
        <f t="shared" si="314"/>
        <v>260.08600000000001</v>
      </c>
      <c r="U142" s="280">
        <f t="shared" si="314"/>
        <v>75.415000000000006</v>
      </c>
      <c r="V142" s="280">
        <f t="shared" si="314"/>
        <v>103.536</v>
      </c>
      <c r="W142" s="280">
        <f t="shared" si="314"/>
        <v>88.792000000000002</v>
      </c>
      <c r="X142" s="280">
        <f t="shared" si="314"/>
        <v>98.132999999999981</v>
      </c>
      <c r="Y142" s="316">
        <f t="shared" si="314"/>
        <v>365.87599999999998</v>
      </c>
      <c r="Z142" s="280">
        <f t="shared" si="314"/>
        <v>86.278000000000006</v>
      </c>
      <c r="AA142" s="280">
        <f t="shared" si="314"/>
        <v>117.479</v>
      </c>
      <c r="AB142" s="280">
        <f t="shared" si="314"/>
        <v>97.500000000000014</v>
      </c>
      <c r="AC142" s="414"/>
      <c r="AD142" s="422"/>
      <c r="AE142" s="414"/>
      <c r="AF142" s="414"/>
      <c r="AG142" s="414"/>
      <c r="AH142" s="414"/>
      <c r="AI142" s="422"/>
      <c r="AJ142" s="414"/>
      <c r="AK142" s="414"/>
      <c r="AL142" s="414"/>
      <c r="AM142" s="414"/>
      <c r="AN142" s="422"/>
      <c r="AO142" s="414"/>
      <c r="AP142" s="414"/>
      <c r="AQ142" s="414"/>
      <c r="AR142" s="414"/>
      <c r="AS142" s="422"/>
      <c r="AT142" s="456"/>
      <c r="AU142" s="508"/>
    </row>
    <row r="143" spans="1:269" s="81" customFormat="1" hidden="1" outlineLevel="1">
      <c r="A143" s="418"/>
      <c r="C143" s="277"/>
      <c r="D143" s="277"/>
      <c r="E143" s="277"/>
      <c r="F143" s="278"/>
      <c r="G143" s="278"/>
      <c r="H143" s="278"/>
      <c r="I143" s="278"/>
      <c r="J143" s="277"/>
      <c r="K143" s="278"/>
      <c r="L143" s="278"/>
      <c r="M143" s="278"/>
      <c r="N143" s="278"/>
      <c r="O143" s="417"/>
      <c r="P143" s="278"/>
      <c r="Q143" s="278"/>
      <c r="R143" s="278"/>
      <c r="S143" s="278"/>
      <c r="T143" s="417"/>
      <c r="U143" s="278"/>
      <c r="V143" s="278"/>
      <c r="W143" s="278"/>
      <c r="X143" s="278"/>
      <c r="Y143" s="417"/>
      <c r="Z143" s="414"/>
      <c r="AA143" s="414"/>
      <c r="AB143" s="414"/>
      <c r="AC143" s="414"/>
      <c r="AD143" s="422"/>
      <c r="AE143" s="414"/>
      <c r="AF143" s="414"/>
      <c r="AG143" s="414"/>
      <c r="AH143" s="414"/>
      <c r="AI143" s="422"/>
      <c r="AJ143" s="414"/>
      <c r="AK143" s="414"/>
      <c r="AL143" s="414"/>
      <c r="AM143" s="414"/>
      <c r="AN143" s="422"/>
      <c r="AO143" s="414"/>
      <c r="AP143" s="414"/>
      <c r="AQ143" s="414"/>
      <c r="AR143" s="414"/>
      <c r="AS143" s="422"/>
      <c r="AT143" s="456"/>
      <c r="AU143" s="508"/>
    </row>
    <row r="144" spans="1:269" s="81" customFormat="1" hidden="1" outlineLevel="1">
      <c r="A144" s="91" t="s">
        <v>650</v>
      </c>
      <c r="C144" s="277"/>
      <c r="D144" s="277"/>
      <c r="E144" s="277"/>
      <c r="F144" s="278"/>
      <c r="G144" s="278"/>
      <c r="H144" s="278"/>
      <c r="I144" s="278"/>
      <c r="J144" s="277"/>
      <c r="K144" s="278"/>
      <c r="L144" s="278"/>
      <c r="M144" s="278"/>
      <c r="N144" s="278"/>
      <c r="O144" s="417"/>
      <c r="P144" s="278"/>
      <c r="Q144" s="278"/>
      <c r="R144" s="278"/>
      <c r="S144" s="278"/>
      <c r="T144" s="417"/>
      <c r="U144" s="278"/>
      <c r="V144" s="278"/>
      <c r="W144" s="278"/>
      <c r="X144" s="278"/>
      <c r="Y144" s="417"/>
      <c r="Z144" s="414"/>
      <c r="AA144" s="414"/>
      <c r="AB144" s="414"/>
      <c r="AC144" s="414"/>
      <c r="AD144" s="422"/>
      <c r="AE144" s="414"/>
      <c r="AF144" s="414"/>
      <c r="AG144" s="414"/>
      <c r="AH144" s="414"/>
      <c r="AI144" s="422"/>
      <c r="AJ144" s="414"/>
      <c r="AK144" s="414"/>
      <c r="AL144" s="414"/>
      <c r="AM144" s="414"/>
      <c r="AN144" s="422"/>
      <c r="AO144" s="414"/>
      <c r="AP144" s="414"/>
      <c r="AQ144" s="414"/>
      <c r="AR144" s="414"/>
      <c r="AS144" s="422"/>
      <c r="AT144" s="456"/>
      <c r="AU144" s="508"/>
    </row>
    <row r="145" spans="1:269" s="81" customFormat="1" hidden="1" outlineLevel="1">
      <c r="A145" s="59" t="s">
        <v>638</v>
      </c>
      <c r="C145" s="277"/>
      <c r="D145" s="277"/>
      <c r="E145" s="417">
        <f>E139/E$142</f>
        <v>0.78968034903392392</v>
      </c>
      <c r="F145" s="414">
        <f t="shared" ref="F145:AB145" si="315">F139/F$142</f>
        <v>0.76368876080691639</v>
      </c>
      <c r="G145" s="414">
        <f t="shared" si="315"/>
        <v>0.75059101654846339</v>
      </c>
      <c r="H145" s="414">
        <f t="shared" si="315"/>
        <v>0.75213875885952419</v>
      </c>
      <c r="I145" s="414">
        <f t="shared" si="315"/>
        <v>0.68530686425276111</v>
      </c>
      <c r="J145" s="417">
        <f t="shared" si="315"/>
        <v>0.73456845693571715</v>
      </c>
      <c r="K145" s="414">
        <f t="shared" si="315"/>
        <v>0.73497049422178506</v>
      </c>
      <c r="L145" s="414">
        <f t="shared" si="315"/>
        <v>0.67079909322754316</v>
      </c>
      <c r="M145" s="414">
        <f t="shared" si="315"/>
        <v>0.61287615740740742</v>
      </c>
      <c r="N145" s="414">
        <f t="shared" si="315"/>
        <v>0.70987328405491035</v>
      </c>
      <c r="O145" s="417">
        <f t="shared" si="315"/>
        <v>0.68395022335673261</v>
      </c>
      <c r="P145" s="414">
        <f t="shared" si="315"/>
        <v>0.65794455428883936</v>
      </c>
      <c r="Q145" s="414">
        <f t="shared" si="315"/>
        <v>0.64142659529680635</v>
      </c>
      <c r="R145" s="414">
        <f t="shared" si="315"/>
        <v>0.66101222357550593</v>
      </c>
      <c r="S145" s="414">
        <f t="shared" si="315"/>
        <v>0.64758823453889502</v>
      </c>
      <c r="T145" s="417">
        <f t="shared" si="315"/>
        <v>0.65142299085687039</v>
      </c>
      <c r="U145" s="414">
        <f t="shared" si="315"/>
        <v>0.5914738447258503</v>
      </c>
      <c r="V145" s="414">
        <f t="shared" si="315"/>
        <v>0.72780482151135839</v>
      </c>
      <c r="W145" s="414">
        <f t="shared" si="315"/>
        <v>0.65743535453644475</v>
      </c>
      <c r="X145" s="414">
        <f t="shared" si="315"/>
        <v>0.66142887713613152</v>
      </c>
      <c r="Y145" s="417">
        <f t="shared" si="315"/>
        <v>0.66482360143873886</v>
      </c>
      <c r="Z145" s="414">
        <f t="shared" si="315"/>
        <v>0.61403834117619782</v>
      </c>
      <c r="AA145" s="414">
        <f t="shared" si="315"/>
        <v>0.54174788685637432</v>
      </c>
      <c r="AB145" s="414">
        <f t="shared" si="315"/>
        <v>0.53025641025641024</v>
      </c>
      <c r="AC145" s="414">
        <f>AC146/10000+X145</f>
        <v>0.61142887713613148</v>
      </c>
      <c r="AD145" s="422">
        <f>AVERAGE(Z145:AC145)</f>
        <v>0.57436787885627849</v>
      </c>
      <c r="AE145" s="414">
        <f t="shared" ref="AE145:AH145" si="316">AE146/10000+Z145</f>
        <v>0.56403834117619778</v>
      </c>
      <c r="AF145" s="414">
        <f t="shared" si="316"/>
        <v>0.49174788685637433</v>
      </c>
      <c r="AG145" s="414">
        <f t="shared" si="316"/>
        <v>0.48025641025641025</v>
      </c>
      <c r="AH145" s="414">
        <f t="shared" si="316"/>
        <v>0.56142887713613143</v>
      </c>
      <c r="AI145" s="422">
        <f>AVERAGE(AE145:AH145)</f>
        <v>0.52436787885627845</v>
      </c>
      <c r="AJ145" s="414">
        <f t="shared" ref="AJ145:AM145" si="317">AJ146/10000+AE145</f>
        <v>0.51403834117619773</v>
      </c>
      <c r="AK145" s="414">
        <f t="shared" si="317"/>
        <v>0.44174788685637434</v>
      </c>
      <c r="AL145" s="414">
        <f t="shared" si="317"/>
        <v>0.43025641025641026</v>
      </c>
      <c r="AM145" s="414">
        <f t="shared" si="317"/>
        <v>0.51142887713613139</v>
      </c>
      <c r="AN145" s="422">
        <f>AVERAGE(AJ145:AM145)</f>
        <v>0.4743678788562784</v>
      </c>
      <c r="AO145" s="414">
        <f t="shared" ref="AO145:AR145" si="318">AO146/10000+AJ145</f>
        <v>0.46403834117619774</v>
      </c>
      <c r="AP145" s="414">
        <f t="shared" si="318"/>
        <v>0.39174788685637435</v>
      </c>
      <c r="AQ145" s="414">
        <f t="shared" si="318"/>
        <v>0.38025641025641027</v>
      </c>
      <c r="AR145" s="414">
        <f t="shared" si="318"/>
        <v>0.4614288771361314</v>
      </c>
      <c r="AS145" s="422">
        <f>AVERAGE(AO145:AR145)</f>
        <v>0.42436787885627847</v>
      </c>
      <c r="AT145" s="456"/>
      <c r="AU145" s="508"/>
    </row>
    <row r="146" spans="1:269" s="81" customFormat="1" hidden="1" outlineLevel="1">
      <c r="A146" s="437" t="s">
        <v>508</v>
      </c>
      <c r="C146" s="277"/>
      <c r="D146" s="277"/>
      <c r="E146" s="417"/>
      <c r="F146" s="414"/>
      <c r="G146" s="414"/>
      <c r="H146" s="414"/>
      <c r="I146" s="414"/>
      <c r="J146" s="316">
        <f t="shared" ref="J146:AA146" si="319">(J145-E145)*10000</f>
        <v>-551.11892098206772</v>
      </c>
      <c r="K146" s="280">
        <f t="shared" si="319"/>
        <v>-287.18266585131323</v>
      </c>
      <c r="L146" s="280">
        <f t="shared" si="319"/>
        <v>-797.91923320920216</v>
      </c>
      <c r="M146" s="280">
        <f t="shared" si="319"/>
        <v>-1392.6260145211677</v>
      </c>
      <c r="N146" s="280">
        <f t="shared" si="319"/>
        <v>245.66419802149241</v>
      </c>
      <c r="O146" s="316">
        <f t="shared" si="319"/>
        <v>-506.18233578984541</v>
      </c>
      <c r="P146" s="280">
        <f t="shared" si="319"/>
        <v>-770.2593993294571</v>
      </c>
      <c r="Q146" s="280">
        <f t="shared" si="319"/>
        <v>-293.72497930736819</v>
      </c>
      <c r="R146" s="280">
        <f t="shared" si="319"/>
        <v>481.36066168098512</v>
      </c>
      <c r="S146" s="280">
        <f t="shared" si="319"/>
        <v>-622.85049516015317</v>
      </c>
      <c r="T146" s="316">
        <f t="shared" si="319"/>
        <v>-325.27232499862225</v>
      </c>
      <c r="U146" s="280">
        <f t="shared" si="319"/>
        <v>-664.70709562989066</v>
      </c>
      <c r="V146" s="280">
        <f t="shared" si="319"/>
        <v>863.78226214552046</v>
      </c>
      <c r="W146" s="280">
        <f t="shared" si="319"/>
        <v>-35.768690390611809</v>
      </c>
      <c r="X146" s="280">
        <f t="shared" si="319"/>
        <v>138.40642597236496</v>
      </c>
      <c r="Y146" s="316">
        <f t="shared" si="319"/>
        <v>134.00610581868477</v>
      </c>
      <c r="Z146" s="280">
        <f t="shared" si="319"/>
        <v>225.64496450347525</v>
      </c>
      <c r="AA146" s="280">
        <f t="shared" si="319"/>
        <v>-1860.5693465498407</v>
      </c>
      <c r="AB146" s="280">
        <f>(AB145-W145)*10000</f>
        <v>-1271.7894428003451</v>
      </c>
      <c r="AC146" s="287">
        <v>-500</v>
      </c>
      <c r="AD146" s="320">
        <f t="shared" ref="AD146" si="320">(AD145-Y145)*10000</f>
        <v>-904.55722582460373</v>
      </c>
      <c r="AE146" s="287">
        <v>-500</v>
      </c>
      <c r="AF146" s="287">
        <v>-500</v>
      </c>
      <c r="AG146" s="287">
        <v>-500</v>
      </c>
      <c r="AH146" s="287">
        <v>-500</v>
      </c>
      <c r="AI146" s="320">
        <f t="shared" ref="AI146" si="321">(AI145-AD145)*10000</f>
        <v>-500.00000000000045</v>
      </c>
      <c r="AJ146" s="287">
        <v>-500</v>
      </c>
      <c r="AK146" s="287">
        <v>-500</v>
      </c>
      <c r="AL146" s="287">
        <v>-500</v>
      </c>
      <c r="AM146" s="287">
        <v>-500</v>
      </c>
      <c r="AN146" s="320">
        <f t="shared" ref="AN146" si="322">(AN145-AI145)*10000</f>
        <v>-500.00000000000045</v>
      </c>
      <c r="AO146" s="287">
        <v>-500</v>
      </c>
      <c r="AP146" s="287">
        <v>-500</v>
      </c>
      <c r="AQ146" s="287">
        <v>-500</v>
      </c>
      <c r="AR146" s="287">
        <v>-500</v>
      </c>
      <c r="AS146" s="320">
        <f t="shared" ref="AS146" si="323">(AS145-AN145)*10000</f>
        <v>-499.99999999999932</v>
      </c>
      <c r="AT146" s="456"/>
      <c r="AU146" s="508"/>
    </row>
    <row r="147" spans="1:269" s="81" customFormat="1" hidden="1" outlineLevel="1">
      <c r="A147" s="59" t="s">
        <v>639</v>
      </c>
      <c r="C147" s="277"/>
      <c r="D147" s="277"/>
      <c r="E147" s="417">
        <f t="shared" ref="E147:AB147" si="324">E140/E$142</f>
        <v>0.15455435847208618</v>
      </c>
      <c r="F147" s="414">
        <f t="shared" si="324"/>
        <v>0.1642651296829972</v>
      </c>
      <c r="G147" s="414">
        <f t="shared" si="324"/>
        <v>0.18439716312056731</v>
      </c>
      <c r="H147" s="414">
        <f t="shared" si="324"/>
        <v>0.16457070744126676</v>
      </c>
      <c r="I147" s="414">
        <f t="shared" si="324"/>
        <v>0.16841418519036297</v>
      </c>
      <c r="J147" s="417">
        <f t="shared" si="324"/>
        <v>0.17059469581030232</v>
      </c>
      <c r="K147" s="414">
        <f t="shared" si="324"/>
        <v>0.2117039586919105</v>
      </c>
      <c r="L147" s="414">
        <f t="shared" si="324"/>
        <v>0.14621705865684331</v>
      </c>
      <c r="M147" s="414">
        <f t="shared" si="324"/>
        <v>0.23373842592592589</v>
      </c>
      <c r="N147" s="414">
        <f t="shared" si="324"/>
        <v>0.16222280887011617</v>
      </c>
      <c r="O147" s="417">
        <f t="shared" si="324"/>
        <v>0.19459745406912304</v>
      </c>
      <c r="P147" s="414">
        <f t="shared" si="324"/>
        <v>0.15714526103235035</v>
      </c>
      <c r="Q147" s="414">
        <f t="shared" si="324"/>
        <v>0.17152823720454682</v>
      </c>
      <c r="R147" s="414">
        <f t="shared" si="324"/>
        <v>0.18505583517983187</v>
      </c>
      <c r="S147" s="414">
        <f t="shared" si="324"/>
        <v>0.19860314036641891</v>
      </c>
      <c r="T147" s="417">
        <f t="shared" si="324"/>
        <v>0.18055181747575802</v>
      </c>
      <c r="U147" s="414">
        <f t="shared" si="324"/>
        <v>0.23745939136776503</v>
      </c>
      <c r="V147" s="414">
        <f t="shared" si="324"/>
        <v>0.17188224385720907</v>
      </c>
      <c r="W147" s="414">
        <f t="shared" si="324"/>
        <v>0.17239165690602756</v>
      </c>
      <c r="X147" s="414">
        <f t="shared" si="324"/>
        <v>0.17645440371740392</v>
      </c>
      <c r="Y147" s="417">
        <f t="shared" si="324"/>
        <v>0.18674906252391521</v>
      </c>
      <c r="Z147" s="414">
        <f t="shared" si="324"/>
        <v>0.22809986323280557</v>
      </c>
      <c r="AA147" s="414">
        <f t="shared" si="324"/>
        <v>0.24333710705743153</v>
      </c>
      <c r="AB147" s="414">
        <f t="shared" si="324"/>
        <v>0.21641025641025638</v>
      </c>
      <c r="AC147" s="414"/>
      <c r="AD147" s="422"/>
      <c r="AE147" s="414"/>
      <c r="AF147" s="414"/>
      <c r="AG147" s="414"/>
      <c r="AH147" s="414"/>
      <c r="AI147" s="422"/>
      <c r="AJ147" s="414"/>
      <c r="AK147" s="414"/>
      <c r="AL147" s="414"/>
      <c r="AM147" s="414"/>
      <c r="AN147" s="422"/>
      <c r="AO147" s="414"/>
      <c r="AP147" s="414"/>
      <c r="AQ147" s="414"/>
      <c r="AR147" s="414"/>
      <c r="AS147" s="422"/>
      <c r="AT147" s="456"/>
      <c r="AU147" s="508"/>
    </row>
    <row r="148" spans="1:269" s="81" customFormat="1" hidden="1" outlineLevel="1">
      <c r="A148" s="59" t="s">
        <v>640</v>
      </c>
      <c r="C148" s="277"/>
      <c r="D148" s="277"/>
      <c r="E148" s="417">
        <f t="shared" ref="E148:AB148" si="325">E141/E$142</f>
        <v>5.576529249398985E-2</v>
      </c>
      <c r="F148" s="414">
        <f t="shared" si="325"/>
        <v>7.2046109510086456E-2</v>
      </c>
      <c r="G148" s="414">
        <f t="shared" si="325"/>
        <v>6.5011820330969278E-2</v>
      </c>
      <c r="H148" s="414">
        <f t="shared" si="325"/>
        <v>8.3290533699209052E-2</v>
      </c>
      <c r="I148" s="414">
        <f t="shared" si="325"/>
        <v>0.1462789505568759</v>
      </c>
      <c r="J148" s="417">
        <f t="shared" si="325"/>
        <v>9.4836847253980547E-2</v>
      </c>
      <c r="K148" s="414">
        <f t="shared" si="325"/>
        <v>5.3325547086304402E-2</v>
      </c>
      <c r="L148" s="414">
        <f t="shared" si="325"/>
        <v>0.1829838481156135</v>
      </c>
      <c r="M148" s="414">
        <f t="shared" si="325"/>
        <v>0.15338541666666666</v>
      </c>
      <c r="N148" s="414">
        <f t="shared" si="325"/>
        <v>0.12790390707497362</v>
      </c>
      <c r="O148" s="417">
        <f t="shared" si="325"/>
        <v>0.12145232257414436</v>
      </c>
      <c r="P148" s="414">
        <f t="shared" si="325"/>
        <v>0.18491018467881032</v>
      </c>
      <c r="Q148" s="414">
        <f t="shared" si="325"/>
        <v>0.18704516749864677</v>
      </c>
      <c r="R148" s="414">
        <f t="shared" si="325"/>
        <v>0.15393194124466231</v>
      </c>
      <c r="S148" s="414">
        <f t="shared" si="325"/>
        <v>0.15380862509468596</v>
      </c>
      <c r="T148" s="417">
        <f t="shared" si="325"/>
        <v>0.16802519166737157</v>
      </c>
      <c r="U148" s="414">
        <f t="shared" si="325"/>
        <v>0.17106676390638464</v>
      </c>
      <c r="V148" s="414">
        <f t="shared" si="325"/>
        <v>0.10031293463143254</v>
      </c>
      <c r="W148" s="414">
        <f t="shared" si="325"/>
        <v>0.17017298855752769</v>
      </c>
      <c r="X148" s="414">
        <f t="shared" si="325"/>
        <v>0.1621167191464645</v>
      </c>
      <c r="Y148" s="417">
        <f t="shared" si="325"/>
        <v>0.14842733603734598</v>
      </c>
      <c r="Z148" s="414">
        <f t="shared" si="325"/>
        <v>0.15786179559099653</v>
      </c>
      <c r="AA148" s="414">
        <f t="shared" si="325"/>
        <v>0.21491500608619413</v>
      </c>
      <c r="AB148" s="414">
        <f t="shared" si="325"/>
        <v>0.2533333333333333</v>
      </c>
      <c r="AC148" s="414"/>
      <c r="AD148" s="422"/>
      <c r="AE148" s="414"/>
      <c r="AF148" s="414"/>
      <c r="AG148" s="414"/>
      <c r="AH148" s="414"/>
      <c r="AI148" s="422"/>
      <c r="AJ148" s="414"/>
      <c r="AK148" s="414"/>
      <c r="AL148" s="414"/>
      <c r="AM148" s="414"/>
      <c r="AN148" s="422"/>
      <c r="AO148" s="414"/>
      <c r="AP148" s="414"/>
      <c r="AQ148" s="414"/>
      <c r="AR148" s="414"/>
      <c r="AS148" s="422"/>
      <c r="AT148" s="456"/>
      <c r="AU148" s="508"/>
    </row>
    <row r="149" spans="1:269" hidden="1" outlineLevel="1">
      <c r="A149" s="59" t="s">
        <v>642</v>
      </c>
      <c r="B149" s="143"/>
      <c r="C149" s="277"/>
      <c r="D149" s="277"/>
      <c r="E149" s="417">
        <f t="shared" ref="E149:AB149" si="326">E142/E$142</f>
        <v>1</v>
      </c>
      <c r="F149" s="414">
        <f t="shared" si="326"/>
        <v>1</v>
      </c>
      <c r="G149" s="414">
        <f t="shared" si="326"/>
        <v>1</v>
      </c>
      <c r="H149" s="414">
        <f t="shared" si="326"/>
        <v>1</v>
      </c>
      <c r="I149" s="414">
        <f t="shared" si="326"/>
        <v>1</v>
      </c>
      <c r="J149" s="417">
        <f t="shared" si="326"/>
        <v>1</v>
      </c>
      <c r="K149" s="414">
        <f t="shared" si="326"/>
        <v>1</v>
      </c>
      <c r="L149" s="414">
        <f t="shared" si="326"/>
        <v>1</v>
      </c>
      <c r="M149" s="414">
        <f t="shared" si="326"/>
        <v>1</v>
      </c>
      <c r="N149" s="414">
        <f t="shared" si="326"/>
        <v>1</v>
      </c>
      <c r="O149" s="417">
        <f t="shared" si="326"/>
        <v>1</v>
      </c>
      <c r="P149" s="414">
        <f t="shared" si="326"/>
        <v>1</v>
      </c>
      <c r="Q149" s="414">
        <f t="shared" si="326"/>
        <v>1</v>
      </c>
      <c r="R149" s="414">
        <f t="shared" si="326"/>
        <v>1</v>
      </c>
      <c r="S149" s="414">
        <f t="shared" si="326"/>
        <v>1</v>
      </c>
      <c r="T149" s="417">
        <f t="shared" si="326"/>
        <v>1</v>
      </c>
      <c r="U149" s="414">
        <f t="shared" si="326"/>
        <v>1</v>
      </c>
      <c r="V149" s="414">
        <f t="shared" si="326"/>
        <v>1</v>
      </c>
      <c r="W149" s="414">
        <f t="shared" si="326"/>
        <v>1</v>
      </c>
      <c r="X149" s="414">
        <f t="shared" si="326"/>
        <v>1</v>
      </c>
      <c r="Y149" s="417">
        <f t="shared" si="326"/>
        <v>1</v>
      </c>
      <c r="Z149" s="414">
        <f t="shared" si="326"/>
        <v>1</v>
      </c>
      <c r="AA149" s="414">
        <f t="shared" si="326"/>
        <v>1</v>
      </c>
      <c r="AB149" s="414">
        <f t="shared" si="326"/>
        <v>1</v>
      </c>
      <c r="AC149" s="144"/>
      <c r="AD149" s="288"/>
      <c r="AE149" s="144"/>
      <c r="AF149" s="144"/>
      <c r="AG149" s="144"/>
      <c r="AH149" s="144"/>
      <c r="AI149" s="288"/>
      <c r="AJ149" s="144"/>
      <c r="AK149" s="144"/>
      <c r="AL149" s="144"/>
      <c r="AM149" s="144"/>
      <c r="AN149" s="288"/>
      <c r="AO149" s="144"/>
      <c r="AP149" s="144"/>
      <c r="AQ149" s="144"/>
      <c r="AR149" s="144"/>
      <c r="AS149" s="288"/>
      <c r="AT149" s="428"/>
      <c r="AU149" s="508"/>
      <c r="AV149" s="143"/>
      <c r="AW149" s="143"/>
      <c r="AX149" s="143"/>
      <c r="AY149" s="143"/>
      <c r="AZ149" s="143"/>
      <c r="BA149" s="143"/>
      <c r="BB149" s="143"/>
      <c r="BC149" s="143"/>
      <c r="BD149" s="143"/>
      <c r="BE149" s="143"/>
      <c r="BF149" s="143"/>
      <c r="BG149" s="143"/>
      <c r="BH149" s="143"/>
      <c r="BI149" s="143"/>
      <c r="BJ149" s="143"/>
      <c r="BK149" s="143"/>
      <c r="BL149" s="143"/>
      <c r="BM149" s="143"/>
      <c r="BN149" s="143"/>
      <c r="BO149" s="143"/>
      <c r="BP149" s="143"/>
      <c r="BQ149" s="143"/>
      <c r="BR149" s="143"/>
      <c r="BS149" s="143"/>
      <c r="BT149" s="143"/>
      <c r="BU149" s="143"/>
      <c r="BV149" s="143"/>
      <c r="BW149" s="143"/>
      <c r="BX149" s="143"/>
      <c r="BY149" s="143"/>
      <c r="BZ149" s="143"/>
      <c r="CA149" s="143"/>
      <c r="CB149" s="143"/>
      <c r="CC149" s="143"/>
      <c r="CD149" s="143"/>
      <c r="CE149" s="143"/>
      <c r="CF149" s="143"/>
      <c r="CG149" s="143"/>
      <c r="CH149" s="143"/>
      <c r="CI149" s="143"/>
      <c r="CJ149" s="143"/>
      <c r="CK149" s="143"/>
      <c r="CL149" s="143"/>
      <c r="CM149" s="143"/>
      <c r="CN149" s="143"/>
      <c r="CO149" s="143"/>
      <c r="CP149" s="143"/>
      <c r="CQ149" s="143"/>
      <c r="CR149" s="143"/>
      <c r="CS149" s="143"/>
      <c r="CT149" s="143"/>
      <c r="CU149" s="143"/>
      <c r="CV149" s="143"/>
      <c r="CW149" s="143"/>
      <c r="CX149" s="143"/>
      <c r="CY149" s="143"/>
      <c r="CZ149" s="143"/>
      <c r="DA149" s="143"/>
      <c r="DB149" s="143"/>
      <c r="DC149" s="143"/>
      <c r="DD149" s="143"/>
      <c r="DE149" s="143"/>
      <c r="DF149" s="143"/>
      <c r="DG149" s="143"/>
      <c r="DH149" s="143"/>
      <c r="DI149" s="143"/>
      <c r="DJ149" s="143"/>
      <c r="DK149" s="143"/>
      <c r="DL149" s="143"/>
      <c r="DM149" s="143"/>
      <c r="DN149" s="143"/>
      <c r="DO149" s="143"/>
      <c r="DP149" s="143"/>
      <c r="DQ149" s="143"/>
      <c r="DR149" s="143"/>
      <c r="DS149" s="143"/>
      <c r="DT149" s="143"/>
      <c r="DU149" s="143"/>
      <c r="DV149" s="143"/>
      <c r="DW149" s="143"/>
      <c r="DX149" s="143"/>
      <c r="DY149" s="143"/>
      <c r="DZ149" s="143"/>
      <c r="EA149" s="143"/>
      <c r="EB149" s="143"/>
      <c r="EC149" s="143"/>
      <c r="ED149" s="143"/>
      <c r="EE149" s="143"/>
      <c r="EF149" s="143"/>
      <c r="EG149" s="143"/>
      <c r="EH149" s="143"/>
      <c r="EI149" s="143"/>
      <c r="EJ149" s="143"/>
      <c r="EK149" s="143"/>
      <c r="EL149" s="143"/>
      <c r="EM149" s="143"/>
      <c r="EN149" s="143"/>
      <c r="EO149" s="143"/>
      <c r="EP149" s="143"/>
      <c r="EQ149" s="143"/>
      <c r="ER149" s="143"/>
      <c r="ES149" s="143"/>
      <c r="ET149" s="143"/>
      <c r="EU149" s="143"/>
      <c r="EV149" s="143"/>
      <c r="EW149" s="143"/>
      <c r="EX149" s="143"/>
      <c r="EY149" s="143"/>
      <c r="EZ149" s="143"/>
      <c r="FA149" s="143"/>
      <c r="FB149" s="143"/>
      <c r="FC149" s="143"/>
      <c r="FD149" s="143"/>
      <c r="FE149" s="143"/>
      <c r="FF149" s="143"/>
      <c r="FG149" s="143"/>
      <c r="FH149" s="143"/>
      <c r="FI149" s="143"/>
      <c r="FJ149" s="143"/>
      <c r="FK149" s="143"/>
      <c r="FL149" s="143"/>
      <c r="FM149" s="143"/>
      <c r="FN149" s="143"/>
      <c r="FO149" s="143"/>
      <c r="FP149" s="143"/>
      <c r="FQ149" s="143"/>
      <c r="FR149" s="143"/>
      <c r="FS149" s="143"/>
      <c r="FT149" s="143"/>
      <c r="FU149" s="143"/>
      <c r="FV149" s="143"/>
      <c r="FW149" s="143"/>
      <c r="FX149" s="143"/>
      <c r="FY149" s="143"/>
      <c r="FZ149" s="143"/>
      <c r="GA149" s="143"/>
      <c r="GB149" s="143"/>
      <c r="GC149" s="143"/>
      <c r="GD149" s="143"/>
      <c r="GE149" s="143"/>
      <c r="GF149" s="143"/>
      <c r="GG149" s="143"/>
      <c r="GH149" s="143"/>
      <c r="GI149" s="143"/>
      <c r="GJ149" s="143"/>
      <c r="GK149" s="143"/>
      <c r="GL149" s="143"/>
      <c r="GM149" s="143"/>
      <c r="GN149" s="143"/>
      <c r="GO149" s="143"/>
      <c r="GP149" s="143"/>
      <c r="GQ149" s="143"/>
      <c r="GR149" s="143"/>
      <c r="GS149" s="143"/>
      <c r="GT149" s="143"/>
      <c r="GU149" s="143"/>
      <c r="GV149" s="143"/>
      <c r="GW149" s="143"/>
      <c r="GX149" s="143"/>
      <c r="GY149" s="143"/>
      <c r="GZ149" s="143"/>
      <c r="HA149" s="143"/>
      <c r="HB149" s="143"/>
      <c r="HC149" s="143"/>
      <c r="HD149" s="143"/>
      <c r="HE149" s="143"/>
      <c r="HF149" s="143"/>
      <c r="HG149" s="143"/>
      <c r="HH149" s="143"/>
      <c r="HI149" s="143"/>
      <c r="HJ149" s="143"/>
      <c r="HK149" s="143"/>
      <c r="HL149" s="143"/>
      <c r="HM149" s="143"/>
      <c r="HN149" s="143"/>
      <c r="HO149" s="143"/>
      <c r="HP149" s="143"/>
      <c r="HQ149" s="143"/>
      <c r="HR149" s="143"/>
      <c r="HS149" s="143"/>
      <c r="HT149" s="143"/>
      <c r="HU149" s="143"/>
      <c r="HV149" s="143"/>
      <c r="HW149" s="143"/>
      <c r="HX149" s="143"/>
      <c r="HY149" s="143"/>
      <c r="HZ149" s="143"/>
      <c r="IA149" s="143"/>
      <c r="IB149" s="143"/>
      <c r="IC149" s="143"/>
      <c r="ID149" s="143"/>
      <c r="IE149" s="143"/>
      <c r="IF149" s="143"/>
      <c r="IG149" s="143"/>
      <c r="IH149" s="143"/>
      <c r="II149" s="143"/>
      <c r="IJ149" s="143"/>
      <c r="IK149" s="143"/>
      <c r="IL149" s="143"/>
      <c r="IM149" s="143"/>
      <c r="IN149" s="143"/>
      <c r="IO149" s="143"/>
      <c r="IP149" s="143"/>
      <c r="IQ149" s="143"/>
      <c r="IR149" s="143"/>
      <c r="IS149" s="143"/>
      <c r="IT149" s="143"/>
      <c r="IU149" s="143"/>
      <c r="IV149" s="143"/>
      <c r="IW149" s="143"/>
      <c r="IX149" s="143"/>
      <c r="IY149" s="143"/>
      <c r="IZ149" s="143"/>
      <c r="JA149" s="143"/>
      <c r="JB149" s="143"/>
      <c r="JC149" s="143"/>
      <c r="JD149" s="143"/>
      <c r="JE149" s="143"/>
      <c r="JF149" s="143"/>
      <c r="JG149" s="143"/>
      <c r="JH149" s="143"/>
      <c r="JI149" s="143"/>
    </row>
    <row r="150" spans="1:269" collapsed="1">
      <c r="A150" s="319"/>
      <c r="B150" s="143"/>
      <c r="C150" s="277"/>
      <c r="D150" s="277"/>
      <c r="E150" s="277"/>
      <c r="F150" s="278"/>
      <c r="G150" s="278"/>
      <c r="H150" s="278"/>
      <c r="I150" s="278"/>
      <c r="J150" s="277"/>
      <c r="K150" s="278"/>
      <c r="L150" s="278"/>
      <c r="M150" s="278"/>
      <c r="N150" s="278"/>
      <c r="O150" s="277"/>
      <c r="P150" s="278"/>
      <c r="Q150" s="278"/>
      <c r="R150" s="278"/>
      <c r="S150" s="278"/>
      <c r="T150" s="277"/>
      <c r="U150" s="278"/>
      <c r="V150" s="278"/>
      <c r="W150" s="278"/>
      <c r="X150" s="278"/>
      <c r="Y150" s="277"/>
      <c r="Z150" s="278"/>
      <c r="AA150" s="278"/>
      <c r="AB150" s="278"/>
      <c r="AC150" s="144"/>
      <c r="AD150" s="288"/>
      <c r="AE150" s="144"/>
      <c r="AF150" s="144"/>
      <c r="AG150" s="144"/>
      <c r="AH150" s="144"/>
      <c r="AI150" s="288"/>
      <c r="AJ150" s="144"/>
      <c r="AK150" s="144"/>
      <c r="AL150" s="144"/>
      <c r="AM150" s="144"/>
      <c r="AN150" s="288"/>
      <c r="AO150" s="144"/>
      <c r="AP150" s="144"/>
      <c r="AQ150" s="144"/>
      <c r="AR150" s="144"/>
      <c r="AS150" s="288"/>
      <c r="AT150" s="428"/>
      <c r="AU150" s="508"/>
      <c r="AV150" s="143"/>
      <c r="AW150" s="143"/>
      <c r="AX150" s="143"/>
      <c r="AY150" s="143"/>
      <c r="AZ150" s="143"/>
      <c r="BA150" s="143"/>
      <c r="BB150" s="143"/>
      <c r="BC150" s="143"/>
      <c r="BD150" s="143"/>
      <c r="BE150" s="143"/>
      <c r="BF150" s="143"/>
      <c r="BG150" s="143"/>
      <c r="BH150" s="143"/>
      <c r="BI150" s="143"/>
      <c r="BJ150" s="143"/>
      <c r="BK150" s="143"/>
      <c r="BL150" s="143"/>
      <c r="BM150" s="143"/>
      <c r="BN150" s="143"/>
      <c r="BO150" s="143"/>
      <c r="BP150" s="143"/>
      <c r="BQ150" s="143"/>
      <c r="BR150" s="143"/>
      <c r="BS150" s="143"/>
      <c r="BT150" s="143"/>
      <c r="BU150" s="143"/>
      <c r="BV150" s="143"/>
      <c r="BW150" s="143"/>
      <c r="BX150" s="143"/>
      <c r="BY150" s="143"/>
      <c r="BZ150" s="143"/>
      <c r="CA150" s="143"/>
      <c r="CB150" s="143"/>
      <c r="CC150" s="143"/>
      <c r="CD150" s="143"/>
      <c r="CE150" s="143"/>
      <c r="CF150" s="143"/>
      <c r="CG150" s="143"/>
      <c r="CH150" s="143"/>
      <c r="CI150" s="143"/>
      <c r="CJ150" s="143"/>
      <c r="CK150" s="143"/>
      <c r="CL150" s="143"/>
      <c r="CM150" s="143"/>
      <c r="CN150" s="143"/>
      <c r="CO150" s="143"/>
      <c r="CP150" s="143"/>
      <c r="CQ150" s="143"/>
      <c r="CR150" s="143"/>
      <c r="CS150" s="143"/>
      <c r="CT150" s="143"/>
      <c r="CU150" s="143"/>
      <c r="CV150" s="143"/>
      <c r="CW150" s="143"/>
      <c r="CX150" s="143"/>
      <c r="CY150" s="143"/>
      <c r="CZ150" s="143"/>
      <c r="DA150" s="143"/>
      <c r="DB150" s="143"/>
      <c r="DC150" s="143"/>
      <c r="DD150" s="143"/>
      <c r="DE150" s="143"/>
      <c r="DF150" s="143"/>
      <c r="DG150" s="143"/>
      <c r="DH150" s="143"/>
      <c r="DI150" s="143"/>
      <c r="DJ150" s="143"/>
      <c r="DK150" s="143"/>
      <c r="DL150" s="143"/>
      <c r="DM150" s="143"/>
      <c r="DN150" s="143"/>
      <c r="DO150" s="143"/>
      <c r="DP150" s="143"/>
      <c r="DQ150" s="143"/>
      <c r="DR150" s="143"/>
      <c r="DS150" s="143"/>
      <c r="DT150" s="143"/>
      <c r="DU150" s="143"/>
      <c r="DV150" s="143"/>
      <c r="DW150" s="143"/>
      <c r="DX150" s="143"/>
      <c r="DY150" s="143"/>
      <c r="DZ150" s="143"/>
      <c r="EA150" s="143"/>
      <c r="EB150" s="143"/>
      <c r="EC150" s="143"/>
      <c r="ED150" s="143"/>
      <c r="EE150" s="143"/>
      <c r="EF150" s="143"/>
      <c r="EG150" s="143"/>
      <c r="EH150" s="143"/>
      <c r="EI150" s="143"/>
      <c r="EJ150" s="143"/>
      <c r="EK150" s="143"/>
      <c r="EL150" s="143"/>
      <c r="EM150" s="143"/>
      <c r="EN150" s="143"/>
      <c r="EO150" s="143"/>
      <c r="EP150" s="143"/>
      <c r="EQ150" s="143"/>
      <c r="ER150" s="143"/>
      <c r="ES150" s="143"/>
      <c r="ET150" s="143"/>
      <c r="EU150" s="143"/>
      <c r="EV150" s="143"/>
      <c r="EW150" s="143"/>
      <c r="EX150" s="143"/>
      <c r="EY150" s="143"/>
      <c r="EZ150" s="143"/>
      <c r="FA150" s="143"/>
      <c r="FB150" s="143"/>
      <c r="FC150" s="143"/>
      <c r="FD150" s="143"/>
      <c r="FE150" s="143"/>
      <c r="FF150" s="143"/>
      <c r="FG150" s="143"/>
      <c r="FH150" s="143"/>
      <c r="FI150" s="143"/>
      <c r="FJ150" s="143"/>
      <c r="FK150" s="143"/>
      <c r="FL150" s="143"/>
      <c r="FM150" s="143"/>
      <c r="FN150" s="143"/>
      <c r="FO150" s="143"/>
      <c r="FP150" s="143"/>
      <c r="FQ150" s="143"/>
      <c r="FR150" s="143"/>
      <c r="FS150" s="143"/>
      <c r="FT150" s="143"/>
      <c r="FU150" s="143"/>
      <c r="FV150" s="143"/>
      <c r="FW150" s="143"/>
      <c r="FX150" s="143"/>
      <c r="FY150" s="143"/>
      <c r="FZ150" s="143"/>
      <c r="GA150" s="143"/>
      <c r="GB150" s="143"/>
      <c r="GC150" s="143"/>
      <c r="GD150" s="143"/>
      <c r="GE150" s="143"/>
      <c r="GF150" s="143"/>
      <c r="GG150" s="143"/>
      <c r="GH150" s="143"/>
      <c r="GI150" s="143"/>
      <c r="GJ150" s="143"/>
      <c r="GK150" s="143"/>
      <c r="GL150" s="143"/>
      <c r="GM150" s="143"/>
      <c r="GN150" s="143"/>
      <c r="GO150" s="143"/>
      <c r="GP150" s="143"/>
      <c r="GQ150" s="143"/>
      <c r="GR150" s="143"/>
      <c r="GS150" s="143"/>
      <c r="GT150" s="143"/>
      <c r="GU150" s="143"/>
      <c r="GV150" s="143"/>
      <c r="GW150" s="143"/>
      <c r="GX150" s="143"/>
      <c r="GY150" s="143"/>
      <c r="GZ150" s="143"/>
      <c r="HA150" s="143"/>
      <c r="HB150" s="143"/>
      <c r="HC150" s="143"/>
      <c r="HD150" s="143"/>
      <c r="HE150" s="143"/>
      <c r="HF150" s="143"/>
      <c r="HG150" s="143"/>
      <c r="HH150" s="143"/>
      <c r="HI150" s="143"/>
      <c r="HJ150" s="143"/>
      <c r="HK150" s="143"/>
      <c r="HL150" s="143"/>
      <c r="HM150" s="143"/>
      <c r="HN150" s="143"/>
      <c r="HO150" s="143"/>
      <c r="HP150" s="143"/>
      <c r="HQ150" s="143"/>
      <c r="HR150" s="143"/>
      <c r="HS150" s="143"/>
      <c r="HT150" s="143"/>
      <c r="HU150" s="143"/>
      <c r="HV150" s="143"/>
      <c r="HW150" s="143"/>
      <c r="HX150" s="143"/>
      <c r="HY150" s="143"/>
      <c r="HZ150" s="143"/>
      <c r="IA150" s="143"/>
      <c r="IB150" s="143"/>
      <c r="IC150" s="143"/>
      <c r="ID150" s="143"/>
      <c r="IE150" s="143"/>
      <c r="IF150" s="143"/>
      <c r="IG150" s="143"/>
      <c r="IH150" s="143"/>
      <c r="II150" s="143"/>
      <c r="IJ150" s="143"/>
      <c r="IK150" s="143"/>
      <c r="IL150" s="143"/>
      <c r="IM150" s="143"/>
      <c r="IN150" s="143"/>
      <c r="IO150" s="143"/>
      <c r="IP150" s="143"/>
      <c r="IQ150" s="143"/>
      <c r="IR150" s="143"/>
      <c r="IS150" s="143"/>
      <c r="IT150" s="143"/>
      <c r="IU150" s="143"/>
      <c r="IV150" s="143"/>
      <c r="IW150" s="143"/>
      <c r="IX150" s="143"/>
      <c r="IY150" s="143"/>
      <c r="IZ150" s="143"/>
      <c r="JA150" s="143"/>
      <c r="JB150" s="143"/>
      <c r="JC150" s="143"/>
      <c r="JD150" s="143"/>
      <c r="JE150" s="143"/>
      <c r="JF150" s="143"/>
      <c r="JG150" s="143"/>
      <c r="JH150" s="143"/>
      <c r="JI150" s="143"/>
    </row>
    <row r="151" spans="1:269">
      <c r="A151" s="333"/>
      <c r="C151" s="62"/>
      <c r="D151" s="62"/>
      <c r="E151" s="62"/>
      <c r="F151" s="335"/>
      <c r="G151" s="335"/>
      <c r="H151" s="335"/>
      <c r="I151" s="335"/>
      <c r="J151" s="62"/>
      <c r="K151" s="335"/>
      <c r="L151" s="335"/>
      <c r="M151" s="335"/>
      <c r="N151" s="335"/>
      <c r="O151" s="62"/>
      <c r="P151" s="335"/>
      <c r="Q151" s="335"/>
      <c r="R151" s="335"/>
      <c r="S151" s="335"/>
      <c r="T151" s="62"/>
      <c r="U151" s="335"/>
      <c r="V151" s="335"/>
      <c r="W151" s="335"/>
      <c r="X151" s="335"/>
      <c r="Y151" s="62"/>
      <c r="Z151" s="335"/>
      <c r="AA151" s="335"/>
      <c r="AB151" s="335"/>
      <c r="AC151" s="335"/>
      <c r="AD151" s="76"/>
      <c r="AE151" s="5"/>
      <c r="AF151" s="5"/>
      <c r="AG151" s="5"/>
      <c r="AH151" s="5"/>
      <c r="AI151" s="76"/>
      <c r="AJ151" s="5"/>
      <c r="AK151" s="5"/>
      <c r="AL151" s="5"/>
      <c r="AM151" s="5"/>
      <c r="AN151" s="76"/>
      <c r="AO151" s="5"/>
      <c r="AP151" s="5"/>
      <c r="AQ151" s="5"/>
      <c r="AR151" s="5"/>
      <c r="AS151" s="76"/>
      <c r="AT151" s="462"/>
      <c r="AU151" s="508"/>
      <c r="AV151" s="143"/>
      <c r="AW151" s="143"/>
      <c r="AX151" s="143"/>
      <c r="AY151" s="143"/>
      <c r="AZ151" s="143"/>
      <c r="BA151" s="143"/>
      <c r="BB151" s="143"/>
      <c r="BC151" s="143"/>
      <c r="BD151" s="143"/>
      <c r="BE151" s="143"/>
      <c r="BF151" s="143"/>
      <c r="BG151" s="143"/>
      <c r="BH151" s="143"/>
      <c r="BI151" s="143"/>
      <c r="BJ151" s="143"/>
      <c r="BK151" s="143"/>
      <c r="BL151" s="143"/>
      <c r="BM151" s="143"/>
      <c r="BN151" s="143"/>
      <c r="BO151" s="143"/>
      <c r="BP151" s="143"/>
      <c r="BQ151" s="143"/>
    </row>
    <row r="152" spans="1:269" s="315" customFormat="1">
      <c r="A152" s="409"/>
      <c r="B152" s="340"/>
      <c r="C152" s="388"/>
      <c r="D152" s="388"/>
      <c r="E152" s="388"/>
      <c r="F152" s="388"/>
      <c r="G152" s="388"/>
      <c r="H152" s="388"/>
      <c r="I152" s="388"/>
      <c r="J152" s="388"/>
      <c r="K152" s="388"/>
      <c r="L152" s="388"/>
      <c r="M152" s="388"/>
      <c r="N152" s="388"/>
      <c r="O152" s="388"/>
      <c r="P152" s="388"/>
      <c r="Q152" s="388"/>
      <c r="R152" s="388"/>
      <c r="S152" s="388"/>
      <c r="T152" s="388"/>
      <c r="U152" s="388"/>
      <c r="V152" s="388"/>
      <c r="W152" s="388"/>
      <c r="X152" s="388"/>
      <c r="Y152" s="388"/>
      <c r="Z152" s="388"/>
      <c r="AA152" s="388"/>
      <c r="AB152" s="408"/>
      <c r="AC152" s="55"/>
      <c r="AD152" s="55"/>
      <c r="AE152" s="55"/>
      <c r="AF152" s="55"/>
      <c r="AG152" s="55"/>
      <c r="AH152" s="55"/>
      <c r="AI152" s="55"/>
      <c r="AJ152" s="55"/>
      <c r="AK152" s="55"/>
      <c r="AL152" s="55"/>
      <c r="AM152" s="55"/>
      <c r="AN152" s="55"/>
      <c r="AO152" s="55"/>
      <c r="AP152" s="55"/>
      <c r="AQ152" s="55"/>
      <c r="AR152" s="55"/>
      <c r="AS152" s="55"/>
      <c r="AT152" s="317"/>
      <c r="AU152" s="506"/>
      <c r="AV152" s="428"/>
      <c r="AW152" s="428"/>
      <c r="AX152" s="428"/>
      <c r="BK152" s="318"/>
      <c r="BL152" s="318"/>
      <c r="BM152" s="318"/>
      <c r="BN152" s="318"/>
      <c r="BO152" s="318"/>
      <c r="BP152" s="318"/>
      <c r="BQ152" s="318"/>
      <c r="BR152" s="318"/>
      <c r="BS152" s="318"/>
      <c r="BT152" s="318"/>
      <c r="BU152" s="318"/>
      <c r="BV152" s="318"/>
      <c r="BW152" s="318"/>
      <c r="BX152" s="318"/>
      <c r="BY152" s="318"/>
      <c r="BZ152" s="318"/>
      <c r="CA152" s="318"/>
      <c r="CB152" s="318"/>
      <c r="CC152" s="318"/>
      <c r="CD152" s="318"/>
      <c r="CE152" s="318"/>
      <c r="CF152" s="318"/>
      <c r="CG152" s="318"/>
      <c r="CH152" s="318"/>
      <c r="CI152" s="318"/>
      <c r="CJ152" s="318"/>
      <c r="CK152" s="318"/>
      <c r="CL152" s="318"/>
      <c r="CM152" s="318"/>
      <c r="CN152" s="318"/>
      <c r="CO152" s="318"/>
      <c r="CP152" s="318"/>
      <c r="CQ152" s="318"/>
      <c r="CR152" s="318"/>
      <c r="CS152" s="318"/>
      <c r="CT152" s="318"/>
      <c r="CU152" s="318"/>
      <c r="CV152" s="318"/>
      <c r="CW152" s="318"/>
      <c r="CX152" s="318"/>
      <c r="CY152" s="318"/>
      <c r="CZ152" s="318"/>
      <c r="DA152" s="318"/>
      <c r="DB152" s="318"/>
      <c r="DC152" s="318"/>
      <c r="DD152" s="318"/>
      <c r="DE152" s="318"/>
      <c r="DF152" s="318"/>
      <c r="DG152" s="318"/>
      <c r="DH152" s="318"/>
      <c r="DI152" s="318"/>
      <c r="DJ152" s="318"/>
      <c r="DK152" s="318"/>
      <c r="DL152" s="318"/>
      <c r="DM152" s="318"/>
      <c r="DN152" s="318"/>
      <c r="DO152" s="318"/>
      <c r="DP152" s="318"/>
      <c r="DQ152" s="318"/>
      <c r="DR152" s="318"/>
      <c r="DS152" s="318"/>
      <c r="DT152" s="318"/>
      <c r="DU152" s="318"/>
      <c r="DV152" s="318"/>
      <c r="DW152" s="318"/>
      <c r="DX152" s="318"/>
      <c r="DY152" s="318"/>
      <c r="DZ152" s="318"/>
      <c r="EA152" s="318"/>
      <c r="EB152" s="318"/>
      <c r="EC152" s="318"/>
      <c r="ED152" s="318"/>
      <c r="EE152" s="318"/>
      <c r="EF152" s="318"/>
      <c r="EG152" s="318"/>
      <c r="EH152" s="318"/>
      <c r="EI152" s="318"/>
      <c r="EJ152" s="318"/>
      <c r="EK152" s="318"/>
      <c r="EL152" s="318"/>
      <c r="EM152" s="318"/>
      <c r="EN152" s="318"/>
      <c r="EO152" s="318"/>
      <c r="EP152" s="318"/>
      <c r="EQ152" s="318"/>
      <c r="ER152" s="318"/>
      <c r="ES152" s="318"/>
      <c r="ET152" s="318"/>
      <c r="EU152" s="318"/>
      <c r="EV152" s="318"/>
      <c r="EW152" s="318"/>
      <c r="EX152" s="318"/>
      <c r="EY152" s="318"/>
      <c r="EZ152" s="318"/>
      <c r="FA152" s="318"/>
      <c r="FB152" s="318"/>
      <c r="FC152" s="318"/>
      <c r="FD152" s="318"/>
      <c r="FE152" s="318"/>
      <c r="FF152" s="318"/>
      <c r="FG152" s="318"/>
      <c r="FH152" s="318"/>
      <c r="FI152" s="318"/>
      <c r="FJ152" s="318"/>
      <c r="FK152" s="318"/>
      <c r="FL152" s="318"/>
      <c r="FM152" s="318"/>
      <c r="FN152" s="318"/>
      <c r="FO152" s="318"/>
      <c r="FP152" s="318"/>
      <c r="FQ152" s="318"/>
      <c r="FR152" s="318"/>
      <c r="FS152" s="318"/>
      <c r="FT152" s="318"/>
      <c r="FU152" s="318"/>
      <c r="FV152" s="318"/>
      <c r="FW152" s="318"/>
      <c r="FX152" s="318"/>
      <c r="FY152" s="318"/>
      <c r="FZ152" s="318"/>
      <c r="GA152" s="318"/>
      <c r="GB152" s="318"/>
      <c r="GC152" s="318"/>
      <c r="GD152" s="318"/>
      <c r="GE152" s="318"/>
      <c r="GF152" s="318"/>
      <c r="GG152" s="318"/>
      <c r="GH152" s="318"/>
      <c r="GI152" s="318"/>
      <c r="GJ152" s="318"/>
      <c r="GK152" s="318"/>
      <c r="GL152" s="318"/>
      <c r="GM152" s="318"/>
      <c r="GN152" s="318"/>
      <c r="GO152" s="318"/>
      <c r="GP152" s="318"/>
      <c r="GQ152" s="318"/>
      <c r="GR152" s="318"/>
      <c r="GS152" s="318"/>
      <c r="GT152" s="318"/>
      <c r="GU152" s="318"/>
      <c r="GV152" s="318"/>
      <c r="GW152" s="318"/>
      <c r="GX152" s="318"/>
      <c r="GY152" s="318"/>
      <c r="GZ152" s="318"/>
      <c r="HA152" s="318"/>
      <c r="HB152" s="318"/>
      <c r="HC152" s="318"/>
      <c r="HD152" s="318"/>
      <c r="HE152" s="318"/>
      <c r="HF152" s="318"/>
      <c r="HG152" s="318"/>
      <c r="HH152" s="318"/>
      <c r="HI152" s="318"/>
      <c r="HJ152" s="318"/>
      <c r="HK152" s="318"/>
      <c r="HL152" s="318"/>
      <c r="HM152" s="318"/>
      <c r="HN152" s="318"/>
      <c r="HO152" s="318"/>
      <c r="HP152" s="318"/>
      <c r="HQ152" s="318"/>
      <c r="HR152" s="318"/>
      <c r="HS152" s="318"/>
      <c r="HT152" s="318"/>
      <c r="HU152" s="318"/>
      <c r="HV152" s="318"/>
      <c r="HW152" s="318"/>
      <c r="HX152" s="318"/>
      <c r="HY152" s="318"/>
      <c r="HZ152" s="318"/>
      <c r="IA152" s="318"/>
      <c r="IB152" s="318"/>
      <c r="IC152" s="318"/>
      <c r="ID152" s="318"/>
      <c r="IE152" s="318"/>
      <c r="IF152" s="318"/>
      <c r="IG152" s="318"/>
      <c r="IH152" s="318"/>
      <c r="II152" s="318"/>
      <c r="IJ152" s="318"/>
      <c r="IK152" s="318"/>
      <c r="IL152" s="318"/>
      <c r="IM152" s="318"/>
      <c r="IN152" s="318"/>
      <c r="IO152" s="318"/>
      <c r="IP152" s="318"/>
      <c r="IQ152" s="318"/>
      <c r="IR152" s="318"/>
      <c r="IS152" s="318"/>
      <c r="IT152" s="318"/>
      <c r="IU152" s="318"/>
      <c r="IV152" s="318"/>
      <c r="IW152" s="318"/>
      <c r="IX152" s="318"/>
      <c r="IY152" s="318"/>
      <c r="IZ152" s="318"/>
      <c r="JA152" s="318"/>
      <c r="JB152" s="318"/>
      <c r="JC152" s="318"/>
      <c r="JD152" s="318"/>
      <c r="JE152" s="318"/>
      <c r="JF152" s="318"/>
      <c r="JG152" s="318"/>
      <c r="JH152" s="318"/>
      <c r="JI152" s="318"/>
    </row>
    <row r="153" spans="1:269" s="315" customFormat="1" ht="26">
      <c r="A153" s="410" t="s">
        <v>203</v>
      </c>
      <c r="B153" s="340"/>
      <c r="C153" s="388"/>
      <c r="D153" s="388"/>
      <c r="E153" s="388"/>
      <c r="F153" s="388"/>
      <c r="G153" s="388"/>
      <c r="H153" s="388"/>
      <c r="I153" s="388"/>
      <c r="J153" s="388"/>
      <c r="K153" s="388"/>
      <c r="L153" s="388"/>
      <c r="M153" s="388"/>
      <c r="N153" s="388"/>
      <c r="O153" s="388"/>
      <c r="P153" s="388"/>
      <c r="Q153" s="388"/>
      <c r="R153" s="388"/>
      <c r="S153" s="388"/>
      <c r="T153" s="388"/>
      <c r="U153" s="388"/>
      <c r="V153" s="388"/>
      <c r="W153" s="388"/>
      <c r="X153" s="388"/>
      <c r="Y153" s="388"/>
      <c r="Z153" s="388"/>
      <c r="AA153" s="388"/>
      <c r="AB153" s="408"/>
      <c r="AC153" s="55"/>
      <c r="AD153" s="55"/>
      <c r="AE153" s="55"/>
      <c r="AF153" s="55"/>
      <c r="AG153" s="55"/>
      <c r="AH153" s="55"/>
      <c r="AI153" s="55"/>
      <c r="AJ153" s="55"/>
      <c r="AK153" s="55"/>
      <c r="AL153" s="55"/>
      <c r="AM153" s="55"/>
      <c r="AN153" s="55"/>
      <c r="AO153" s="55"/>
      <c r="AP153" s="55"/>
      <c r="AQ153" s="55"/>
      <c r="AR153" s="55"/>
      <c r="AS153" s="55"/>
      <c r="AT153" s="317"/>
      <c r="AU153" s="506"/>
      <c r="AV153" s="428"/>
      <c r="AW153" s="428"/>
      <c r="AX153" s="428"/>
      <c r="BK153" s="318"/>
      <c r="BL153" s="318"/>
      <c r="BM153" s="318"/>
      <c r="BN153" s="318"/>
      <c r="BO153" s="318"/>
      <c r="BP153" s="318"/>
      <c r="BQ153" s="318"/>
      <c r="BR153" s="318"/>
      <c r="BS153" s="318"/>
      <c r="BT153" s="318"/>
      <c r="BU153" s="318"/>
      <c r="BV153" s="318"/>
      <c r="BW153" s="318"/>
      <c r="BX153" s="318"/>
      <c r="BY153" s="318"/>
      <c r="BZ153" s="318"/>
      <c r="CA153" s="318"/>
      <c r="CB153" s="318"/>
      <c r="CC153" s="318"/>
      <c r="CD153" s="318"/>
      <c r="CE153" s="318"/>
      <c r="CF153" s="318"/>
      <c r="CG153" s="318"/>
      <c r="CH153" s="318"/>
      <c r="CI153" s="318"/>
      <c r="CJ153" s="318"/>
      <c r="CK153" s="318"/>
      <c r="CL153" s="318"/>
      <c r="CM153" s="318"/>
      <c r="CN153" s="318"/>
      <c r="CO153" s="318"/>
      <c r="CP153" s="318"/>
      <c r="CQ153" s="318"/>
      <c r="CR153" s="318"/>
      <c r="CS153" s="318"/>
      <c r="CT153" s="318"/>
      <c r="CU153" s="318"/>
      <c r="CV153" s="318"/>
      <c r="CW153" s="318"/>
      <c r="CX153" s="318"/>
      <c r="CY153" s="318"/>
      <c r="CZ153" s="318"/>
      <c r="DA153" s="318"/>
      <c r="DB153" s="318"/>
      <c r="DC153" s="318"/>
      <c r="DD153" s="318"/>
      <c r="DE153" s="318"/>
      <c r="DF153" s="318"/>
      <c r="DG153" s="318"/>
      <c r="DH153" s="318"/>
      <c r="DI153" s="318"/>
      <c r="DJ153" s="318"/>
      <c r="DK153" s="318"/>
      <c r="DL153" s="318"/>
      <c r="DM153" s="318"/>
      <c r="DN153" s="318"/>
      <c r="DO153" s="318"/>
      <c r="DP153" s="318"/>
      <c r="DQ153" s="318"/>
      <c r="DR153" s="318"/>
      <c r="DS153" s="318"/>
      <c r="DT153" s="318"/>
      <c r="DU153" s="318"/>
      <c r="DV153" s="318"/>
      <c r="DW153" s="318"/>
      <c r="DX153" s="318"/>
      <c r="DY153" s="318"/>
      <c r="DZ153" s="318"/>
      <c r="EA153" s="318"/>
      <c r="EB153" s="318"/>
      <c r="EC153" s="318"/>
      <c r="ED153" s="318"/>
      <c r="EE153" s="318"/>
      <c r="EF153" s="318"/>
      <c r="EG153" s="318"/>
      <c r="EH153" s="318"/>
      <c r="EI153" s="318"/>
      <c r="EJ153" s="318"/>
      <c r="EK153" s="318"/>
      <c r="EL153" s="318"/>
      <c r="EM153" s="318"/>
      <c r="EN153" s="318"/>
      <c r="EO153" s="318"/>
      <c r="EP153" s="318"/>
      <c r="EQ153" s="318"/>
      <c r="ER153" s="318"/>
      <c r="ES153" s="318"/>
      <c r="ET153" s="318"/>
      <c r="EU153" s="318"/>
      <c r="EV153" s="318"/>
      <c r="EW153" s="318"/>
      <c r="EX153" s="318"/>
      <c r="EY153" s="318"/>
      <c r="EZ153" s="318"/>
      <c r="FA153" s="318"/>
      <c r="FB153" s="318"/>
      <c r="FC153" s="318"/>
      <c r="FD153" s="318"/>
      <c r="FE153" s="318"/>
      <c r="FF153" s="318"/>
      <c r="FG153" s="318"/>
      <c r="FH153" s="318"/>
      <c r="FI153" s="318"/>
      <c r="FJ153" s="318"/>
      <c r="FK153" s="318"/>
      <c r="FL153" s="318"/>
      <c r="FM153" s="318"/>
      <c r="FN153" s="318"/>
      <c r="FO153" s="318"/>
      <c r="FP153" s="318"/>
      <c r="FQ153" s="318"/>
      <c r="FR153" s="318"/>
      <c r="FS153" s="318"/>
      <c r="FT153" s="318"/>
      <c r="FU153" s="318"/>
      <c r="FV153" s="318"/>
      <c r="FW153" s="318"/>
      <c r="FX153" s="318"/>
      <c r="FY153" s="318"/>
      <c r="FZ153" s="318"/>
      <c r="GA153" s="318"/>
      <c r="GB153" s="318"/>
      <c r="GC153" s="318"/>
      <c r="GD153" s="318"/>
      <c r="GE153" s="318"/>
      <c r="GF153" s="318"/>
      <c r="GG153" s="318"/>
      <c r="GH153" s="318"/>
      <c r="GI153" s="318"/>
      <c r="GJ153" s="318"/>
      <c r="GK153" s="318"/>
      <c r="GL153" s="318"/>
      <c r="GM153" s="318"/>
      <c r="GN153" s="318"/>
      <c r="GO153" s="318"/>
      <c r="GP153" s="318"/>
      <c r="GQ153" s="318"/>
      <c r="GR153" s="318"/>
      <c r="GS153" s="318"/>
      <c r="GT153" s="318"/>
      <c r="GU153" s="318"/>
      <c r="GV153" s="318"/>
      <c r="GW153" s="318"/>
      <c r="GX153" s="318"/>
      <c r="GY153" s="318"/>
      <c r="GZ153" s="318"/>
      <c r="HA153" s="318"/>
      <c r="HB153" s="318"/>
      <c r="HC153" s="318"/>
      <c r="HD153" s="318"/>
      <c r="HE153" s="318"/>
      <c r="HF153" s="318"/>
      <c r="HG153" s="318"/>
      <c r="HH153" s="318"/>
      <c r="HI153" s="318"/>
      <c r="HJ153" s="318"/>
      <c r="HK153" s="318"/>
      <c r="HL153" s="318"/>
      <c r="HM153" s="318"/>
      <c r="HN153" s="318"/>
      <c r="HO153" s="318"/>
      <c r="HP153" s="318"/>
      <c r="HQ153" s="318"/>
      <c r="HR153" s="318"/>
      <c r="HS153" s="318"/>
      <c r="HT153" s="318"/>
      <c r="HU153" s="318"/>
      <c r="HV153" s="318"/>
      <c r="HW153" s="318"/>
      <c r="HX153" s="318"/>
      <c r="HY153" s="318"/>
      <c r="HZ153" s="318"/>
      <c r="IA153" s="318"/>
      <c r="IB153" s="318"/>
      <c r="IC153" s="318"/>
      <c r="ID153" s="318"/>
      <c r="IE153" s="318"/>
      <c r="IF153" s="318"/>
      <c r="IG153" s="318"/>
      <c r="IH153" s="318"/>
      <c r="II153" s="318"/>
      <c r="IJ153" s="318"/>
      <c r="IK153" s="318"/>
      <c r="IL153" s="318"/>
      <c r="IM153" s="318"/>
      <c r="IN153" s="318"/>
      <c r="IO153" s="318"/>
      <c r="IP153" s="318"/>
      <c r="IQ153" s="318"/>
      <c r="IR153" s="318"/>
      <c r="IS153" s="318"/>
      <c r="IT153" s="318"/>
      <c r="IU153" s="318"/>
      <c r="IV153" s="318"/>
      <c r="IW153" s="318"/>
      <c r="IX153" s="318"/>
      <c r="IY153" s="318"/>
      <c r="IZ153" s="318"/>
      <c r="JA153" s="318"/>
      <c r="JB153" s="318"/>
      <c r="JC153" s="318"/>
      <c r="JD153" s="318"/>
      <c r="JE153" s="318"/>
      <c r="JF153" s="318"/>
      <c r="JG153" s="318"/>
      <c r="JH153" s="318"/>
      <c r="JI153" s="318"/>
    </row>
    <row r="154" spans="1:269" s="315" customFormat="1">
      <c r="A154" s="409"/>
      <c r="B154" s="340"/>
      <c r="C154" s="388"/>
      <c r="D154" s="388"/>
      <c r="E154" s="388"/>
      <c r="F154" s="388"/>
      <c r="G154" s="388"/>
      <c r="H154" s="388"/>
      <c r="I154" s="388"/>
      <c r="J154" s="388"/>
      <c r="K154" s="388"/>
      <c r="L154" s="388"/>
      <c r="M154" s="388"/>
      <c r="N154" s="388"/>
      <c r="O154" s="388"/>
      <c r="P154" s="388"/>
      <c r="Q154" s="388"/>
      <c r="R154" s="388"/>
      <c r="S154" s="388"/>
      <c r="T154" s="388"/>
      <c r="U154" s="388"/>
      <c r="V154" s="388"/>
      <c r="W154" s="388"/>
      <c r="X154" s="388"/>
      <c r="Y154" s="388"/>
      <c r="Z154" s="388"/>
      <c r="AA154" s="388"/>
      <c r="AB154" s="408"/>
      <c r="AC154" s="55"/>
      <c r="AD154" s="55"/>
      <c r="AE154" s="55"/>
      <c r="AF154" s="55"/>
      <c r="AG154" s="55"/>
      <c r="AH154" s="55"/>
      <c r="AI154" s="55"/>
      <c r="AJ154" s="55"/>
      <c r="AK154" s="55"/>
      <c r="AL154" s="55"/>
      <c r="AM154" s="55"/>
      <c r="AN154" s="55"/>
      <c r="AO154" s="55"/>
      <c r="AP154" s="55"/>
      <c r="AQ154" s="55"/>
      <c r="AR154" s="55"/>
      <c r="AS154" s="55"/>
      <c r="AT154" s="317"/>
      <c r="AU154" s="506"/>
      <c r="AV154" s="428"/>
      <c r="AW154" s="428"/>
      <c r="AX154" s="428"/>
      <c r="BK154" s="318"/>
      <c r="BL154" s="318"/>
      <c r="BM154" s="318"/>
      <c r="BN154" s="318"/>
      <c r="BO154" s="318"/>
      <c r="BP154" s="318"/>
      <c r="BQ154" s="318"/>
      <c r="BR154" s="318"/>
      <c r="BS154" s="318"/>
      <c r="BT154" s="318"/>
      <c r="BU154" s="318"/>
      <c r="BV154" s="318"/>
      <c r="BW154" s="318"/>
      <c r="BX154" s="318"/>
      <c r="BY154" s="318"/>
      <c r="BZ154" s="318"/>
      <c r="CA154" s="318"/>
      <c r="CB154" s="318"/>
      <c r="CC154" s="318"/>
      <c r="CD154" s="318"/>
      <c r="CE154" s="318"/>
      <c r="CF154" s="318"/>
      <c r="CG154" s="318"/>
      <c r="CH154" s="318"/>
      <c r="CI154" s="318"/>
      <c r="CJ154" s="318"/>
      <c r="CK154" s="318"/>
      <c r="CL154" s="318"/>
      <c r="CM154" s="318"/>
      <c r="CN154" s="318"/>
      <c r="CO154" s="318"/>
      <c r="CP154" s="318"/>
      <c r="CQ154" s="318"/>
      <c r="CR154" s="318"/>
      <c r="CS154" s="318"/>
      <c r="CT154" s="318"/>
      <c r="CU154" s="318"/>
      <c r="CV154" s="318"/>
      <c r="CW154" s="318"/>
      <c r="CX154" s="318"/>
      <c r="CY154" s="318"/>
      <c r="CZ154" s="318"/>
      <c r="DA154" s="318"/>
      <c r="DB154" s="318"/>
      <c r="DC154" s="318"/>
      <c r="DD154" s="318"/>
      <c r="DE154" s="318"/>
      <c r="DF154" s="318"/>
      <c r="DG154" s="318"/>
      <c r="DH154" s="318"/>
      <c r="DI154" s="318"/>
      <c r="DJ154" s="318"/>
      <c r="DK154" s="318"/>
      <c r="DL154" s="318"/>
      <c r="DM154" s="318"/>
      <c r="DN154" s="318"/>
      <c r="DO154" s="318"/>
      <c r="DP154" s="318"/>
      <c r="DQ154" s="318"/>
      <c r="DR154" s="318"/>
      <c r="DS154" s="318"/>
      <c r="DT154" s="318"/>
      <c r="DU154" s="318"/>
      <c r="DV154" s="318"/>
      <c r="DW154" s="318"/>
      <c r="DX154" s="318"/>
      <c r="DY154" s="318"/>
      <c r="DZ154" s="318"/>
      <c r="EA154" s="318"/>
      <c r="EB154" s="318"/>
      <c r="EC154" s="318"/>
      <c r="ED154" s="318"/>
      <c r="EE154" s="318"/>
      <c r="EF154" s="318"/>
      <c r="EG154" s="318"/>
      <c r="EH154" s="318"/>
      <c r="EI154" s="318"/>
      <c r="EJ154" s="318"/>
      <c r="EK154" s="318"/>
      <c r="EL154" s="318"/>
      <c r="EM154" s="318"/>
      <c r="EN154" s="318"/>
      <c r="EO154" s="318"/>
      <c r="EP154" s="318"/>
      <c r="EQ154" s="318"/>
      <c r="ER154" s="318"/>
      <c r="ES154" s="318"/>
      <c r="ET154" s="318"/>
      <c r="EU154" s="318"/>
      <c r="EV154" s="318"/>
      <c r="EW154" s="318"/>
      <c r="EX154" s="318"/>
      <c r="EY154" s="318"/>
      <c r="EZ154" s="318"/>
      <c r="FA154" s="318"/>
      <c r="FB154" s="318"/>
      <c r="FC154" s="318"/>
      <c r="FD154" s="318"/>
      <c r="FE154" s="318"/>
      <c r="FF154" s="318"/>
      <c r="FG154" s="318"/>
      <c r="FH154" s="318"/>
      <c r="FI154" s="318"/>
      <c r="FJ154" s="318"/>
      <c r="FK154" s="318"/>
      <c r="FL154" s="318"/>
      <c r="FM154" s="318"/>
      <c r="FN154" s="318"/>
      <c r="FO154" s="318"/>
      <c r="FP154" s="318"/>
      <c r="FQ154" s="318"/>
      <c r="FR154" s="318"/>
      <c r="FS154" s="318"/>
      <c r="FT154" s="318"/>
      <c r="FU154" s="318"/>
      <c r="FV154" s="318"/>
      <c r="FW154" s="318"/>
      <c r="FX154" s="318"/>
      <c r="FY154" s="318"/>
      <c r="FZ154" s="318"/>
      <c r="GA154" s="318"/>
      <c r="GB154" s="318"/>
      <c r="GC154" s="318"/>
      <c r="GD154" s="318"/>
      <c r="GE154" s="318"/>
      <c r="GF154" s="318"/>
      <c r="GG154" s="318"/>
      <c r="GH154" s="318"/>
      <c r="GI154" s="318"/>
      <c r="GJ154" s="318"/>
      <c r="GK154" s="318"/>
      <c r="GL154" s="318"/>
      <c r="GM154" s="318"/>
      <c r="GN154" s="318"/>
      <c r="GO154" s="318"/>
      <c r="GP154" s="318"/>
      <c r="GQ154" s="318"/>
      <c r="GR154" s="318"/>
      <c r="GS154" s="318"/>
      <c r="GT154" s="318"/>
      <c r="GU154" s="318"/>
      <c r="GV154" s="318"/>
      <c r="GW154" s="318"/>
      <c r="GX154" s="318"/>
      <c r="GY154" s="318"/>
      <c r="GZ154" s="318"/>
      <c r="HA154" s="318"/>
      <c r="HB154" s="318"/>
      <c r="HC154" s="318"/>
      <c r="HD154" s="318"/>
      <c r="HE154" s="318"/>
      <c r="HF154" s="318"/>
      <c r="HG154" s="318"/>
      <c r="HH154" s="318"/>
      <c r="HI154" s="318"/>
      <c r="HJ154" s="318"/>
      <c r="HK154" s="318"/>
      <c r="HL154" s="318"/>
      <c r="HM154" s="318"/>
      <c r="HN154" s="318"/>
      <c r="HO154" s="318"/>
      <c r="HP154" s="318"/>
      <c r="HQ154" s="318"/>
      <c r="HR154" s="318"/>
      <c r="HS154" s="318"/>
      <c r="HT154" s="318"/>
      <c r="HU154" s="318"/>
      <c r="HV154" s="318"/>
      <c r="HW154" s="318"/>
      <c r="HX154" s="318"/>
      <c r="HY154" s="318"/>
      <c r="HZ154" s="318"/>
      <c r="IA154" s="318"/>
      <c r="IB154" s="318"/>
      <c r="IC154" s="318"/>
      <c r="ID154" s="318"/>
      <c r="IE154" s="318"/>
      <c r="IF154" s="318"/>
      <c r="IG154" s="318"/>
      <c r="IH154" s="318"/>
      <c r="II154" s="318"/>
      <c r="IJ154" s="318"/>
      <c r="IK154" s="318"/>
      <c r="IL154" s="318"/>
      <c r="IM154" s="318"/>
      <c r="IN154" s="318"/>
      <c r="IO154" s="318"/>
      <c r="IP154" s="318"/>
      <c r="IQ154" s="318"/>
      <c r="IR154" s="318"/>
      <c r="IS154" s="318"/>
      <c r="IT154" s="318"/>
      <c r="IU154" s="318"/>
      <c r="IV154" s="318"/>
      <c r="IW154" s="318"/>
      <c r="IX154" s="318"/>
      <c r="IY154" s="318"/>
      <c r="IZ154" s="318"/>
      <c r="JA154" s="318"/>
      <c r="JB154" s="318"/>
      <c r="JC154" s="318"/>
      <c r="JD154" s="318"/>
      <c r="JE154" s="318"/>
      <c r="JF154" s="318"/>
      <c r="JG154" s="318"/>
      <c r="JH154" s="318"/>
      <c r="JI154" s="318"/>
    </row>
    <row r="155" spans="1:269" s="315" customFormat="1">
      <c r="A155" s="318"/>
      <c r="B155" s="318"/>
      <c r="C155" s="318"/>
      <c r="D155" s="318"/>
      <c r="E155" s="318"/>
      <c r="F155" s="318"/>
      <c r="G155" s="318"/>
      <c r="H155" s="318"/>
      <c r="I155" s="318"/>
      <c r="J155" s="318"/>
      <c r="K155" s="318"/>
      <c r="L155" s="318"/>
      <c r="M155" s="318"/>
      <c r="N155" s="318"/>
      <c r="O155" s="318"/>
      <c r="P155" s="318"/>
      <c r="Q155" s="318"/>
      <c r="R155" s="318"/>
      <c r="S155" s="318"/>
      <c r="T155" s="318"/>
      <c r="U155" s="318"/>
      <c r="V155" s="318"/>
      <c r="W155" s="318"/>
      <c r="X155" s="318"/>
      <c r="Y155" s="318"/>
      <c r="Z155" s="318"/>
      <c r="AA155" s="318"/>
      <c r="AB155" s="318"/>
      <c r="AC155" s="318"/>
      <c r="AD155" s="14"/>
      <c r="AE155"/>
      <c r="AF155"/>
      <c r="AG155"/>
      <c r="AH155"/>
      <c r="AI155" s="14"/>
      <c r="AJ155"/>
      <c r="AK155"/>
      <c r="AL155"/>
      <c r="AM155"/>
      <c r="AN155" s="14"/>
      <c r="AO155"/>
      <c r="AP155"/>
      <c r="AQ155"/>
      <c r="AR155"/>
      <c r="AS155" s="14"/>
      <c r="AT155" s="318"/>
      <c r="AU155" s="509"/>
      <c r="BR155" s="318"/>
      <c r="BS155" s="318"/>
      <c r="BT155" s="318"/>
      <c r="BU155" s="318"/>
      <c r="BV155" s="318"/>
      <c r="BW155" s="318"/>
      <c r="BX155" s="318"/>
      <c r="BY155" s="318"/>
      <c r="BZ155" s="318"/>
      <c r="CA155" s="318"/>
      <c r="CB155" s="318"/>
      <c r="CC155" s="318"/>
      <c r="CD155" s="318"/>
      <c r="CE155" s="318"/>
      <c r="CF155" s="318"/>
      <c r="CG155" s="318"/>
      <c r="CH155" s="318"/>
      <c r="CI155" s="318"/>
      <c r="CJ155" s="318"/>
      <c r="CK155" s="318"/>
      <c r="CL155" s="318"/>
      <c r="CM155" s="318"/>
      <c r="CN155" s="318"/>
      <c r="CO155" s="318"/>
      <c r="CP155" s="318"/>
      <c r="CQ155" s="318"/>
      <c r="CR155" s="318"/>
      <c r="CS155" s="318"/>
      <c r="CT155" s="318"/>
      <c r="CU155" s="318"/>
      <c r="CV155" s="318"/>
      <c r="CW155" s="318"/>
      <c r="CX155" s="318"/>
      <c r="CY155" s="318"/>
      <c r="CZ155" s="318"/>
      <c r="DA155" s="318"/>
      <c r="DB155" s="318"/>
      <c r="DC155" s="318"/>
      <c r="DD155" s="318"/>
      <c r="DE155" s="318"/>
      <c r="DF155" s="318"/>
      <c r="DG155" s="318"/>
      <c r="DH155" s="318"/>
      <c r="DI155" s="318"/>
      <c r="DJ155" s="318"/>
      <c r="DK155" s="318"/>
      <c r="DL155" s="318"/>
      <c r="DM155" s="318"/>
      <c r="DN155" s="318"/>
      <c r="DO155" s="318"/>
      <c r="DP155" s="318"/>
      <c r="DQ155" s="318"/>
      <c r="DR155" s="318"/>
      <c r="DS155" s="318"/>
      <c r="DT155" s="318"/>
      <c r="DU155" s="318"/>
      <c r="DV155" s="318"/>
      <c r="DW155" s="318"/>
      <c r="DX155" s="318"/>
      <c r="DY155" s="318"/>
      <c r="DZ155" s="318"/>
      <c r="EA155" s="318"/>
      <c r="EB155" s="318"/>
      <c r="EC155" s="318"/>
      <c r="ED155" s="318"/>
      <c r="EE155" s="318"/>
      <c r="EF155" s="318"/>
      <c r="EG155" s="318"/>
      <c r="EH155" s="318"/>
      <c r="EI155" s="318"/>
      <c r="EJ155" s="318"/>
      <c r="EK155" s="318"/>
      <c r="EL155" s="318"/>
      <c r="EM155" s="318"/>
      <c r="EN155" s="318"/>
      <c r="EO155" s="318"/>
      <c r="EP155" s="318"/>
      <c r="EQ155" s="318"/>
      <c r="ER155" s="318"/>
      <c r="ES155" s="318"/>
      <c r="ET155" s="318"/>
      <c r="EU155" s="318"/>
      <c r="EV155" s="318"/>
      <c r="EW155" s="318"/>
      <c r="EX155" s="318"/>
      <c r="EY155" s="318"/>
      <c r="EZ155" s="318"/>
      <c r="FA155" s="318"/>
      <c r="FB155" s="318"/>
      <c r="FC155" s="318"/>
      <c r="FD155" s="318"/>
      <c r="FE155" s="318"/>
      <c r="FF155" s="318"/>
      <c r="FG155" s="318"/>
      <c r="FH155" s="318"/>
      <c r="FI155" s="318"/>
      <c r="FJ155" s="318"/>
      <c r="FK155" s="318"/>
      <c r="FL155" s="318"/>
      <c r="FM155" s="318"/>
      <c r="FN155" s="318"/>
      <c r="FO155" s="318"/>
      <c r="FP155" s="318"/>
      <c r="FQ155" s="318"/>
      <c r="FR155" s="318"/>
      <c r="FS155" s="318"/>
      <c r="FT155" s="318"/>
      <c r="FU155" s="318"/>
      <c r="FV155" s="318"/>
      <c r="FW155" s="318"/>
      <c r="FX155" s="318"/>
      <c r="FY155" s="318"/>
      <c r="FZ155" s="318"/>
      <c r="GA155" s="318"/>
      <c r="GB155" s="318"/>
      <c r="GC155" s="318"/>
      <c r="GD155" s="318"/>
      <c r="GE155" s="318"/>
      <c r="GF155" s="318"/>
      <c r="GG155" s="318"/>
      <c r="GH155" s="318"/>
      <c r="GI155" s="318"/>
      <c r="GJ155" s="318"/>
      <c r="GK155" s="318"/>
      <c r="GL155" s="318"/>
      <c r="GM155" s="318"/>
      <c r="GN155" s="318"/>
      <c r="GO155" s="318"/>
      <c r="GP155" s="318"/>
      <c r="GQ155" s="318"/>
      <c r="GR155" s="318"/>
      <c r="GS155" s="318"/>
      <c r="GT155" s="318"/>
      <c r="GU155" s="318"/>
      <c r="GV155" s="318"/>
      <c r="GW155" s="318"/>
      <c r="GX155" s="318"/>
      <c r="GY155" s="318"/>
      <c r="GZ155" s="318"/>
      <c r="HA155" s="318"/>
      <c r="HB155" s="318"/>
      <c r="HC155" s="318"/>
      <c r="HD155" s="318"/>
      <c r="HE155" s="318"/>
      <c r="HF155" s="318"/>
      <c r="HG155" s="318"/>
      <c r="HH155" s="318"/>
      <c r="HI155" s="318"/>
      <c r="HJ155" s="318"/>
      <c r="HK155" s="318"/>
      <c r="HL155" s="318"/>
      <c r="HM155" s="318"/>
      <c r="HN155" s="318"/>
      <c r="HO155" s="318"/>
      <c r="HP155" s="318"/>
      <c r="HQ155" s="318"/>
      <c r="HR155" s="318"/>
      <c r="HS155" s="318"/>
      <c r="HT155" s="318"/>
      <c r="HU155" s="318"/>
      <c r="HV155" s="318"/>
      <c r="HW155" s="318"/>
      <c r="HX155" s="318"/>
      <c r="HY155" s="318"/>
      <c r="HZ155" s="318"/>
      <c r="IA155" s="318"/>
      <c r="IB155" s="318"/>
      <c r="IC155" s="318"/>
      <c r="ID155" s="318"/>
      <c r="IE155" s="318"/>
      <c r="IF155" s="318"/>
      <c r="IG155" s="318"/>
      <c r="IH155" s="318"/>
      <c r="II155" s="318"/>
      <c r="IJ155" s="318"/>
      <c r="IK155" s="318"/>
      <c r="IL155" s="318"/>
      <c r="IM155" s="318"/>
      <c r="IN155" s="318"/>
      <c r="IO155" s="318"/>
      <c r="IP155" s="318"/>
      <c r="IQ155" s="318"/>
      <c r="IR155" s="318"/>
      <c r="IS155" s="318"/>
      <c r="IT155" s="318"/>
      <c r="IU155" s="318"/>
      <c r="IV155" s="318"/>
      <c r="IW155" s="318"/>
      <c r="IX155" s="318"/>
      <c r="IY155" s="318"/>
      <c r="IZ155" s="318"/>
      <c r="JA155" s="318"/>
      <c r="JB155" s="318"/>
      <c r="JC155" s="318"/>
      <c r="JD155" s="318"/>
      <c r="JE155" s="318"/>
      <c r="JF155" s="318"/>
      <c r="JG155" s="318"/>
      <c r="JH155" s="318"/>
      <c r="JI155" s="318"/>
    </row>
    <row r="156" spans="1:269" s="429" customFormat="1">
      <c r="A156" s="430" t="s">
        <v>203</v>
      </c>
      <c r="B156" s="431"/>
      <c r="C156" s="432"/>
      <c r="D156" s="432"/>
      <c r="E156" s="432"/>
      <c r="F156" s="432"/>
      <c r="G156" s="432"/>
      <c r="H156" s="432"/>
      <c r="I156" s="432"/>
      <c r="J156" s="432"/>
      <c r="K156" s="432"/>
      <c r="L156" s="432"/>
      <c r="M156" s="432"/>
      <c r="N156" s="432"/>
      <c r="O156" s="432"/>
      <c r="P156" s="432"/>
      <c r="Q156" s="432"/>
      <c r="R156" s="432"/>
      <c r="S156" s="432"/>
      <c r="T156" s="432"/>
      <c r="U156" s="432"/>
      <c r="V156" s="432"/>
      <c r="W156" s="432"/>
      <c r="X156" s="432"/>
      <c r="Y156" s="432"/>
      <c r="Z156" s="432"/>
      <c r="AA156" s="432"/>
      <c r="AB156" s="408"/>
      <c r="AC156" s="55"/>
      <c r="AD156" s="55"/>
      <c r="AE156" s="55"/>
      <c r="AF156" s="55"/>
      <c r="AG156" s="55"/>
      <c r="AH156" s="55"/>
      <c r="AI156" s="55"/>
      <c r="AJ156" s="55"/>
      <c r="AK156" s="55"/>
      <c r="AL156" s="55"/>
      <c r="AM156" s="55"/>
      <c r="AN156" s="55"/>
      <c r="AO156" s="55"/>
      <c r="AP156" s="55"/>
      <c r="AQ156" s="55"/>
      <c r="AR156" s="55"/>
      <c r="AS156" s="55"/>
      <c r="AT156" s="317"/>
      <c r="AU156" s="510"/>
      <c r="BR156" s="317"/>
      <c r="BS156" s="317"/>
      <c r="BT156" s="317"/>
      <c r="BU156" s="317"/>
      <c r="BV156" s="317"/>
      <c r="BW156" s="317"/>
      <c r="BX156" s="317"/>
      <c r="BY156" s="317"/>
      <c r="BZ156" s="317"/>
      <c r="CA156" s="317"/>
      <c r="CB156" s="317"/>
      <c r="CC156" s="317"/>
      <c r="CD156" s="317"/>
      <c r="CE156" s="317"/>
      <c r="CF156" s="317"/>
      <c r="CG156" s="317"/>
      <c r="CH156" s="317"/>
      <c r="CI156" s="317"/>
      <c r="CJ156" s="317"/>
      <c r="CK156" s="317"/>
      <c r="CL156" s="317"/>
      <c r="CM156" s="317"/>
      <c r="CN156" s="317"/>
      <c r="CO156" s="317"/>
      <c r="CP156" s="317"/>
      <c r="CQ156" s="317"/>
      <c r="CR156" s="317"/>
      <c r="CS156" s="317"/>
      <c r="CT156" s="317"/>
      <c r="CU156" s="317"/>
      <c r="CV156" s="317"/>
      <c r="CW156" s="317"/>
      <c r="CX156" s="317"/>
      <c r="CY156" s="317"/>
      <c r="CZ156" s="317"/>
      <c r="DA156" s="317"/>
      <c r="DB156" s="317"/>
      <c r="DC156" s="317"/>
      <c r="DD156" s="317"/>
      <c r="DE156" s="317"/>
      <c r="DF156" s="317"/>
      <c r="DG156" s="317"/>
      <c r="DH156" s="317"/>
      <c r="DI156" s="317"/>
      <c r="DJ156" s="317"/>
      <c r="DK156" s="317"/>
      <c r="DL156" s="317"/>
      <c r="DM156" s="317"/>
      <c r="DN156" s="317"/>
      <c r="DO156" s="317"/>
      <c r="DP156" s="317"/>
      <c r="DQ156" s="317"/>
      <c r="DR156" s="317"/>
      <c r="DS156" s="317"/>
      <c r="DT156" s="317"/>
      <c r="DU156" s="317"/>
      <c r="DV156" s="317"/>
      <c r="DW156" s="317"/>
      <c r="DX156" s="317"/>
      <c r="DY156" s="317"/>
      <c r="DZ156" s="317"/>
      <c r="EA156" s="317"/>
      <c r="EB156" s="317"/>
      <c r="EC156" s="317"/>
      <c r="ED156" s="317"/>
      <c r="EE156" s="317"/>
      <c r="EF156" s="317"/>
      <c r="EG156" s="317"/>
      <c r="EH156" s="317"/>
      <c r="EI156" s="317"/>
      <c r="EJ156" s="317"/>
      <c r="EK156" s="317"/>
      <c r="EL156" s="317"/>
      <c r="EM156" s="317"/>
      <c r="EN156" s="317"/>
      <c r="EO156" s="317"/>
      <c r="EP156" s="317"/>
      <c r="EQ156" s="317"/>
      <c r="ER156" s="317"/>
      <c r="ES156" s="317"/>
      <c r="ET156" s="317"/>
      <c r="EU156" s="317"/>
      <c r="EV156" s="317"/>
      <c r="EW156" s="317"/>
      <c r="EX156" s="317"/>
      <c r="EY156" s="317"/>
      <c r="EZ156" s="317"/>
      <c r="FA156" s="317"/>
      <c r="FB156" s="317"/>
      <c r="FC156" s="317"/>
      <c r="FD156" s="317"/>
      <c r="FE156" s="317"/>
      <c r="FF156" s="317"/>
      <c r="FG156" s="317"/>
      <c r="FH156" s="317"/>
      <c r="FI156" s="317"/>
      <c r="FJ156" s="317"/>
      <c r="FK156" s="317"/>
      <c r="FL156" s="317"/>
      <c r="FM156" s="317"/>
      <c r="FN156" s="317"/>
      <c r="FO156" s="317"/>
      <c r="FP156" s="317"/>
      <c r="FQ156" s="317"/>
      <c r="FR156" s="317"/>
      <c r="FS156" s="317"/>
      <c r="FT156" s="317"/>
      <c r="FU156" s="317"/>
      <c r="FV156" s="317"/>
      <c r="FW156" s="317"/>
      <c r="FX156" s="317"/>
      <c r="FY156" s="317"/>
      <c r="FZ156" s="317"/>
      <c r="GA156" s="317"/>
      <c r="GB156" s="317"/>
      <c r="GC156" s="317"/>
      <c r="GD156" s="317"/>
      <c r="GE156" s="317"/>
      <c r="GF156" s="317"/>
      <c r="GG156" s="317"/>
      <c r="GH156" s="317"/>
      <c r="GI156" s="317"/>
      <c r="GJ156" s="317"/>
      <c r="GK156" s="317"/>
      <c r="GL156" s="317"/>
      <c r="GM156" s="317"/>
      <c r="GN156" s="317"/>
      <c r="GO156" s="317"/>
      <c r="GP156" s="317"/>
      <c r="GQ156" s="317"/>
      <c r="GR156" s="317"/>
      <c r="GS156" s="317"/>
      <c r="GT156" s="317"/>
      <c r="GU156" s="317"/>
      <c r="GV156" s="317"/>
      <c r="GW156" s="317"/>
      <c r="GX156" s="317"/>
      <c r="GY156" s="317"/>
      <c r="GZ156" s="317"/>
      <c r="HA156" s="317"/>
      <c r="HB156" s="317"/>
      <c r="HC156" s="317"/>
      <c r="HD156" s="317"/>
      <c r="HE156" s="317"/>
      <c r="HF156" s="317"/>
      <c r="HG156" s="317"/>
      <c r="HH156" s="317"/>
      <c r="HI156" s="317"/>
      <c r="HJ156" s="317"/>
      <c r="HK156" s="317"/>
      <c r="HL156" s="317"/>
      <c r="HM156" s="317"/>
      <c r="HN156" s="317"/>
      <c r="HO156" s="317"/>
      <c r="HP156" s="317"/>
      <c r="HQ156" s="317"/>
      <c r="HR156" s="317"/>
      <c r="HS156" s="317"/>
      <c r="HT156" s="317"/>
      <c r="HU156" s="317"/>
      <c r="HV156" s="317"/>
      <c r="HW156" s="317"/>
      <c r="HX156" s="317"/>
      <c r="HY156" s="317"/>
      <c r="HZ156" s="317"/>
      <c r="IA156" s="317"/>
      <c r="IB156" s="317"/>
      <c r="IC156" s="317"/>
      <c r="ID156" s="317"/>
      <c r="IE156" s="317"/>
      <c r="IF156" s="317"/>
      <c r="IG156" s="317"/>
      <c r="IH156" s="317"/>
      <c r="II156" s="317"/>
      <c r="IJ156" s="317"/>
      <c r="IK156" s="317"/>
      <c r="IL156" s="317"/>
      <c r="IM156" s="317"/>
      <c r="IN156" s="317"/>
      <c r="IO156" s="317"/>
      <c r="IP156" s="317"/>
      <c r="IQ156" s="317"/>
      <c r="IR156" s="317"/>
      <c r="IS156" s="317"/>
      <c r="IT156" s="317"/>
      <c r="IU156" s="317"/>
      <c r="IV156" s="317"/>
      <c r="IW156" s="317"/>
      <c r="IX156" s="317"/>
      <c r="IY156" s="317"/>
      <c r="IZ156" s="317"/>
      <c r="JA156" s="317"/>
      <c r="JB156" s="317"/>
      <c r="JC156" s="317"/>
      <c r="JD156" s="317"/>
      <c r="JE156" s="317"/>
      <c r="JF156" s="317"/>
      <c r="JG156" s="317"/>
      <c r="JH156" s="317"/>
      <c r="JI156" s="317"/>
    </row>
    <row r="157" spans="1:269">
      <c r="AC157" s="75"/>
      <c r="AD157" s="665"/>
      <c r="AU157" s="508"/>
      <c r="AV157" s="143"/>
      <c r="AW157" s="143"/>
      <c r="AX157" s="143"/>
      <c r="AY157" s="143"/>
      <c r="AZ157" s="143"/>
      <c r="BA157" s="143"/>
      <c r="BB157" s="143"/>
      <c r="BC157" s="143"/>
      <c r="BD157" s="143"/>
      <c r="BE157" s="143"/>
      <c r="BF157" s="143"/>
      <c r="BG157" s="143"/>
      <c r="BH157" s="143"/>
      <c r="BI157" s="143"/>
      <c r="BJ157" s="143"/>
      <c r="BK157" s="143"/>
      <c r="BL157" s="143"/>
      <c r="BM157" s="143"/>
      <c r="BN157" s="143"/>
      <c r="BO157" s="143"/>
      <c r="BP157" s="143"/>
      <c r="BQ157" s="143"/>
    </row>
    <row r="158" spans="1:269" s="81" customFormat="1" ht="15" thickBot="1">
      <c r="A158" s="580" t="s">
        <v>401</v>
      </c>
      <c r="B158" s="314"/>
      <c r="C158" s="578">
        <f>C248/C251</f>
        <v>47.852760736196316</v>
      </c>
      <c r="D158" s="578">
        <f t="shared" ref="D158:E158" si="327">D248/D251</f>
        <v>65.909090909090907</v>
      </c>
      <c r="E158" s="578">
        <f t="shared" si="327"/>
        <v>112.44635193133047</v>
      </c>
      <c r="F158" s="314">
        <v>35</v>
      </c>
      <c r="G158" s="314">
        <v>43</v>
      </c>
      <c r="H158" s="314">
        <v>40</v>
      </c>
      <c r="I158" s="314">
        <v>50</v>
      </c>
      <c r="J158" s="578">
        <v>167</v>
      </c>
      <c r="K158" s="314">
        <v>32.5</v>
      </c>
      <c r="L158" s="314">
        <v>14.1</v>
      </c>
      <c r="M158" s="314">
        <v>34.5</v>
      </c>
      <c r="N158" s="314">
        <v>37.9</v>
      </c>
      <c r="O158" s="577">
        <v>119.092</v>
      </c>
      <c r="P158" s="314">
        <v>47.5</v>
      </c>
      <c r="Q158" s="314">
        <v>66.5</v>
      </c>
      <c r="R158" s="314">
        <v>68.147000000000006</v>
      </c>
      <c r="S158" s="314">
        <v>77.900000000000006</v>
      </c>
      <c r="T158" s="577">
        <v>260.04700000000003</v>
      </c>
      <c r="U158" s="314">
        <v>75.414999999999992</v>
      </c>
      <c r="V158" s="314">
        <v>103.536</v>
      </c>
      <c r="W158" s="314">
        <v>88.792000000000002</v>
      </c>
      <c r="X158" s="314">
        <v>98.132999999999996</v>
      </c>
      <c r="Y158" s="577">
        <v>365.87599999999998</v>
      </c>
      <c r="Z158" s="314">
        <v>86.3</v>
      </c>
      <c r="AA158" s="314">
        <v>117.5</v>
      </c>
      <c r="AB158" s="314">
        <v>97.4</v>
      </c>
      <c r="AC158" s="579">
        <f>AC23+AC103</f>
        <v>45.570479155086161</v>
      </c>
      <c r="AD158" s="581">
        <f>AD23+AD103</f>
        <v>346.71347915508613</v>
      </c>
      <c r="AE158" s="579">
        <f>AE23+AE103</f>
        <v>43.778017310513448</v>
      </c>
      <c r="AF158" s="579">
        <f>AF23+AF103</f>
        <v>44.804885592298035</v>
      </c>
      <c r="AG158" s="579">
        <f>AG23+AG103</f>
        <v>67.336658976662946</v>
      </c>
      <c r="AH158" s="579">
        <f>AH23+AH103</f>
        <v>79.014422495035205</v>
      </c>
      <c r="AI158" s="581">
        <f>AI23+AI103</f>
        <v>234.93398437450963</v>
      </c>
      <c r="AJ158" s="579">
        <f>AJ23+AJ103</f>
        <v>77.472342960180072</v>
      </c>
      <c r="AK158" s="579">
        <f>AK23+AK103</f>
        <v>94.804312860378786</v>
      </c>
      <c r="AL158" s="579">
        <f>AL23+AL103</f>
        <v>91.752677775672581</v>
      </c>
      <c r="AM158" s="579">
        <f>AM23+AM103</f>
        <v>100.21840674996571</v>
      </c>
      <c r="AN158" s="581">
        <f>AN23+AN103</f>
        <v>364.24774034619713</v>
      </c>
      <c r="AO158" s="579">
        <f>AO23+AO103</f>
        <v>90.814725360266522</v>
      </c>
      <c r="AP158" s="579">
        <f>AP23+AP103</f>
        <v>107.98587883108584</v>
      </c>
      <c r="AQ158" s="579">
        <f>AQ23+AQ103</f>
        <v>101.62103176800846</v>
      </c>
      <c r="AR158" s="579">
        <f>AR23+AR103</f>
        <v>118.54679686775256</v>
      </c>
      <c r="AS158" s="581">
        <f>AS23+AS103</f>
        <v>418.96843282711336</v>
      </c>
      <c r="AT158" s="463"/>
      <c r="AU158" s="508"/>
      <c r="AW158" s="81">
        <f>272/364</f>
        <v>0.74725274725274726</v>
      </c>
      <c r="BR158" s="438"/>
      <c r="BS158" s="438"/>
      <c r="BT158" s="438"/>
      <c r="BU158" s="438"/>
      <c r="BV158" s="438"/>
      <c r="BW158" s="438"/>
      <c r="BX158" s="438"/>
      <c r="BY158" s="438"/>
      <c r="BZ158" s="438"/>
      <c r="CA158" s="438"/>
      <c r="CB158" s="438"/>
      <c r="CC158" s="438"/>
      <c r="CD158" s="438"/>
      <c r="CE158" s="438"/>
      <c r="CF158" s="438"/>
      <c r="CG158" s="438"/>
      <c r="CH158" s="438"/>
      <c r="CI158" s="438"/>
      <c r="CJ158" s="438"/>
      <c r="CK158" s="438"/>
      <c r="CL158" s="438"/>
      <c r="CM158" s="438"/>
      <c r="CN158" s="438"/>
      <c r="CO158" s="438"/>
      <c r="CP158" s="438"/>
      <c r="CQ158" s="438"/>
      <c r="CR158" s="438"/>
      <c r="CS158" s="438"/>
      <c r="CT158" s="438"/>
      <c r="CU158" s="438"/>
      <c r="CV158" s="438"/>
      <c r="CW158" s="438"/>
      <c r="CX158" s="438"/>
      <c r="CY158" s="438"/>
      <c r="CZ158" s="438"/>
      <c r="DA158" s="438"/>
      <c r="DB158" s="438"/>
      <c r="DC158" s="438"/>
      <c r="DD158" s="438"/>
      <c r="DE158" s="438"/>
      <c r="DF158" s="438"/>
      <c r="DG158" s="438"/>
      <c r="DH158" s="438"/>
      <c r="DI158" s="438"/>
      <c r="DJ158" s="438"/>
      <c r="DK158" s="438"/>
      <c r="DL158" s="438"/>
      <c r="DM158" s="438"/>
      <c r="DN158" s="438"/>
      <c r="DO158" s="438"/>
      <c r="DP158" s="438"/>
      <c r="DQ158" s="438"/>
      <c r="DR158" s="438"/>
      <c r="DS158" s="438"/>
      <c r="DT158" s="438"/>
      <c r="DU158" s="438"/>
      <c r="DV158" s="438"/>
      <c r="DW158" s="438"/>
      <c r="DX158" s="438"/>
      <c r="DY158" s="438"/>
      <c r="DZ158" s="438"/>
      <c r="EA158" s="438"/>
      <c r="EB158" s="438"/>
      <c r="EC158" s="438"/>
      <c r="ED158" s="438"/>
      <c r="EE158" s="438"/>
      <c r="EF158" s="438"/>
      <c r="EG158" s="438"/>
      <c r="EH158" s="438"/>
      <c r="EI158" s="438"/>
      <c r="EJ158" s="438"/>
      <c r="EK158" s="438"/>
      <c r="EL158" s="438"/>
      <c r="EM158" s="438"/>
      <c r="EN158" s="438"/>
      <c r="EO158" s="438"/>
      <c r="EP158" s="438"/>
      <c r="EQ158" s="438"/>
      <c r="ER158" s="438"/>
      <c r="ES158" s="438"/>
      <c r="ET158" s="438"/>
      <c r="EU158" s="438"/>
      <c r="EV158" s="438"/>
      <c r="EW158" s="438"/>
      <c r="EX158" s="438"/>
      <c r="EY158" s="438"/>
      <c r="EZ158" s="438"/>
      <c r="FA158" s="438"/>
      <c r="FB158" s="438"/>
      <c r="FC158" s="438"/>
      <c r="FD158" s="438"/>
      <c r="FE158" s="438"/>
      <c r="FF158" s="438"/>
      <c r="FG158" s="438"/>
      <c r="FH158" s="438"/>
      <c r="FI158" s="438"/>
      <c r="FJ158" s="438"/>
      <c r="FK158" s="438"/>
      <c r="FL158" s="438"/>
      <c r="FM158" s="438"/>
      <c r="FN158" s="438"/>
      <c r="FO158" s="438"/>
      <c r="FP158" s="438"/>
      <c r="FQ158" s="438"/>
      <c r="FR158" s="438"/>
      <c r="FS158" s="438"/>
      <c r="FT158" s="438"/>
      <c r="FU158" s="438"/>
      <c r="FV158" s="438"/>
      <c r="FW158" s="438"/>
      <c r="FX158" s="438"/>
      <c r="FY158" s="438"/>
      <c r="FZ158" s="438"/>
      <c r="GA158" s="438"/>
      <c r="GB158" s="438"/>
      <c r="GC158" s="438"/>
      <c r="GD158" s="438"/>
      <c r="GE158" s="438"/>
      <c r="GF158" s="438"/>
      <c r="GG158" s="438"/>
      <c r="GH158" s="438"/>
      <c r="GI158" s="438"/>
      <c r="GJ158" s="438"/>
      <c r="GK158" s="438"/>
      <c r="GL158" s="438"/>
      <c r="GM158" s="438"/>
      <c r="GN158" s="438"/>
      <c r="GO158" s="438"/>
      <c r="GP158" s="438"/>
      <c r="GQ158" s="438"/>
      <c r="GR158" s="438"/>
      <c r="GS158" s="438"/>
      <c r="GT158" s="438"/>
      <c r="GU158" s="438"/>
      <c r="GV158" s="438"/>
      <c r="GW158" s="438"/>
      <c r="GX158" s="438"/>
      <c r="GY158" s="438"/>
      <c r="GZ158" s="438"/>
      <c r="HA158" s="438"/>
      <c r="HB158" s="438"/>
      <c r="HC158" s="438"/>
      <c r="HD158" s="438"/>
      <c r="HE158" s="438"/>
      <c r="HF158" s="438"/>
      <c r="HG158" s="438"/>
      <c r="HH158" s="438"/>
      <c r="HI158" s="438"/>
      <c r="HJ158" s="438"/>
      <c r="HK158" s="438"/>
      <c r="HL158" s="438"/>
      <c r="HM158" s="438"/>
      <c r="HN158" s="438"/>
      <c r="HO158" s="438"/>
      <c r="HP158" s="438"/>
      <c r="HQ158" s="438"/>
      <c r="HR158" s="438"/>
      <c r="HS158" s="438"/>
      <c r="HT158" s="438"/>
      <c r="HU158" s="438"/>
      <c r="HV158" s="438"/>
      <c r="HW158" s="438"/>
      <c r="HX158" s="438"/>
      <c r="HY158" s="438"/>
      <c r="HZ158" s="438"/>
      <c r="IA158" s="438"/>
      <c r="IB158" s="438"/>
      <c r="IC158" s="438"/>
      <c r="ID158" s="438"/>
      <c r="IE158" s="438"/>
      <c r="IF158" s="438"/>
      <c r="IG158" s="438"/>
      <c r="IH158" s="438"/>
      <c r="II158" s="438"/>
      <c r="IJ158" s="438"/>
      <c r="IK158" s="438"/>
      <c r="IL158" s="438"/>
      <c r="IM158" s="438"/>
      <c r="IN158" s="438"/>
      <c r="IO158" s="438"/>
      <c r="IP158" s="438"/>
      <c r="IQ158" s="438"/>
      <c r="IR158" s="438"/>
      <c r="IS158" s="438"/>
      <c r="IT158" s="438"/>
      <c r="IU158" s="438"/>
      <c r="IV158" s="438"/>
      <c r="IW158" s="438"/>
      <c r="IX158" s="438"/>
      <c r="IY158" s="438"/>
      <c r="IZ158" s="438"/>
      <c r="JA158" s="438"/>
      <c r="JB158" s="438"/>
      <c r="JC158" s="438"/>
      <c r="JD158" s="438"/>
      <c r="JE158" s="438"/>
      <c r="JF158" s="438"/>
      <c r="JG158" s="438"/>
      <c r="JH158" s="438"/>
      <c r="JI158" s="438"/>
    </row>
    <row r="159" spans="1:269" s="81" customFormat="1" ht="15" thickTop="1">
      <c r="A159" s="573" t="s">
        <v>591</v>
      </c>
      <c r="B159" s="312"/>
      <c r="C159" s="574"/>
      <c r="D159" s="574"/>
      <c r="E159" s="574"/>
      <c r="F159" s="312"/>
      <c r="G159" s="312"/>
      <c r="H159" s="312"/>
      <c r="I159" s="312"/>
      <c r="J159" s="423">
        <f>J158/E158-1</f>
        <v>0.4851526717557253</v>
      </c>
      <c r="K159" s="311">
        <f t="shared" ref="K159:AS159" si="328">K158/F158-1</f>
        <v>-7.1428571428571397E-2</v>
      </c>
      <c r="L159" s="311">
        <f t="shared" si="328"/>
        <v>-0.67209302325581399</v>
      </c>
      <c r="M159" s="311">
        <f t="shared" si="328"/>
        <v>-0.13749999999999996</v>
      </c>
      <c r="N159" s="311">
        <f t="shared" si="328"/>
        <v>-0.24199999999999999</v>
      </c>
      <c r="O159" s="423">
        <f t="shared" si="328"/>
        <v>-0.28687425149700596</v>
      </c>
      <c r="P159" s="424">
        <f t="shared" si="328"/>
        <v>0.46153846153846145</v>
      </c>
      <c r="Q159" s="311">
        <f t="shared" si="328"/>
        <v>3.7163120567375891</v>
      </c>
      <c r="R159" s="424">
        <f t="shared" si="328"/>
        <v>0.97527536231884082</v>
      </c>
      <c r="S159" s="424">
        <f t="shared" si="328"/>
        <v>1.0554089709762535</v>
      </c>
      <c r="T159" s="423">
        <f t="shared" si="328"/>
        <v>1.1835807610922648</v>
      </c>
      <c r="U159" s="424">
        <f t="shared" si="328"/>
        <v>0.58768421052631559</v>
      </c>
      <c r="V159" s="424">
        <f t="shared" si="328"/>
        <v>0.55693233082706772</v>
      </c>
      <c r="W159" s="424">
        <f t="shared" si="328"/>
        <v>0.30294803879847976</v>
      </c>
      <c r="X159" s="424">
        <f t="shared" si="328"/>
        <v>0.25973042362002552</v>
      </c>
      <c r="Y159" s="423">
        <f t="shared" si="328"/>
        <v>0.40696104934877142</v>
      </c>
      <c r="Z159" s="424">
        <f t="shared" si="328"/>
        <v>0.14433468142942396</v>
      </c>
      <c r="AA159" s="424">
        <f t="shared" si="328"/>
        <v>0.13487096275691535</v>
      </c>
      <c r="AB159" s="424">
        <f t="shared" si="328"/>
        <v>9.6945670781151572E-2</v>
      </c>
      <c r="AC159" s="424">
        <f t="shared" si="328"/>
        <v>-0.53562533342416763</v>
      </c>
      <c r="AD159" s="535">
        <f t="shared" si="328"/>
        <v>-5.2374358648596409E-2</v>
      </c>
      <c r="AE159" s="424">
        <f t="shared" si="328"/>
        <v>-0.49272285851085229</v>
      </c>
      <c r="AF159" s="424">
        <f t="shared" si="328"/>
        <v>-0.61868182474639966</v>
      </c>
      <c r="AG159" s="424">
        <f t="shared" si="328"/>
        <v>-0.30865853206711558</v>
      </c>
      <c r="AH159" s="424">
        <f t="shared" si="328"/>
        <v>0.73389492408302526</v>
      </c>
      <c r="AI159" s="535">
        <f t="shared" si="328"/>
        <v>-0.32239731507691727</v>
      </c>
      <c r="AJ159" s="424">
        <f t="shared" si="328"/>
        <v>0.76966312591718977</v>
      </c>
      <c r="AK159" s="424">
        <f t="shared" si="328"/>
        <v>1.115936947659022</v>
      </c>
      <c r="AL159" s="424">
        <f t="shared" si="328"/>
        <v>0.36259623168223354</v>
      </c>
      <c r="AM159" s="424">
        <f t="shared" si="328"/>
        <v>0.26835587207212508</v>
      </c>
      <c r="AN159" s="535">
        <f t="shared" si="328"/>
        <v>0.55042592631276244</v>
      </c>
      <c r="AO159" s="424">
        <f t="shared" si="328"/>
        <v>0.17222123263968259</v>
      </c>
      <c r="AP159" s="424">
        <f t="shared" si="328"/>
        <v>0.13903972902709549</v>
      </c>
      <c r="AQ159" s="424">
        <f t="shared" si="328"/>
        <v>0.10755385272202256</v>
      </c>
      <c r="AR159" s="424">
        <f t="shared" si="328"/>
        <v>0.18288446915260037</v>
      </c>
      <c r="AS159" s="535">
        <f t="shared" si="328"/>
        <v>0.15022932586735416</v>
      </c>
      <c r="AT159" s="463"/>
      <c r="AU159" s="508"/>
      <c r="BR159" s="438"/>
      <c r="BS159" s="438"/>
      <c r="BT159" s="438"/>
      <c r="BU159" s="438"/>
      <c r="BV159" s="438"/>
      <c r="BW159" s="438"/>
      <c r="BX159" s="438"/>
      <c r="BY159" s="438"/>
      <c r="BZ159" s="438"/>
      <c r="CA159" s="438"/>
      <c r="CB159" s="438"/>
      <c r="CC159" s="438"/>
      <c r="CD159" s="438"/>
      <c r="CE159" s="438"/>
      <c r="CF159" s="438"/>
      <c r="CG159" s="438"/>
      <c r="CH159" s="438"/>
      <c r="CI159" s="438"/>
      <c r="CJ159" s="438"/>
      <c r="CK159" s="438"/>
      <c r="CL159" s="438"/>
      <c r="CM159" s="438"/>
      <c r="CN159" s="438"/>
      <c r="CO159" s="438"/>
      <c r="CP159" s="438"/>
      <c r="CQ159" s="438"/>
      <c r="CR159" s="438"/>
      <c r="CS159" s="438"/>
      <c r="CT159" s="438"/>
      <c r="CU159" s="438"/>
      <c r="CV159" s="438"/>
      <c r="CW159" s="438"/>
      <c r="CX159" s="438"/>
      <c r="CY159" s="438"/>
      <c r="CZ159" s="438"/>
      <c r="DA159" s="438"/>
      <c r="DB159" s="438"/>
      <c r="DC159" s="438"/>
      <c r="DD159" s="438"/>
      <c r="DE159" s="438"/>
      <c r="DF159" s="438"/>
      <c r="DG159" s="438"/>
      <c r="DH159" s="438"/>
      <c r="DI159" s="438"/>
      <c r="DJ159" s="438"/>
      <c r="DK159" s="438"/>
      <c r="DL159" s="438"/>
      <c r="DM159" s="438"/>
      <c r="DN159" s="438"/>
      <c r="DO159" s="438"/>
      <c r="DP159" s="438"/>
      <c r="DQ159" s="438"/>
      <c r="DR159" s="438"/>
      <c r="DS159" s="438"/>
      <c r="DT159" s="438"/>
      <c r="DU159" s="438"/>
      <c r="DV159" s="438"/>
      <c r="DW159" s="438"/>
      <c r="DX159" s="438"/>
      <c r="DY159" s="438"/>
      <c r="DZ159" s="438"/>
      <c r="EA159" s="438"/>
      <c r="EB159" s="438"/>
      <c r="EC159" s="438"/>
      <c r="ED159" s="438"/>
      <c r="EE159" s="438"/>
      <c r="EF159" s="438"/>
      <c r="EG159" s="438"/>
      <c r="EH159" s="438"/>
      <c r="EI159" s="438"/>
      <c r="EJ159" s="438"/>
      <c r="EK159" s="438"/>
      <c r="EL159" s="438"/>
      <c r="EM159" s="438"/>
      <c r="EN159" s="438"/>
      <c r="EO159" s="438"/>
      <c r="EP159" s="438"/>
      <c r="EQ159" s="438"/>
      <c r="ER159" s="438"/>
      <c r="ES159" s="438"/>
      <c r="ET159" s="438"/>
      <c r="EU159" s="438"/>
      <c r="EV159" s="438"/>
      <c r="EW159" s="438"/>
      <c r="EX159" s="438"/>
      <c r="EY159" s="438"/>
      <c r="EZ159" s="438"/>
      <c r="FA159" s="438"/>
      <c r="FB159" s="438"/>
      <c r="FC159" s="438"/>
      <c r="FD159" s="438"/>
      <c r="FE159" s="438"/>
      <c r="FF159" s="438"/>
      <c r="FG159" s="438"/>
      <c r="FH159" s="438"/>
      <c r="FI159" s="438"/>
      <c r="FJ159" s="438"/>
      <c r="FK159" s="438"/>
      <c r="FL159" s="438"/>
      <c r="FM159" s="438"/>
      <c r="FN159" s="438"/>
      <c r="FO159" s="438"/>
      <c r="FP159" s="438"/>
      <c r="FQ159" s="438"/>
      <c r="FR159" s="438"/>
      <c r="FS159" s="438"/>
      <c r="FT159" s="438"/>
      <c r="FU159" s="438"/>
      <c r="FV159" s="438"/>
      <c r="FW159" s="438"/>
      <c r="FX159" s="438"/>
      <c r="FY159" s="438"/>
      <c r="FZ159" s="438"/>
      <c r="GA159" s="438"/>
      <c r="GB159" s="438"/>
      <c r="GC159" s="438"/>
      <c r="GD159" s="438"/>
      <c r="GE159" s="438"/>
      <c r="GF159" s="438"/>
      <c r="GG159" s="438"/>
      <c r="GH159" s="438"/>
      <c r="GI159" s="438"/>
      <c r="GJ159" s="438"/>
      <c r="GK159" s="438"/>
      <c r="GL159" s="438"/>
      <c r="GM159" s="438"/>
      <c r="GN159" s="438"/>
      <c r="GO159" s="438"/>
      <c r="GP159" s="438"/>
      <c r="GQ159" s="438"/>
      <c r="GR159" s="438"/>
      <c r="GS159" s="438"/>
      <c r="GT159" s="438"/>
      <c r="GU159" s="438"/>
      <c r="GV159" s="438"/>
      <c r="GW159" s="438"/>
      <c r="GX159" s="438"/>
      <c r="GY159" s="438"/>
      <c r="GZ159" s="438"/>
      <c r="HA159" s="438"/>
      <c r="HB159" s="438"/>
      <c r="HC159" s="438"/>
      <c r="HD159" s="438"/>
      <c r="HE159" s="438"/>
      <c r="HF159" s="438"/>
      <c r="HG159" s="438"/>
      <c r="HH159" s="438"/>
      <c r="HI159" s="438"/>
      <c r="HJ159" s="438"/>
      <c r="HK159" s="438"/>
      <c r="HL159" s="438"/>
      <c r="HM159" s="438"/>
      <c r="HN159" s="438"/>
      <c r="HO159" s="438"/>
      <c r="HP159" s="438"/>
      <c r="HQ159" s="438"/>
      <c r="HR159" s="438"/>
      <c r="HS159" s="438"/>
      <c r="HT159" s="438"/>
      <c r="HU159" s="438"/>
      <c r="HV159" s="438"/>
      <c r="HW159" s="438"/>
      <c r="HX159" s="438"/>
      <c r="HY159" s="438"/>
      <c r="HZ159" s="438"/>
      <c r="IA159" s="438"/>
      <c r="IB159" s="438"/>
      <c r="IC159" s="438"/>
      <c r="ID159" s="438"/>
      <c r="IE159" s="438"/>
      <c r="IF159" s="438"/>
      <c r="IG159" s="438"/>
      <c r="IH159" s="438"/>
      <c r="II159" s="438"/>
      <c r="IJ159" s="438"/>
      <c r="IK159" s="438"/>
      <c r="IL159" s="438"/>
      <c r="IM159" s="438"/>
      <c r="IN159" s="438"/>
      <c r="IO159" s="438"/>
      <c r="IP159" s="438"/>
      <c r="IQ159" s="438"/>
      <c r="IR159" s="438"/>
      <c r="IS159" s="438"/>
      <c r="IT159" s="438"/>
      <c r="IU159" s="438"/>
      <c r="IV159" s="438"/>
      <c r="IW159" s="438"/>
      <c r="IX159" s="438"/>
      <c r="IY159" s="438"/>
      <c r="IZ159" s="438"/>
      <c r="JA159" s="438"/>
      <c r="JB159" s="438"/>
      <c r="JC159" s="438"/>
      <c r="JD159" s="438"/>
      <c r="JE159" s="438"/>
      <c r="JF159" s="438"/>
      <c r="JG159" s="438"/>
      <c r="JH159" s="438"/>
      <c r="JI159" s="438"/>
    </row>
    <row r="160" spans="1:269" s="81" customFormat="1">
      <c r="A160" s="573" t="s">
        <v>786</v>
      </c>
      <c r="B160" s="312"/>
      <c r="C160" s="574"/>
      <c r="D160" s="574"/>
      <c r="E160" s="574"/>
      <c r="F160" s="312"/>
      <c r="G160" s="312"/>
      <c r="H160" s="312"/>
      <c r="I160" s="312"/>
      <c r="J160" s="423"/>
      <c r="K160" s="311"/>
      <c r="L160" s="311"/>
      <c r="M160" s="311"/>
      <c r="N160" s="311"/>
      <c r="O160" s="423"/>
      <c r="P160" s="424"/>
      <c r="Q160" s="311"/>
      <c r="R160" s="424"/>
      <c r="S160" s="424"/>
      <c r="T160" s="423"/>
      <c r="U160" s="424"/>
      <c r="V160" s="424"/>
      <c r="W160" s="424"/>
      <c r="X160" s="424"/>
      <c r="Y160" s="423"/>
      <c r="Z160" s="424"/>
      <c r="AA160" s="424"/>
      <c r="AB160" s="424"/>
      <c r="AC160" s="825" t="s">
        <v>788</v>
      </c>
      <c r="AD160" s="826" t="s">
        <v>787</v>
      </c>
      <c r="AE160" s="424"/>
      <c r="AF160" s="424"/>
      <c r="AG160" s="424"/>
      <c r="AH160" s="424"/>
      <c r="AI160" s="535"/>
      <c r="AJ160" s="424"/>
      <c r="AK160" s="424"/>
      <c r="AL160" s="424"/>
      <c r="AM160" s="424"/>
      <c r="AN160" s="535"/>
      <c r="AO160" s="424"/>
      <c r="AP160" s="424"/>
      <c r="AQ160" s="424"/>
      <c r="AR160" s="424"/>
      <c r="AS160" s="535"/>
      <c r="AT160" s="463"/>
      <c r="AU160" s="508"/>
      <c r="BR160" s="438"/>
      <c r="BS160" s="438"/>
      <c r="BT160" s="438"/>
      <c r="BU160" s="438"/>
      <c r="BV160" s="438"/>
      <c r="BW160" s="438"/>
      <c r="BX160" s="438"/>
      <c r="BY160" s="438"/>
      <c r="BZ160" s="438"/>
      <c r="CA160" s="438"/>
      <c r="CB160" s="438"/>
      <c r="CC160" s="438"/>
      <c r="CD160" s="438"/>
      <c r="CE160" s="438"/>
      <c r="CF160" s="438"/>
      <c r="CG160" s="438"/>
      <c r="CH160" s="438"/>
      <c r="CI160" s="438"/>
      <c r="CJ160" s="438"/>
      <c r="CK160" s="438"/>
      <c r="CL160" s="438"/>
      <c r="CM160" s="438"/>
      <c r="CN160" s="438"/>
      <c r="CO160" s="438"/>
      <c r="CP160" s="438"/>
      <c r="CQ160" s="438"/>
      <c r="CR160" s="438"/>
      <c r="CS160" s="438"/>
      <c r="CT160" s="438"/>
      <c r="CU160" s="438"/>
      <c r="CV160" s="438"/>
      <c r="CW160" s="438"/>
      <c r="CX160" s="438"/>
      <c r="CY160" s="438"/>
      <c r="CZ160" s="438"/>
      <c r="DA160" s="438"/>
      <c r="DB160" s="438"/>
      <c r="DC160" s="438"/>
      <c r="DD160" s="438"/>
      <c r="DE160" s="438"/>
      <c r="DF160" s="438"/>
      <c r="DG160" s="438"/>
      <c r="DH160" s="438"/>
      <c r="DI160" s="438"/>
      <c r="DJ160" s="438"/>
      <c r="DK160" s="438"/>
      <c r="DL160" s="438"/>
      <c r="DM160" s="438"/>
      <c r="DN160" s="438"/>
      <c r="DO160" s="438"/>
      <c r="DP160" s="438"/>
      <c r="DQ160" s="438"/>
      <c r="DR160" s="438"/>
      <c r="DS160" s="438"/>
      <c r="DT160" s="438"/>
      <c r="DU160" s="438"/>
      <c r="DV160" s="438"/>
      <c r="DW160" s="438"/>
      <c r="DX160" s="438"/>
      <c r="DY160" s="438"/>
      <c r="DZ160" s="438"/>
      <c r="EA160" s="438"/>
      <c r="EB160" s="438"/>
      <c r="EC160" s="438"/>
      <c r="ED160" s="438"/>
      <c r="EE160" s="438"/>
      <c r="EF160" s="438"/>
      <c r="EG160" s="438"/>
      <c r="EH160" s="438"/>
      <c r="EI160" s="438"/>
      <c r="EJ160" s="438"/>
      <c r="EK160" s="438"/>
      <c r="EL160" s="438"/>
      <c r="EM160" s="438"/>
      <c r="EN160" s="438"/>
      <c r="EO160" s="438"/>
      <c r="EP160" s="438"/>
      <c r="EQ160" s="438"/>
      <c r="ER160" s="438"/>
      <c r="ES160" s="438"/>
      <c r="ET160" s="438"/>
      <c r="EU160" s="438"/>
      <c r="EV160" s="438"/>
      <c r="EW160" s="438"/>
      <c r="EX160" s="438"/>
      <c r="EY160" s="438"/>
      <c r="EZ160" s="438"/>
      <c r="FA160" s="438"/>
      <c r="FB160" s="438"/>
      <c r="FC160" s="438"/>
      <c r="FD160" s="438"/>
      <c r="FE160" s="438"/>
      <c r="FF160" s="438"/>
      <c r="FG160" s="438"/>
      <c r="FH160" s="438"/>
      <c r="FI160" s="438"/>
      <c r="FJ160" s="438"/>
      <c r="FK160" s="438"/>
      <c r="FL160" s="438"/>
      <c r="FM160" s="438"/>
      <c r="FN160" s="438"/>
      <c r="FO160" s="438"/>
      <c r="FP160" s="438"/>
      <c r="FQ160" s="438"/>
      <c r="FR160" s="438"/>
      <c r="FS160" s="438"/>
      <c r="FT160" s="438"/>
      <c r="FU160" s="438"/>
      <c r="FV160" s="438"/>
      <c r="FW160" s="438"/>
      <c r="FX160" s="438"/>
      <c r="FY160" s="438"/>
      <c r="FZ160" s="438"/>
      <c r="GA160" s="438"/>
      <c r="GB160" s="438"/>
      <c r="GC160" s="438"/>
      <c r="GD160" s="438"/>
      <c r="GE160" s="438"/>
      <c r="GF160" s="438"/>
      <c r="GG160" s="438"/>
      <c r="GH160" s="438"/>
      <c r="GI160" s="438"/>
      <c r="GJ160" s="438"/>
      <c r="GK160" s="438"/>
      <c r="GL160" s="438"/>
      <c r="GM160" s="438"/>
      <c r="GN160" s="438"/>
      <c r="GO160" s="438"/>
      <c r="GP160" s="438"/>
      <c r="GQ160" s="438"/>
      <c r="GR160" s="438"/>
      <c r="GS160" s="438"/>
      <c r="GT160" s="438"/>
      <c r="GU160" s="438"/>
      <c r="GV160" s="438"/>
      <c r="GW160" s="438"/>
      <c r="GX160" s="438"/>
      <c r="GY160" s="438"/>
      <c r="GZ160" s="438"/>
      <c r="HA160" s="438"/>
      <c r="HB160" s="438"/>
      <c r="HC160" s="438"/>
      <c r="HD160" s="438"/>
      <c r="HE160" s="438"/>
      <c r="HF160" s="438"/>
      <c r="HG160" s="438"/>
      <c r="HH160" s="438"/>
      <c r="HI160" s="438"/>
      <c r="HJ160" s="438"/>
      <c r="HK160" s="438"/>
      <c r="HL160" s="438"/>
      <c r="HM160" s="438"/>
      <c r="HN160" s="438"/>
      <c r="HO160" s="438"/>
      <c r="HP160" s="438"/>
      <c r="HQ160" s="438"/>
      <c r="HR160" s="438"/>
      <c r="HS160" s="438"/>
      <c r="HT160" s="438"/>
      <c r="HU160" s="438"/>
      <c r="HV160" s="438"/>
      <c r="HW160" s="438"/>
      <c r="HX160" s="438"/>
      <c r="HY160" s="438"/>
      <c r="HZ160" s="438"/>
      <c r="IA160" s="438"/>
      <c r="IB160" s="438"/>
      <c r="IC160" s="438"/>
      <c r="ID160" s="438"/>
      <c r="IE160" s="438"/>
      <c r="IF160" s="438"/>
      <c r="IG160" s="438"/>
      <c r="IH160" s="438"/>
      <c r="II160" s="438"/>
      <c r="IJ160" s="438"/>
      <c r="IK160" s="438"/>
      <c r="IL160" s="438"/>
      <c r="IM160" s="438"/>
      <c r="IN160" s="438"/>
      <c r="IO160" s="438"/>
      <c r="IP160" s="438"/>
      <c r="IQ160" s="438"/>
      <c r="IR160" s="438"/>
      <c r="IS160" s="438"/>
      <c r="IT160" s="438"/>
      <c r="IU160" s="438"/>
      <c r="IV160" s="438"/>
      <c r="IW160" s="438"/>
      <c r="IX160" s="438"/>
      <c r="IY160" s="438"/>
      <c r="IZ160" s="438"/>
      <c r="JA160" s="438"/>
      <c r="JB160" s="438"/>
      <c r="JC160" s="438"/>
      <c r="JD160" s="438"/>
      <c r="JE160" s="438"/>
      <c r="JF160" s="438"/>
      <c r="JG160" s="438"/>
      <c r="JH160" s="438"/>
      <c r="JI160" s="438"/>
    </row>
    <row r="161" spans="1:269">
      <c r="A161" s="281" t="s">
        <v>402</v>
      </c>
      <c r="B161" s="278"/>
      <c r="C161" s="277"/>
      <c r="D161" s="277"/>
      <c r="E161" s="277"/>
      <c r="F161" s="278"/>
      <c r="G161" s="278">
        <v>9.8000000000000007</v>
      </c>
      <c r="H161" s="278">
        <v>13.603</v>
      </c>
      <c r="I161" s="278">
        <v>13.830189956331871</v>
      </c>
      <c r="J161" s="277">
        <v>60.110999999999997</v>
      </c>
      <c r="K161" s="278"/>
      <c r="L161" s="278">
        <v>9.8000000000000007</v>
      </c>
      <c r="M161" s="278">
        <v>13.603</v>
      </c>
      <c r="N161" s="278">
        <v>13.830189956331871</v>
      </c>
      <c r="O161" s="277">
        <v>51.893000000000001</v>
      </c>
      <c r="P161" s="278">
        <v>15.77</v>
      </c>
      <c r="Q161" s="278">
        <v>19.257000000000001</v>
      </c>
      <c r="R161" s="278">
        <v>22.071999999999999</v>
      </c>
      <c r="S161" s="278">
        <v>21.128</v>
      </c>
      <c r="T161" s="277">
        <v>78.227000000000004</v>
      </c>
      <c r="U161" s="278">
        <v>23.478000000000002</v>
      </c>
      <c r="V161" s="278">
        <v>31.882000000000001</v>
      </c>
      <c r="W161" s="278">
        <v>27.216999999999999</v>
      </c>
      <c r="X161" s="278">
        <v>32.959000000000003</v>
      </c>
      <c r="Y161" s="277">
        <v>115.536</v>
      </c>
      <c r="Z161" s="278">
        <v>32.200000000000003</v>
      </c>
      <c r="AA161" s="278">
        <v>49.6</v>
      </c>
      <c r="AB161" s="278">
        <v>110</v>
      </c>
      <c r="AC161" s="280">
        <f>AC158-AC164</f>
        <v>10.618591662034461</v>
      </c>
      <c r="AD161" s="320">
        <f>SUM(Z161:AC161)</f>
        <v>202.41859166203449</v>
      </c>
      <c r="AE161" s="280">
        <f>AE158-AE164</f>
        <v>10.358182924205373</v>
      </c>
      <c r="AF161" s="280">
        <f>AF158-AF164</f>
        <v>10.768930236919211</v>
      </c>
      <c r="AG161" s="280">
        <f>AG158-AG164</f>
        <v>16.091403786333707</v>
      </c>
      <c r="AH161" s="280">
        <f>AH158-AH164</f>
        <v>19.567553331052622</v>
      </c>
      <c r="AI161" s="320">
        <f>SUM(AE161:AH161)</f>
        <v>56.786070278510913</v>
      </c>
      <c r="AJ161" s="280">
        <f>AJ158-AJ164</f>
        <v>19.921312028194947</v>
      </c>
      <c r="AK161" s="280">
        <f>AK158-AK164</f>
        <v>23.810020274394219</v>
      </c>
      <c r="AL161" s="280">
        <f>AL158-AL164</f>
        <v>24.14531522002045</v>
      </c>
      <c r="AM161" s="280">
        <f>AM158-AM164</f>
        <v>25.469372217461512</v>
      </c>
      <c r="AN161" s="320">
        <f>SUM(AJ161:AM161)</f>
        <v>93.346019740071128</v>
      </c>
      <c r="AO161" s="280">
        <f>AO158-AO164</f>
        <v>23.839325724559913</v>
      </c>
      <c r="AP161" s="280">
        <f>AP158-AP164</f>
        <v>27.228395237823406</v>
      </c>
      <c r="AQ161" s="280">
        <f>AQ158-AQ164</f>
        <v>26.457736733542205</v>
      </c>
      <c r="AR161" s="280">
        <f>AR158-AR164</f>
        <v>30.860930136462144</v>
      </c>
      <c r="AS161" s="320">
        <f>SUM(AO161:AR161)</f>
        <v>108.38638783238767</v>
      </c>
      <c r="AT161" s="458"/>
      <c r="AU161" s="508"/>
      <c r="AV161" s="143"/>
      <c r="AW161" s="143"/>
      <c r="AX161" s="143"/>
      <c r="AY161" s="143"/>
      <c r="AZ161" s="143"/>
      <c r="BA161" s="143"/>
      <c r="BB161" s="143"/>
      <c r="BC161" s="143"/>
      <c r="BD161" s="143"/>
      <c r="BE161" s="143"/>
      <c r="BF161" s="143"/>
      <c r="BG161" s="143"/>
      <c r="BH161" s="143"/>
      <c r="BI161" s="143"/>
      <c r="BJ161" s="143"/>
      <c r="BK161" s="143"/>
      <c r="BL161" s="143"/>
      <c r="BM161" s="143"/>
      <c r="BN161" s="143"/>
      <c r="BO161" s="143"/>
      <c r="BP161" s="143"/>
      <c r="BQ161" s="143"/>
    </row>
    <row r="162" spans="1:269" hidden="1" outlineLevel="1">
      <c r="A162" s="281" t="s">
        <v>518</v>
      </c>
      <c r="B162" s="278"/>
      <c r="C162" s="316"/>
      <c r="D162" s="316"/>
      <c r="E162" s="316"/>
      <c r="F162" s="280">
        <f t="shared" ref="F162:AS162" si="329">F158-F161</f>
        <v>35</v>
      </c>
      <c r="G162" s="280">
        <f t="shared" si="329"/>
        <v>33.200000000000003</v>
      </c>
      <c r="H162" s="280">
        <f t="shared" si="329"/>
        <v>26.396999999999998</v>
      </c>
      <c r="I162" s="280">
        <f t="shared" si="329"/>
        <v>36.169810043668129</v>
      </c>
      <c r="J162" s="316">
        <f t="shared" si="329"/>
        <v>106.88900000000001</v>
      </c>
      <c r="K162" s="280">
        <f t="shared" si="329"/>
        <v>32.5</v>
      </c>
      <c r="L162" s="280">
        <f t="shared" si="329"/>
        <v>4.2999999999999989</v>
      </c>
      <c r="M162" s="280">
        <f t="shared" si="329"/>
        <v>20.896999999999998</v>
      </c>
      <c r="N162" s="280">
        <f t="shared" si="329"/>
        <v>24.069810043668127</v>
      </c>
      <c r="O162" s="316">
        <f t="shared" si="329"/>
        <v>67.198999999999998</v>
      </c>
      <c r="P162" s="280">
        <f t="shared" si="329"/>
        <v>31.73</v>
      </c>
      <c r="Q162" s="280">
        <f t="shared" si="329"/>
        <v>47.242999999999995</v>
      </c>
      <c r="R162" s="280">
        <f t="shared" si="329"/>
        <v>46.075000000000003</v>
      </c>
      <c r="S162" s="280">
        <f t="shared" si="329"/>
        <v>56.772000000000006</v>
      </c>
      <c r="T162" s="316">
        <f t="shared" si="329"/>
        <v>181.82000000000002</v>
      </c>
      <c r="U162" s="280">
        <f t="shared" si="329"/>
        <v>51.936999999999991</v>
      </c>
      <c r="V162" s="280">
        <f t="shared" si="329"/>
        <v>71.653999999999996</v>
      </c>
      <c r="W162" s="280">
        <f t="shared" si="329"/>
        <v>61.575000000000003</v>
      </c>
      <c r="X162" s="280">
        <f t="shared" si="329"/>
        <v>65.173999999999992</v>
      </c>
      <c r="Y162" s="316">
        <f t="shared" si="329"/>
        <v>250.33999999999997</v>
      </c>
      <c r="Z162" s="280">
        <f t="shared" si="329"/>
        <v>54.099999999999994</v>
      </c>
      <c r="AA162" s="280">
        <f t="shared" si="329"/>
        <v>67.900000000000006</v>
      </c>
      <c r="AB162" s="582">
        <f t="shared" si="329"/>
        <v>-12.599999999999994</v>
      </c>
      <c r="AC162" s="280">
        <f t="shared" si="329"/>
        <v>34.9518874930517</v>
      </c>
      <c r="AD162" s="320">
        <f t="shared" si="329"/>
        <v>144.29488749305165</v>
      </c>
      <c r="AE162" s="280">
        <f t="shared" si="329"/>
        <v>33.419834386308075</v>
      </c>
      <c r="AF162" s="280">
        <f t="shared" si="329"/>
        <v>34.035955355378825</v>
      </c>
      <c r="AG162" s="280">
        <f t="shared" si="329"/>
        <v>51.245255190329239</v>
      </c>
      <c r="AH162" s="280">
        <f t="shared" si="329"/>
        <v>59.446869163982583</v>
      </c>
      <c r="AI162" s="320">
        <f t="shared" si="329"/>
        <v>178.14791409599871</v>
      </c>
      <c r="AJ162" s="280">
        <f t="shared" si="329"/>
        <v>57.551030931985125</v>
      </c>
      <c r="AK162" s="280">
        <f t="shared" si="329"/>
        <v>70.994292585984567</v>
      </c>
      <c r="AL162" s="280">
        <f t="shared" si="329"/>
        <v>67.607362555652131</v>
      </c>
      <c r="AM162" s="280">
        <f t="shared" si="329"/>
        <v>74.749034532504197</v>
      </c>
      <c r="AN162" s="320">
        <f t="shared" si="329"/>
        <v>270.90172060612599</v>
      </c>
      <c r="AO162" s="280">
        <f t="shared" si="329"/>
        <v>66.975399635706609</v>
      </c>
      <c r="AP162" s="280">
        <f t="shared" si="329"/>
        <v>80.757483593262435</v>
      </c>
      <c r="AQ162" s="280">
        <f t="shared" si="329"/>
        <v>75.163295034466259</v>
      </c>
      <c r="AR162" s="280">
        <f t="shared" si="329"/>
        <v>87.685866731290417</v>
      </c>
      <c r="AS162" s="320">
        <f t="shared" si="329"/>
        <v>310.58204499472572</v>
      </c>
      <c r="AT162" s="457"/>
      <c r="AU162" s="508"/>
      <c r="AV162" s="143"/>
      <c r="AW162" s="143"/>
      <c r="AX162" s="143"/>
      <c r="AY162" s="143"/>
      <c r="AZ162" s="143"/>
      <c r="BA162" s="143"/>
      <c r="BB162" s="143"/>
      <c r="BC162" s="143"/>
      <c r="BD162" s="143"/>
      <c r="BE162" s="143"/>
      <c r="BF162" s="143"/>
      <c r="BG162" s="143"/>
      <c r="BH162" s="143"/>
      <c r="BI162" s="143"/>
      <c r="BJ162" s="143"/>
      <c r="BK162" s="143"/>
      <c r="BL162" s="143"/>
      <c r="BM162" s="143"/>
      <c r="BN162" s="143"/>
      <c r="BO162" s="143"/>
      <c r="BP162" s="143"/>
      <c r="BQ162" s="143"/>
    </row>
    <row r="163" spans="1:269" hidden="1" outlineLevel="1">
      <c r="A163" s="281" t="s">
        <v>403</v>
      </c>
      <c r="B163" s="278"/>
      <c r="C163" s="277"/>
      <c r="D163" s="277"/>
      <c r="E163" s="277"/>
      <c r="F163" s="278"/>
      <c r="G163" s="278"/>
      <c r="H163" s="278">
        <v>0</v>
      </c>
      <c r="I163" s="278"/>
      <c r="J163" s="277">
        <v>11.323999999999998</v>
      </c>
      <c r="K163" s="278"/>
      <c r="L163" s="278"/>
      <c r="M163" s="278">
        <v>0</v>
      </c>
      <c r="N163" s="278"/>
      <c r="O163" s="277">
        <v>10.757999999999996</v>
      </c>
      <c r="P163" s="278">
        <v>2.5910000000000002</v>
      </c>
      <c r="Q163" s="278">
        <v>2.5670000000000002</v>
      </c>
      <c r="R163" s="278">
        <v>2.6589999999999998</v>
      </c>
      <c r="S163" s="278">
        <v>2.8339999999999996</v>
      </c>
      <c r="T163" s="277">
        <v>10.651</v>
      </c>
      <c r="U163" s="278">
        <v>2.8809999999999998</v>
      </c>
      <c r="V163" s="278">
        <v>3.1759999999999997</v>
      </c>
      <c r="W163" s="278">
        <v>5.0720000000000001</v>
      </c>
      <c r="X163" s="278">
        <v>5.734</v>
      </c>
      <c r="Y163" s="277">
        <v>16.863</v>
      </c>
      <c r="Z163" s="278">
        <v>6.3</v>
      </c>
      <c r="AA163" s="278">
        <v>8.3000000000000007</v>
      </c>
      <c r="AB163" s="278">
        <v>73.400000000000006</v>
      </c>
      <c r="AC163" s="278"/>
      <c r="AD163" s="339"/>
      <c r="AE163" s="289"/>
      <c r="AF163" s="289"/>
      <c r="AG163" s="289"/>
      <c r="AH163" s="289"/>
      <c r="AI163" s="339"/>
      <c r="AJ163" s="289"/>
      <c r="AK163" s="289"/>
      <c r="AL163" s="289"/>
      <c r="AM163" s="289"/>
      <c r="AN163" s="339"/>
      <c r="AO163" s="289"/>
      <c r="AP163" s="289"/>
      <c r="AQ163" s="289"/>
      <c r="AR163" s="289"/>
      <c r="AS163" s="339"/>
      <c r="AT163" s="458"/>
      <c r="AU163" s="508"/>
      <c r="AV163" s="143"/>
      <c r="AW163" s="143"/>
      <c r="AX163" s="143"/>
      <c r="AY163" s="143"/>
      <c r="AZ163" s="143"/>
      <c r="BA163" s="143"/>
      <c r="BB163" s="143"/>
      <c r="BC163" s="143"/>
      <c r="BD163" s="143"/>
      <c r="BE163" s="143"/>
      <c r="BF163" s="143"/>
      <c r="BG163" s="143"/>
      <c r="BH163" s="143"/>
      <c r="BI163" s="143"/>
      <c r="BJ163" s="143"/>
      <c r="BK163" s="143"/>
      <c r="BL163" s="143"/>
      <c r="BM163" s="143"/>
      <c r="BN163" s="143"/>
      <c r="BO163" s="143"/>
      <c r="BP163" s="143"/>
      <c r="BQ163" s="143"/>
    </row>
    <row r="164" spans="1:269" s="81" customFormat="1" collapsed="1">
      <c r="A164" s="575" t="s">
        <v>404</v>
      </c>
      <c r="B164" s="312"/>
      <c r="C164" s="574"/>
      <c r="D164" s="574"/>
      <c r="E164" s="574"/>
      <c r="F164" s="311">
        <v>23</v>
      </c>
      <c r="G164" s="311">
        <v>32</v>
      </c>
      <c r="H164" s="311">
        <v>29</v>
      </c>
      <c r="I164" s="311">
        <v>35</v>
      </c>
      <c r="J164" s="574">
        <f>SUM(F164:I164)</f>
        <v>119</v>
      </c>
      <c r="K164" s="311">
        <f t="shared" ref="K164:AB164" si="330">K163+K162</f>
        <v>32.5</v>
      </c>
      <c r="L164" s="311">
        <f t="shared" si="330"/>
        <v>4.2999999999999989</v>
      </c>
      <c r="M164" s="311">
        <f t="shared" si="330"/>
        <v>20.896999999999998</v>
      </c>
      <c r="N164" s="311">
        <f t="shared" si="330"/>
        <v>24.069810043668127</v>
      </c>
      <c r="O164" s="574">
        <f t="shared" si="330"/>
        <v>77.956999999999994</v>
      </c>
      <c r="P164" s="311">
        <f t="shared" si="330"/>
        <v>34.320999999999998</v>
      </c>
      <c r="Q164" s="311">
        <f t="shared" si="330"/>
        <v>49.809999999999995</v>
      </c>
      <c r="R164" s="311">
        <f t="shared" si="330"/>
        <v>48.734000000000002</v>
      </c>
      <c r="S164" s="311">
        <f t="shared" si="330"/>
        <v>59.606000000000009</v>
      </c>
      <c r="T164" s="574">
        <f t="shared" si="330"/>
        <v>192.47100000000003</v>
      </c>
      <c r="U164" s="311">
        <f t="shared" si="330"/>
        <v>54.817999999999991</v>
      </c>
      <c r="V164" s="311">
        <f t="shared" si="330"/>
        <v>74.83</v>
      </c>
      <c r="W164" s="311">
        <f t="shared" si="330"/>
        <v>66.647000000000006</v>
      </c>
      <c r="X164" s="311">
        <f t="shared" si="330"/>
        <v>70.907999999999987</v>
      </c>
      <c r="Y164" s="574">
        <f t="shared" si="330"/>
        <v>267.20299999999997</v>
      </c>
      <c r="Z164" s="311">
        <f t="shared" si="330"/>
        <v>60.399999999999991</v>
      </c>
      <c r="AA164" s="311">
        <f t="shared" si="330"/>
        <v>76.2</v>
      </c>
      <c r="AB164" s="311">
        <f t="shared" si="330"/>
        <v>60.800000000000011</v>
      </c>
      <c r="AC164" s="311">
        <f>AC191</f>
        <v>34.9518874930517</v>
      </c>
      <c r="AD164" s="331">
        <f>AD191</f>
        <v>238.19768749305169</v>
      </c>
      <c r="AE164" s="311">
        <f t="shared" ref="AE164:AS164" si="331">AE191</f>
        <v>33.419834386308075</v>
      </c>
      <c r="AF164" s="311">
        <f t="shared" si="331"/>
        <v>34.035955355378825</v>
      </c>
      <c r="AG164" s="311">
        <f t="shared" si="331"/>
        <v>51.245255190329239</v>
      </c>
      <c r="AH164" s="311">
        <f t="shared" si="331"/>
        <v>59.446869163982583</v>
      </c>
      <c r="AI164" s="331">
        <f t="shared" si="331"/>
        <v>178.14791409599874</v>
      </c>
      <c r="AJ164" s="311">
        <f t="shared" si="331"/>
        <v>57.551030931985125</v>
      </c>
      <c r="AK164" s="311">
        <f t="shared" si="331"/>
        <v>70.994292585984567</v>
      </c>
      <c r="AL164" s="311">
        <f t="shared" si="331"/>
        <v>67.607362555652131</v>
      </c>
      <c r="AM164" s="311">
        <f t="shared" si="331"/>
        <v>74.749034532504197</v>
      </c>
      <c r="AN164" s="331">
        <f t="shared" si="331"/>
        <v>270.90172060612599</v>
      </c>
      <c r="AO164" s="311">
        <f t="shared" si="331"/>
        <v>66.975399635706609</v>
      </c>
      <c r="AP164" s="311">
        <f t="shared" si="331"/>
        <v>80.757483593262435</v>
      </c>
      <c r="AQ164" s="311">
        <f t="shared" si="331"/>
        <v>75.163295034466259</v>
      </c>
      <c r="AR164" s="311">
        <f t="shared" si="331"/>
        <v>87.685866731290417</v>
      </c>
      <c r="AS164" s="331">
        <f t="shared" si="331"/>
        <v>310.58204499472572</v>
      </c>
      <c r="AT164" s="463"/>
      <c r="AU164" s="508"/>
      <c r="BR164" s="438"/>
      <c r="BS164" s="438"/>
      <c r="BT164" s="438"/>
      <c r="BU164" s="438"/>
      <c r="BV164" s="438"/>
      <c r="BW164" s="438"/>
      <c r="BX164" s="438"/>
      <c r="BY164" s="438"/>
      <c r="BZ164" s="438"/>
      <c r="CA164" s="438"/>
      <c r="CB164" s="438"/>
      <c r="CC164" s="438"/>
      <c r="CD164" s="438"/>
      <c r="CE164" s="438"/>
      <c r="CF164" s="438"/>
      <c r="CG164" s="438"/>
      <c r="CH164" s="438"/>
      <c r="CI164" s="438"/>
      <c r="CJ164" s="438"/>
      <c r="CK164" s="438"/>
      <c r="CL164" s="438"/>
      <c r="CM164" s="438"/>
      <c r="CN164" s="438"/>
      <c r="CO164" s="438"/>
      <c r="CP164" s="438"/>
      <c r="CQ164" s="438"/>
      <c r="CR164" s="438"/>
      <c r="CS164" s="438"/>
      <c r="CT164" s="438"/>
      <c r="CU164" s="438"/>
      <c r="CV164" s="438"/>
      <c r="CW164" s="438"/>
      <c r="CX164" s="438"/>
      <c r="CY164" s="438"/>
      <c r="CZ164" s="438"/>
      <c r="DA164" s="438"/>
      <c r="DB164" s="438"/>
      <c r="DC164" s="438"/>
      <c r="DD164" s="438"/>
      <c r="DE164" s="438"/>
      <c r="DF164" s="438"/>
      <c r="DG164" s="438"/>
      <c r="DH164" s="438"/>
      <c r="DI164" s="438"/>
      <c r="DJ164" s="438"/>
      <c r="DK164" s="438"/>
      <c r="DL164" s="438"/>
      <c r="DM164" s="438"/>
      <c r="DN164" s="438"/>
      <c r="DO164" s="438"/>
      <c r="DP164" s="438"/>
      <c r="DQ164" s="438"/>
      <c r="DR164" s="438"/>
      <c r="DS164" s="438"/>
      <c r="DT164" s="438"/>
      <c r="DU164" s="438"/>
      <c r="DV164" s="438"/>
      <c r="DW164" s="438"/>
      <c r="DX164" s="438"/>
      <c r="DY164" s="438"/>
      <c r="DZ164" s="438"/>
      <c r="EA164" s="438"/>
      <c r="EB164" s="438"/>
      <c r="EC164" s="438"/>
      <c r="ED164" s="438"/>
      <c r="EE164" s="438"/>
      <c r="EF164" s="438"/>
      <c r="EG164" s="438"/>
      <c r="EH164" s="438"/>
      <c r="EI164" s="438"/>
      <c r="EJ164" s="438"/>
      <c r="EK164" s="438"/>
      <c r="EL164" s="438"/>
      <c r="EM164" s="438"/>
      <c r="EN164" s="438"/>
      <c r="EO164" s="438"/>
      <c r="EP164" s="438"/>
      <c r="EQ164" s="438"/>
      <c r="ER164" s="438"/>
      <c r="ES164" s="438"/>
      <c r="ET164" s="438"/>
      <c r="EU164" s="438"/>
      <c r="EV164" s="438"/>
      <c r="EW164" s="438"/>
      <c r="EX164" s="438"/>
      <c r="EY164" s="438"/>
      <c r="EZ164" s="438"/>
      <c r="FA164" s="438"/>
      <c r="FB164" s="438"/>
      <c r="FC164" s="438"/>
      <c r="FD164" s="438"/>
      <c r="FE164" s="438"/>
      <c r="FF164" s="438"/>
      <c r="FG164" s="438"/>
      <c r="FH164" s="438"/>
      <c r="FI164" s="438"/>
      <c r="FJ164" s="438"/>
      <c r="FK164" s="438"/>
      <c r="FL164" s="438"/>
      <c r="FM164" s="438"/>
      <c r="FN164" s="438"/>
      <c r="FO164" s="438"/>
      <c r="FP164" s="438"/>
      <c r="FQ164" s="438"/>
      <c r="FR164" s="438"/>
      <c r="FS164" s="438"/>
      <c r="FT164" s="438"/>
      <c r="FU164" s="438"/>
      <c r="FV164" s="438"/>
      <c r="FW164" s="438"/>
      <c r="FX164" s="438"/>
      <c r="FY164" s="438"/>
      <c r="FZ164" s="438"/>
      <c r="GA164" s="438"/>
      <c r="GB164" s="438"/>
      <c r="GC164" s="438"/>
      <c r="GD164" s="438"/>
      <c r="GE164" s="438"/>
      <c r="GF164" s="438"/>
      <c r="GG164" s="438"/>
      <c r="GH164" s="438"/>
      <c r="GI164" s="438"/>
      <c r="GJ164" s="438"/>
      <c r="GK164" s="438"/>
      <c r="GL164" s="438"/>
      <c r="GM164" s="438"/>
      <c r="GN164" s="438"/>
      <c r="GO164" s="438"/>
      <c r="GP164" s="438"/>
      <c r="GQ164" s="438"/>
      <c r="GR164" s="438"/>
      <c r="GS164" s="438"/>
      <c r="GT164" s="438"/>
      <c r="GU164" s="438"/>
      <c r="GV164" s="438"/>
      <c r="GW164" s="438"/>
      <c r="GX164" s="438"/>
      <c r="GY164" s="438"/>
      <c r="GZ164" s="438"/>
      <c r="HA164" s="438"/>
      <c r="HB164" s="438"/>
      <c r="HC164" s="438"/>
      <c r="HD164" s="438"/>
      <c r="HE164" s="438"/>
      <c r="HF164" s="438"/>
      <c r="HG164" s="438"/>
      <c r="HH164" s="438"/>
      <c r="HI164" s="438"/>
      <c r="HJ164" s="438"/>
      <c r="HK164" s="438"/>
      <c r="HL164" s="438"/>
      <c r="HM164" s="438"/>
      <c r="HN164" s="438"/>
      <c r="HO164" s="438"/>
      <c r="HP164" s="438"/>
      <c r="HQ164" s="438"/>
      <c r="HR164" s="438"/>
      <c r="HS164" s="438"/>
      <c r="HT164" s="438"/>
      <c r="HU164" s="438"/>
      <c r="HV164" s="438"/>
      <c r="HW164" s="438"/>
      <c r="HX164" s="438"/>
      <c r="HY164" s="438"/>
      <c r="HZ164" s="438"/>
      <c r="IA164" s="438"/>
      <c r="IB164" s="438"/>
      <c r="IC164" s="438"/>
      <c r="ID164" s="438"/>
      <c r="IE164" s="438"/>
      <c r="IF164" s="438"/>
      <c r="IG164" s="438"/>
      <c r="IH164" s="438"/>
      <c r="II164" s="438"/>
      <c r="IJ164" s="438"/>
      <c r="IK164" s="438"/>
      <c r="IL164" s="438"/>
      <c r="IM164" s="438"/>
      <c r="IN164" s="438"/>
      <c r="IO164" s="438"/>
      <c r="IP164" s="438"/>
      <c r="IQ164" s="438"/>
      <c r="IR164" s="438"/>
      <c r="IS164" s="438"/>
      <c r="IT164" s="438"/>
      <c r="IU164" s="438"/>
      <c r="IV164" s="438"/>
      <c r="IW164" s="438"/>
      <c r="IX164" s="438"/>
      <c r="IY164" s="438"/>
      <c r="IZ164" s="438"/>
      <c r="JA164" s="438"/>
      <c r="JB164" s="438"/>
      <c r="JC164" s="438"/>
      <c r="JD164" s="438"/>
      <c r="JE164" s="438"/>
      <c r="JF164" s="438"/>
      <c r="JG164" s="438"/>
      <c r="JH164" s="438"/>
      <c r="JI164" s="438"/>
    </row>
    <row r="165" spans="1:269">
      <c r="A165" s="281" t="s">
        <v>507</v>
      </c>
      <c r="B165" s="278"/>
      <c r="C165" s="316"/>
      <c r="D165" s="316"/>
      <c r="E165" s="316"/>
      <c r="F165" s="414"/>
      <c r="G165" s="414">
        <f t="shared" ref="G165:AS165" si="332">G164/G158</f>
        <v>0.7441860465116279</v>
      </c>
      <c r="H165" s="414">
        <f t="shared" si="332"/>
        <v>0.72499999999999998</v>
      </c>
      <c r="I165" s="414">
        <f t="shared" si="332"/>
        <v>0.7</v>
      </c>
      <c r="J165" s="417">
        <f t="shared" si="332"/>
        <v>0.71257485029940115</v>
      </c>
      <c r="K165" s="414">
        <f t="shared" si="332"/>
        <v>1</v>
      </c>
      <c r="L165" s="414">
        <f t="shared" si="332"/>
        <v>0.30496453900709214</v>
      </c>
      <c r="M165" s="414">
        <f t="shared" si="332"/>
        <v>0.60571014492753616</v>
      </c>
      <c r="N165" s="414">
        <f t="shared" si="332"/>
        <v>0.63508733624454161</v>
      </c>
      <c r="O165" s="417">
        <f t="shared" si="332"/>
        <v>0.65459476707083597</v>
      </c>
      <c r="P165" s="414">
        <f t="shared" si="332"/>
        <v>0.7225473684210526</v>
      </c>
      <c r="Q165" s="414">
        <f t="shared" si="332"/>
        <v>0.74902255639097737</v>
      </c>
      <c r="R165" s="414">
        <f t="shared" si="332"/>
        <v>0.71513052665561205</v>
      </c>
      <c r="S165" s="414">
        <f t="shared" si="332"/>
        <v>0.76516046213093714</v>
      </c>
      <c r="T165" s="417">
        <f t="shared" si="332"/>
        <v>0.74013928251431482</v>
      </c>
      <c r="U165" s="414">
        <f t="shared" si="332"/>
        <v>0.72688457203474111</v>
      </c>
      <c r="V165" s="414">
        <f t="shared" si="332"/>
        <v>0.72274377994127648</v>
      </c>
      <c r="W165" s="414">
        <f t="shared" si="332"/>
        <v>0.75059690062167772</v>
      </c>
      <c r="X165" s="414">
        <f t="shared" si="332"/>
        <v>0.72257038916572391</v>
      </c>
      <c r="Y165" s="417">
        <f t="shared" si="332"/>
        <v>0.73031026905290319</v>
      </c>
      <c r="Z165" s="414">
        <f t="shared" si="332"/>
        <v>0.69988412514484344</v>
      </c>
      <c r="AA165" s="414">
        <f t="shared" si="332"/>
        <v>0.64851063829787237</v>
      </c>
      <c r="AB165" s="414">
        <f t="shared" si="332"/>
        <v>0.62422997946611913</v>
      </c>
      <c r="AC165" s="414">
        <f t="shared" si="332"/>
        <v>0.76698529708460805</v>
      </c>
      <c r="AD165" s="422">
        <f t="shared" si="332"/>
        <v>0.68701594202083227</v>
      </c>
      <c r="AE165" s="414">
        <f t="shared" si="332"/>
        <v>0.7633930552236815</v>
      </c>
      <c r="AF165" s="414">
        <f t="shared" si="332"/>
        <v>0.75964830409542683</v>
      </c>
      <c r="AG165" s="414">
        <f t="shared" si="332"/>
        <v>0.76103055852666301</v>
      </c>
      <c r="AH165" s="414">
        <f t="shared" si="332"/>
        <v>0.75235466243796023</v>
      </c>
      <c r="AI165" s="422">
        <f t="shared" si="332"/>
        <v>0.75828924695718825</v>
      </c>
      <c r="AJ165" s="414">
        <f t="shared" si="332"/>
        <v>0.74285904792586066</v>
      </c>
      <c r="AK165" s="414">
        <f t="shared" si="332"/>
        <v>0.74885087443795972</v>
      </c>
      <c r="AL165" s="414">
        <f t="shared" si="332"/>
        <v>0.73684348178857872</v>
      </c>
      <c r="AM165" s="414">
        <f t="shared" si="332"/>
        <v>0.74586133382658049</v>
      </c>
      <c r="AN165" s="422">
        <f t="shared" si="332"/>
        <v>0.74372931002577813</v>
      </c>
      <c r="AO165" s="414">
        <f t="shared" si="332"/>
        <v>0.73749493124613741</v>
      </c>
      <c r="AP165" s="414">
        <f t="shared" si="332"/>
        <v>0.74785226056811804</v>
      </c>
      <c r="AQ165" s="414">
        <f t="shared" si="332"/>
        <v>0.73964310071223438</v>
      </c>
      <c r="AR165" s="414">
        <f t="shared" si="332"/>
        <v>0.73967301562023879</v>
      </c>
      <c r="AS165" s="422">
        <f t="shared" si="332"/>
        <v>0.74130177994313684</v>
      </c>
      <c r="AT165" s="462"/>
      <c r="AU165" s="508"/>
      <c r="AV165" s="143"/>
      <c r="AW165" s="143"/>
      <c r="AX165" s="143"/>
      <c r="AY165" s="143"/>
      <c r="AZ165" s="143"/>
      <c r="BA165" s="143"/>
      <c r="BB165" s="143"/>
      <c r="BC165" s="143"/>
      <c r="BD165" s="143"/>
      <c r="BE165" s="143"/>
      <c r="BF165" s="143"/>
      <c r="BG165" s="143"/>
      <c r="BH165" s="143"/>
      <c r="BI165" s="143"/>
      <c r="BJ165" s="143"/>
      <c r="BK165" s="143"/>
      <c r="BL165" s="143"/>
      <c r="BM165" s="143"/>
      <c r="BN165" s="143"/>
      <c r="BO165" s="143"/>
      <c r="BP165" s="143"/>
      <c r="BQ165" s="143"/>
    </row>
    <row r="166" spans="1:269">
      <c r="A166" s="319" t="s">
        <v>508</v>
      </c>
      <c r="B166" s="278"/>
      <c r="C166" s="316"/>
      <c r="D166" s="316"/>
      <c r="E166" s="316"/>
      <c r="F166" s="280"/>
      <c r="G166" s="280"/>
      <c r="H166" s="280"/>
      <c r="I166" s="280"/>
      <c r="J166" s="316"/>
      <c r="K166" s="280"/>
      <c r="L166" s="280"/>
      <c r="M166" s="280"/>
      <c r="N166" s="280"/>
      <c r="O166" s="316">
        <f t="shared" ref="O166:AS166" si="333">(O165-J165)*10000</f>
        <v>-579.80083228565184</v>
      </c>
      <c r="P166" s="280">
        <f t="shared" si="333"/>
        <v>-2774.5263157894738</v>
      </c>
      <c r="Q166" s="280">
        <f t="shared" si="333"/>
        <v>4440.5801738388527</v>
      </c>
      <c r="R166" s="280">
        <f t="shared" si="333"/>
        <v>1094.2038172807588</v>
      </c>
      <c r="S166" s="280">
        <f t="shared" si="333"/>
        <v>1300.7312588639552</v>
      </c>
      <c r="T166" s="316">
        <f t="shared" si="333"/>
        <v>855.44515443478849</v>
      </c>
      <c r="U166" s="280">
        <f t="shared" si="333"/>
        <v>43.372036136885008</v>
      </c>
      <c r="V166" s="280">
        <f t="shared" si="333"/>
        <v>-262.78776449700894</v>
      </c>
      <c r="W166" s="280">
        <f t="shared" si="333"/>
        <v>354.66373966065669</v>
      </c>
      <c r="X166" s="280">
        <f t="shared" si="333"/>
        <v>-425.90072965213221</v>
      </c>
      <c r="Y166" s="316">
        <f t="shared" si="333"/>
        <v>-98.290134614116283</v>
      </c>
      <c r="Z166" s="280">
        <f t="shared" si="333"/>
        <v>-270.00446889897665</v>
      </c>
      <c r="AA166" s="280">
        <f t="shared" si="333"/>
        <v>-742.3314164340411</v>
      </c>
      <c r="AB166" s="280">
        <f t="shared" si="333"/>
        <v>-1263.6692115555859</v>
      </c>
      <c r="AC166" s="280">
        <f t="shared" si="333"/>
        <v>444.14907918884137</v>
      </c>
      <c r="AD166" s="320">
        <f t="shared" si="333"/>
        <v>-432.94327032070925</v>
      </c>
      <c r="AE166" s="280">
        <f t="shared" si="333"/>
        <v>635.08930078838068</v>
      </c>
      <c r="AF166" s="280">
        <f t="shared" si="333"/>
        <v>1111.3766579755447</v>
      </c>
      <c r="AG166" s="280">
        <f t="shared" si="333"/>
        <v>1368.0057906054387</v>
      </c>
      <c r="AH166" s="280">
        <f t="shared" si="333"/>
        <v>-146.30634646647823</v>
      </c>
      <c r="AI166" s="320">
        <f t="shared" si="333"/>
        <v>712.73304936355976</v>
      </c>
      <c r="AJ166" s="280">
        <f t="shared" si="333"/>
        <v>-205.34007297820844</v>
      </c>
      <c r="AK166" s="280">
        <f t="shared" si="333"/>
        <v>-107.97429657467106</v>
      </c>
      <c r="AL166" s="280">
        <f t="shared" si="333"/>
        <v>-241.87076738084289</v>
      </c>
      <c r="AM166" s="280">
        <f t="shared" si="333"/>
        <v>-64.93328611379745</v>
      </c>
      <c r="AN166" s="320">
        <f t="shared" si="333"/>
        <v>-145.59936931410112</v>
      </c>
      <c r="AO166" s="280">
        <f t="shared" si="333"/>
        <v>-53.641166797232522</v>
      </c>
      <c r="AP166" s="280">
        <f t="shared" si="333"/>
        <v>-9.9861386984168021</v>
      </c>
      <c r="AQ166" s="280">
        <f t="shared" si="333"/>
        <v>27.996189236556557</v>
      </c>
      <c r="AR166" s="280">
        <f t="shared" si="333"/>
        <v>-61.883182063416918</v>
      </c>
      <c r="AS166" s="320">
        <f t="shared" si="333"/>
        <v>-24.275300826412938</v>
      </c>
      <c r="AT166" s="462"/>
      <c r="AU166" s="508"/>
      <c r="AV166" s="143"/>
      <c r="AW166" s="143"/>
      <c r="AX166" s="143"/>
      <c r="AY166" s="143"/>
      <c r="AZ166" s="143"/>
      <c r="BA166" s="143"/>
      <c r="BB166" s="143"/>
      <c r="BC166" s="143"/>
      <c r="BD166" s="143"/>
      <c r="BE166" s="143"/>
      <c r="BF166" s="143"/>
      <c r="BG166" s="143"/>
      <c r="BH166" s="143"/>
      <c r="BI166" s="143"/>
      <c r="BJ166" s="143"/>
      <c r="BK166" s="143"/>
      <c r="BL166" s="143"/>
      <c r="BM166" s="143"/>
      <c r="BN166" s="143"/>
      <c r="BO166" s="143"/>
      <c r="BP166" s="143"/>
      <c r="BQ166" s="143"/>
    </row>
    <row r="167" spans="1:269">
      <c r="A167" s="281" t="s">
        <v>35</v>
      </c>
      <c r="B167" s="278"/>
      <c r="C167" s="316"/>
      <c r="D167" s="316"/>
      <c r="E167" s="316"/>
      <c r="F167" s="280"/>
      <c r="G167" s="280"/>
      <c r="H167" s="280"/>
      <c r="I167" s="280"/>
      <c r="J167" s="316"/>
      <c r="K167" s="280"/>
      <c r="L167" s="280"/>
      <c r="M167" s="280"/>
      <c r="N167" s="280"/>
      <c r="O167" s="316"/>
      <c r="P167" s="280"/>
      <c r="Q167" s="280"/>
      <c r="R167" s="280"/>
      <c r="S167" s="280"/>
      <c r="T167" s="316"/>
      <c r="U167" s="280"/>
      <c r="V167" s="280"/>
      <c r="W167" s="280"/>
      <c r="X167" s="280"/>
      <c r="Y167" s="316"/>
      <c r="Z167" s="280"/>
      <c r="AA167" s="280"/>
      <c r="AB167" s="280"/>
      <c r="AC167" s="280"/>
      <c r="AD167" s="320"/>
      <c r="AE167" s="280"/>
      <c r="AF167" s="280"/>
      <c r="AG167" s="280"/>
      <c r="AH167" s="280"/>
      <c r="AI167" s="320"/>
      <c r="AJ167" s="280"/>
      <c r="AK167" s="280"/>
      <c r="AL167" s="280"/>
      <c r="AM167" s="280"/>
      <c r="AN167" s="320"/>
      <c r="AO167" s="280"/>
      <c r="AP167" s="280"/>
      <c r="AQ167" s="280"/>
      <c r="AR167" s="280"/>
      <c r="AS167" s="320"/>
      <c r="AT167" s="462"/>
      <c r="AU167" s="508"/>
      <c r="AV167" s="143"/>
      <c r="AW167" s="143"/>
      <c r="AX167" s="143"/>
      <c r="AY167" s="143"/>
      <c r="AZ167" s="143"/>
      <c r="BA167" s="143"/>
      <c r="BB167" s="143"/>
      <c r="BC167" s="143"/>
      <c r="BD167" s="143"/>
      <c r="BE167" s="143"/>
      <c r="BF167" s="143"/>
      <c r="BG167" s="143"/>
      <c r="BH167" s="143"/>
      <c r="BI167" s="143"/>
      <c r="BJ167" s="143"/>
      <c r="BK167" s="143"/>
      <c r="BL167" s="143"/>
      <c r="BM167" s="143"/>
      <c r="BN167" s="143"/>
      <c r="BO167" s="143"/>
      <c r="BP167" s="143"/>
      <c r="BQ167" s="143"/>
    </row>
    <row r="168" spans="1:269">
      <c r="A168" s="319" t="s">
        <v>56</v>
      </c>
      <c r="B168" s="442" t="s">
        <v>435</v>
      </c>
      <c r="C168" s="316"/>
      <c r="D168" s="316"/>
      <c r="E168" s="316"/>
      <c r="F168" s="460" cm="1">
        <f t="array" ref="F168">_xll.VAData("SKIN_US", F$4, $B168, "consensus", "CD", "IMPL","", "")</f>
        <v>34.897515354381966</v>
      </c>
      <c r="G168" s="460" cm="1">
        <f t="array" ref="G168">_xll.VAData("SKIN_US", G$4, $B168, "consensus", "CD", "IMPL","", "")</f>
        <v>42.592511625843514</v>
      </c>
      <c r="H168" s="460" cm="1">
        <f t="array" ref="H168">_xll.VAData("SKIN_US", H$4, $B168, "consensus", "CD", "IMPL","", "")</f>
        <v>39.793497957489571</v>
      </c>
      <c r="I168" s="460" cm="1">
        <f t="array" ref="I168">_xll.VAData("SKIN_US", I$4, $B168, "consensus", "CD", "IMPL","", "")</f>
        <v>50.113472707636802</v>
      </c>
      <c r="J168" s="588">
        <f>SUM(F168:I168)</f>
        <v>167.39699764535186</v>
      </c>
      <c r="K168" s="460" cm="1">
        <f t="array" ref="K168">_xll.VAData("SKIN_US", K$4, $B168, "consensus", "CD", "IMPL","", "")</f>
        <v>32.539111111111112</v>
      </c>
      <c r="L168" s="460" cm="1">
        <f t="array" ref="L168">_xll.VAData("SKIN_US", L$4, $B168, "consensus", "CD", "IMPL","", "")</f>
        <v>14.114222222222223</v>
      </c>
      <c r="M168" s="460" cm="1">
        <f t="array" ref="M168">_xll.VAData("SKIN_US", M$4, $B168, "consensus", "CD", "IMPL","", "")</f>
        <v>34.553333333333335</v>
      </c>
      <c r="N168" s="460" cm="1">
        <f t="array" ref="N168">_xll.VAData("SKIN_US", N$4, $B168, "consensus", "CD", "IMPL","", "")</f>
        <v>37.886733601636479</v>
      </c>
      <c r="O168" s="588">
        <f t="shared" ref="O168:O170" si="334">SUM(K168:N168)</f>
        <v>119.09340026830316</v>
      </c>
      <c r="P168" s="460" cm="1">
        <f t="array" ref="P168">_xll.VAData("SKIN_US", P$4, $B168, "consensus", "CD", "IMPL","", "")</f>
        <v>47.537799999999997</v>
      </c>
      <c r="Q168" s="460" cm="1">
        <f t="array" ref="Q168">_xll.VAData("SKIN_US", Q$4, $B168, "consensus", "CD", "IMPL","", "")</f>
        <v>66.506400299999996</v>
      </c>
      <c r="R168" s="460" cm="1">
        <f t="array" ref="R168">_xll.VAData("SKIN_US", R$4, $B168, "consensus", "CD", "IMPL","", "")</f>
        <v>68.147000300000002</v>
      </c>
      <c r="S168" s="460" cm="1">
        <f t="array" ref="S168">_xll.VAData("SKIN_US", S$4, $B168, "consensus", "CD", "IMPL","", "")</f>
        <v>77.890100000000004</v>
      </c>
      <c r="T168" s="588">
        <f t="shared" ref="T168:T170" si="335">SUM(P168:S168)</f>
        <v>260.08130060000002</v>
      </c>
      <c r="U168" s="460" cm="1">
        <f t="array" ref="U168">_xll.VAData("SKIN_US", U$4, $B168, "consensus", "CD", "IMPL","", "")</f>
        <v>75.4120001</v>
      </c>
      <c r="V168" s="460" cm="1">
        <f t="array" ref="V168">_xll.VAData("SKIN_US", V$4, $B168, "consensus", "CD", "IMPL","", "")</f>
        <v>103.5359829933217</v>
      </c>
      <c r="W168" s="460" cm="1">
        <f t="array" ref="W168">_xll.VAData("SKIN_US", W$4, $B168, "consensus", "CD", "IMPL","", "")</f>
        <v>88.792780617536224</v>
      </c>
      <c r="X168" s="460" cm="1">
        <f t="array" ref="X168">_xll.VAData("SKIN_US", X$4, $B168, "consensus", "CD", "IMPL","", "")</f>
        <v>98.132999999999996</v>
      </c>
      <c r="Y168" s="588">
        <f>SUM(U168:X168)</f>
        <v>365.87376371085787</v>
      </c>
      <c r="Z168" s="460" cm="1">
        <f t="array" ref="Z168">_xll.VAData("SKIN_US", Z$4, $B168, "consensus", "CD", "IMPL","", "")</f>
        <v>86.286799999999999</v>
      </c>
      <c r="AA168" s="460" cm="1">
        <f t="array" ref="AA168">_xll.VAData("SKIN_US", AA$4, $B168, "consensus", "CD", "IMPL","", "")</f>
        <v>117.49160000000001</v>
      </c>
      <c r="AB168" s="460" cm="1">
        <f t="array" ref="AB168">_xll.VAData("SKIN_US", AB$4, $B168, "consensus", "CD", "IMPL","", "")</f>
        <v>97.4</v>
      </c>
      <c r="AC168" s="460" cm="1">
        <f t="array" ref="AC168">_xll.VAData("SKIN_US", AC$4, $B168, "consensus", "CD", "IMPL","", "")</f>
        <v>94.320867004654261</v>
      </c>
      <c r="AD168" s="449">
        <f>SUM(Z168:AC168)</f>
        <v>395.49926700465426</v>
      </c>
      <c r="AE168" s="460" cm="1">
        <f t="array" ref="AE168">_xll.VAData("SKIN_US", AE$4, $B168, "consensus", "CD", "IMPL","", "")</f>
        <v>90.471479072753212</v>
      </c>
      <c r="AF168" s="460" cm="1">
        <f t="array" ref="AF168">_xll.VAData("SKIN_US", AF$4, $B168, "consensus", "CD", "IMPL","", "")</f>
        <v>113.59124492319937</v>
      </c>
      <c r="AG168" s="460" cm="1">
        <f t="array" ref="AG168">_xll.VAData("SKIN_US", AG$4, $B168, "consensus", "CD", "IMPL","", "")</f>
        <v>108.99093286092199</v>
      </c>
      <c r="AH168" s="460" cm="1">
        <f t="array" ref="AH168">_xll.VAData("SKIN_US", AH$4, $B168, "consensus", "CD", "IMPL","", "")</f>
        <v>109.96014529477654</v>
      </c>
      <c r="AI168" s="449">
        <f>SUM(AE168:AH168)</f>
        <v>423.01380215165113</v>
      </c>
      <c r="AJ168" s="460" cm="1">
        <f t="array" ref="AJ168">_xll.VAData("SKIN_US", AJ$4, $B168, "consensus", "CD", "IMPL","", "")</f>
        <v>98.56606176121997</v>
      </c>
      <c r="AK168" s="460" cm="1">
        <f t="array" ref="AK168">_xll.VAData("SKIN_US", AK$4, $B168, "consensus", "CD", "IMPL","", "")</f>
        <v>113.50585768638601</v>
      </c>
      <c r="AL168" s="460" cm="1">
        <f t="array" ref="AL168">_xll.VAData("SKIN_US", AL$4, $B168, "consensus", "CD", "IMPL","", "")</f>
        <v>113.11733058307533</v>
      </c>
      <c r="AM168" s="460" cm="1">
        <f t="array" ref="AM168">_xll.VAData("SKIN_US", AM$4, $B168, "consensus", "CD", "IMPL","", "")</f>
        <v>114.46715883847267</v>
      </c>
      <c r="AN168" s="449">
        <f>SUM(AJ168:AM168)</f>
        <v>439.65640886915401</v>
      </c>
      <c r="AO168" s="460" cm="1">
        <f t="array" ref="AO168">_xll.VAData("SKIN_US", AO$4, $B168, "consensus", "CD", "IMPL","", "")</f>
        <v>108.99998701620164</v>
      </c>
      <c r="AP168" s="460" cm="1">
        <f t="array" ref="AP168">_xll.VAData("SKIN_US", AP$4, $B168, "consensus", "CD", "IMPL","", "")</f>
        <v>127.66043676509599</v>
      </c>
      <c r="AQ168" s="460" cm="1">
        <f t="array" ref="AQ168">_xll.VAData("SKIN_US", AQ$4, $B168, "consensus", "CD", "IMPL","", "")</f>
        <v>127.94520317953651</v>
      </c>
      <c r="AR168" s="460" cm="1">
        <f t="array" ref="AR168">_xll.VAData("SKIN_US", AR$4, $B168, "consensus", "CD", "IMPL","", "")</f>
        <v>128.72301451882751</v>
      </c>
      <c r="AS168" s="449">
        <f>SUM(AO168:AR168)</f>
        <v>493.32864147966166</v>
      </c>
      <c r="AT168" s="462"/>
      <c r="AU168" s="508"/>
      <c r="AV168" s="143"/>
      <c r="AW168" s="143"/>
      <c r="AX168" s="143"/>
      <c r="AY168" s="143"/>
      <c r="AZ168" s="143"/>
      <c r="BA168" s="143"/>
      <c r="BB168" s="143"/>
      <c r="BC168" s="143"/>
      <c r="BD168" s="143"/>
      <c r="BE168" s="143"/>
      <c r="BF168" s="143"/>
      <c r="BG168" s="143"/>
      <c r="BH168" s="143"/>
      <c r="BI168" s="143"/>
      <c r="BJ168" s="143"/>
      <c r="BK168" s="143"/>
      <c r="BL168" s="143"/>
      <c r="BM168" s="143"/>
      <c r="BN168" s="143"/>
      <c r="BO168" s="143"/>
      <c r="BP168" s="143"/>
      <c r="BQ168" s="143"/>
    </row>
    <row r="169" spans="1:269" hidden="1" outlineLevel="1">
      <c r="A169" s="426" t="s">
        <v>208</v>
      </c>
      <c r="B169" s="442"/>
      <c r="C169" s="316"/>
      <c r="D169" s="316"/>
      <c r="E169" s="316"/>
      <c r="F169" s="460"/>
      <c r="G169" s="460"/>
      <c r="H169" s="460"/>
      <c r="I169" s="460"/>
      <c r="J169" s="588"/>
      <c r="K169" s="456">
        <f>K168/F168-1</f>
        <v>-6.7580864119448525E-2</v>
      </c>
      <c r="L169" s="456">
        <f t="shared" ref="L169:AS169" si="336">L168/G168-1</f>
        <v>-0.66862197875980034</v>
      </c>
      <c r="M169" s="456">
        <f t="shared" si="336"/>
        <v>-0.13168394067176947</v>
      </c>
      <c r="N169" s="456">
        <f t="shared" si="336"/>
        <v>-0.24398107824878579</v>
      </c>
      <c r="O169" s="586">
        <f t="shared" si="336"/>
        <v>-0.28855713099099278</v>
      </c>
      <c r="P169" s="456">
        <f t="shared" si="336"/>
        <v>0.46094341168918085</v>
      </c>
      <c r="Q169" s="427">
        <f t="shared" si="336"/>
        <v>3.7120131207292877</v>
      </c>
      <c r="R169" s="456">
        <f t="shared" si="336"/>
        <v>0.97222651842562224</v>
      </c>
      <c r="S169" s="456">
        <f t="shared" si="336"/>
        <v>1.0558673866948407</v>
      </c>
      <c r="T169" s="586">
        <f t="shared" si="336"/>
        <v>1.1838431014150914</v>
      </c>
      <c r="U169" s="456">
        <f t="shared" si="336"/>
        <v>0.58635864722389353</v>
      </c>
      <c r="V169" s="456">
        <f t="shared" si="336"/>
        <v>0.55678224240504726</v>
      </c>
      <c r="W169" s="456">
        <f t="shared" si="336"/>
        <v>0.30295948796936578</v>
      </c>
      <c r="X169" s="456">
        <f t="shared" si="336"/>
        <v>0.25989053807865181</v>
      </c>
      <c r="Y169" s="586">
        <f t="shared" si="336"/>
        <v>0.40676689507010955</v>
      </c>
      <c r="Z169" s="456">
        <f t="shared" si="336"/>
        <v>0.1442051647692606</v>
      </c>
      <c r="AA169" s="456">
        <f t="shared" si="336"/>
        <v>0.13479001795519219</v>
      </c>
      <c r="AB169" s="456">
        <f t="shared" si="336"/>
        <v>9.6936027035106509E-2</v>
      </c>
      <c r="AC169" s="456">
        <f t="shared" si="336"/>
        <v>-3.8846595898889613E-2</v>
      </c>
      <c r="AD169" s="422">
        <f t="shared" si="336"/>
        <v>8.0971925926912824E-2</v>
      </c>
      <c r="AE169" s="456">
        <f t="shared" si="336"/>
        <v>4.8497326042375111E-2</v>
      </c>
      <c r="AF169" s="456">
        <f t="shared" si="336"/>
        <v>-3.3196884516004888E-2</v>
      </c>
      <c r="AG169" s="456">
        <f t="shared" si="336"/>
        <v>0.11900341746326459</v>
      </c>
      <c r="AH169" s="456">
        <f t="shared" si="336"/>
        <v>0.16580931438374669</v>
      </c>
      <c r="AI169" s="422">
        <f t="shared" si="336"/>
        <v>6.9569117928790281E-2</v>
      </c>
      <c r="AJ169" s="456">
        <f t="shared" si="336"/>
        <v>8.9471099305864721E-2</v>
      </c>
      <c r="AK169" s="456">
        <f t="shared" si="336"/>
        <v>-7.5170614488018206E-4</v>
      </c>
      <c r="AL169" s="456">
        <f t="shared" si="336"/>
        <v>3.7860009212131729E-2</v>
      </c>
      <c r="AM169" s="456">
        <f t="shared" si="336"/>
        <v>4.0987700876657707E-2</v>
      </c>
      <c r="AN169" s="422">
        <f t="shared" si="336"/>
        <v>3.9342940189777797E-2</v>
      </c>
      <c r="AO169" s="456">
        <f t="shared" si="336"/>
        <v>0.10585717911970804</v>
      </c>
      <c r="AP169" s="456">
        <f t="shared" si="336"/>
        <v>0.12470351193520557</v>
      </c>
      <c r="AQ169" s="456">
        <f t="shared" si="336"/>
        <v>0.13108400383945873</v>
      </c>
      <c r="AR169" s="456">
        <f t="shared" si="336"/>
        <v>0.12454101093285286</v>
      </c>
      <c r="AS169" s="422">
        <f t="shared" si="336"/>
        <v>0.12207767594826757</v>
      </c>
      <c r="AT169" s="462"/>
      <c r="AU169" s="508"/>
      <c r="AV169" s="143"/>
      <c r="AW169" s="143"/>
      <c r="AX169" s="143"/>
      <c r="AY169" s="143"/>
      <c r="AZ169" s="143"/>
      <c r="BA169" s="143"/>
      <c r="BB169" s="143"/>
      <c r="BC169" s="143"/>
      <c r="BD169" s="143"/>
      <c r="BE169" s="143"/>
      <c r="BF169" s="143"/>
      <c r="BG169" s="143"/>
      <c r="BH169" s="143"/>
      <c r="BI169" s="143"/>
      <c r="BJ169" s="143"/>
      <c r="BK169" s="143"/>
      <c r="BL169" s="143"/>
      <c r="BM169" s="143"/>
      <c r="BN169" s="143"/>
      <c r="BO169" s="143"/>
      <c r="BP169" s="143"/>
      <c r="BQ169" s="143"/>
    </row>
    <row r="170" spans="1:269" customFormat="1" collapsed="1">
      <c r="A170" s="59" t="s">
        <v>404</v>
      </c>
      <c r="B170" s="442" t="s">
        <v>526</v>
      </c>
      <c r="C170" s="13"/>
      <c r="D170" s="13"/>
      <c r="E170" s="13"/>
      <c r="F170" s="457" cm="1">
        <f t="array" ref="F170">_xll.VAData("SKIN_US", F$4, $B170, "consensus", "CD", "IMPL","", "")</f>
        <v>22.596020408163302</v>
      </c>
      <c r="G170" s="457" cm="1">
        <f t="array" ref="G170">_xll.VAData("SKIN_US", G$4, $B170, "consensus", "CD", "IMPL","", "")</f>
        <v>32.215000000000003</v>
      </c>
      <c r="H170" s="457" cm="1">
        <f t="array" ref="H170">_xll.VAData("SKIN_US", H$4, $B170, "consensus", "CD", "IMPL","", "")</f>
        <v>28.684524153661499</v>
      </c>
      <c r="I170" s="457" cm="1">
        <f t="array" ref="I170">_xll.VAData("SKIN_US", I$4, $B170, "consensus", "CD", "IMPL","", "")</f>
        <v>34.952628835534199</v>
      </c>
      <c r="J170" s="588">
        <f>SUM(F170:I170)</f>
        <v>118.448173397359</v>
      </c>
      <c r="K170" s="457" cm="1">
        <f t="array" ref="K170">_xll.VAData("SKIN_US", K$4, $B170, "consensus", "CD", "IMPL","", "")</f>
        <v>21.561062499999998</v>
      </c>
      <c r="L170" s="457" cm="1">
        <f t="array" ref="L170">_xll.VAData("SKIN_US", L$4, $B170, "consensus", "CD", "IMPL","", "")</f>
        <v>7.2041250000000003</v>
      </c>
      <c r="M170" s="457" cm="1">
        <f t="array" ref="M170">_xll.VAData("SKIN_US", M$4, $B170, "consensus", "CD", "IMPL","", "")</f>
        <v>23.609375</v>
      </c>
      <c r="N170" s="457" cm="1">
        <f t="array" ref="N170">_xll.VAData("SKIN_US", N$4, $B170, "consensus", "CD", "IMPL","", "")</f>
        <v>25.640887801841039</v>
      </c>
      <c r="O170" s="588">
        <f t="shared" si="334"/>
        <v>78.015450301841042</v>
      </c>
      <c r="P170" s="457" cm="1">
        <f t="array" ref="P170">_xll.VAData("SKIN_US", P$4, $B170, "consensus", "CD", "IMPL","", "")</f>
        <v>34.338333333333338</v>
      </c>
      <c r="Q170" s="457" cm="1">
        <f t="array" ref="Q170">_xll.VAData("SKIN_US", Q$4, $B170, "consensus", "CD", "IMPL","", "")</f>
        <v>49.821555888888888</v>
      </c>
      <c r="R170" s="457" cm="1">
        <f t="array" ref="R170">_xll.VAData("SKIN_US", R$4, $B170, "consensus", "CD", "IMPL","", "")</f>
        <v>48.717597111111111</v>
      </c>
      <c r="S170" s="457" cm="1">
        <f t="array" ref="S170">_xll.VAData("SKIN_US", S$4, $B170, "consensus", "CD", "IMPL","", "")</f>
        <v>59.57588888888889</v>
      </c>
      <c r="T170" s="588">
        <f t="shared" si="335"/>
        <v>192.45337522222223</v>
      </c>
      <c r="U170" s="457" cm="1">
        <f t="array" ref="U170">_xll.VAData("SKIN_US", U$4, $B170, "consensus", "CD", "IMPL","", "")</f>
        <v>54.387111111111111</v>
      </c>
      <c r="V170" s="457" cm="1">
        <f t="array" ref="V170">_xll.VAData("SKIN_US", V$4, $B170, "consensus", "CD", "IMPL","", "")</f>
        <v>73.934314437024099</v>
      </c>
      <c r="W170" s="457" cm="1">
        <f t="array" ref="W170">_xll.VAData("SKIN_US", W$4, $B170, "consensus", "CD", "IMPL","", "")</f>
        <v>66.594975771920275</v>
      </c>
      <c r="X170" s="457" cm="1">
        <f t="array" ref="X170">_xll.VAData("SKIN_US", X$4, $B170, "consensus", "CD", "IMPL","", "")</f>
        <v>70.7608888888889</v>
      </c>
      <c r="Y170" s="588">
        <f t="shared" ref="Y170" si="337">SUM(U170:X170)</f>
        <v>265.67729020894438</v>
      </c>
      <c r="Z170" s="457" cm="1">
        <f t="array" ref="Z170">_xll.VAData("SKIN_US", Z$4, $B170, "consensus", "CD", "IMPL","", "")</f>
        <v>60.013444444444445</v>
      </c>
      <c r="AA170" s="457" cm="1">
        <f t="array" ref="AA170">_xll.VAData("SKIN_US", AA$4, $B170, "consensus", "CD", "IMPL","", "")</f>
        <v>75.606333333333325</v>
      </c>
      <c r="AB170" s="457" cm="1">
        <f t="array" ref="AB170">_xll.VAData("SKIN_US", AB$4, $B170, "consensus", "CD", "IMPL","", "")</f>
        <v>60.875</v>
      </c>
      <c r="AC170" s="457" cm="1">
        <f t="array" ref="AC170">_xll.VAData("SKIN_US", AC$4, $B170, "consensus", "CD", "IMPL","", "")</f>
        <v>59.028904443999231</v>
      </c>
      <c r="AD170" s="446">
        <f t="shared" ref="AD170" si="338">SUM(Z170:AC170)</f>
        <v>255.52368222177699</v>
      </c>
      <c r="AE170" s="457" cm="1">
        <f t="array" ref="AE170">_xll.VAData("SKIN_US", AE$4, $B170, "consensus", "CD", "IMPL","", "")</f>
        <v>59.503494845959992</v>
      </c>
      <c r="AF170" s="457" cm="1">
        <f t="array" ref="AF170">_xll.VAData("SKIN_US", AF$4, $B170, "consensus", "CD", "IMPL","", "")</f>
        <v>75.192021450770426</v>
      </c>
      <c r="AG170" s="457" cm="1">
        <f t="array" ref="AG170">_xll.VAData("SKIN_US", AG$4, $B170, "consensus", "CD", "IMPL","", "")</f>
        <v>73.18593794321238</v>
      </c>
      <c r="AH170" s="457" cm="1">
        <f t="array" ref="AH170">_xll.VAData("SKIN_US", AH$4, $B170, "consensus", "CD", "IMPL","", "")</f>
        <v>74.357670874035207</v>
      </c>
      <c r="AI170" s="446">
        <f t="shared" ref="AI170" si="339">SUM(AE170:AH170)</f>
        <v>282.23912511397799</v>
      </c>
      <c r="AJ170" s="457" cm="1">
        <f t="array" ref="AJ170">_xll.VAData("SKIN_US", AJ$4, $B170, "consensus", "CD", "IMPL","", "")</f>
        <v>65.091266751183241</v>
      </c>
      <c r="AK170" s="457" cm="1">
        <f t="array" ref="AK170">_xll.VAData("SKIN_US", AK$4, $B170, "consensus", "CD", "IMPL","", "")</f>
        <v>75.206036927266709</v>
      </c>
      <c r="AL170" s="457" cm="1">
        <f t="array" ref="AL170">_xll.VAData("SKIN_US", AL$4, $B170, "consensus", "CD", "IMPL","", "")</f>
        <v>77.035778537716993</v>
      </c>
      <c r="AM170" s="457" cm="1">
        <f t="array" ref="AM170">_xll.VAData("SKIN_US", AM$4, $B170, "consensus", "CD", "IMPL","", "")</f>
        <v>78.690763700611342</v>
      </c>
      <c r="AN170" s="446">
        <f t="shared" ref="AN170" si="340">SUM(AJ170:AM170)</f>
        <v>296.02384591677833</v>
      </c>
      <c r="AO170" s="457" cm="1">
        <f t="array" ref="AO170">_xll.VAData("SKIN_US", AO$4, $B170, "consensus", "CD", "IMPL","", "")</f>
        <v>73.734285833423556</v>
      </c>
      <c r="AP170" s="457" cm="1">
        <f t="array" ref="AP170">_xll.VAData("SKIN_US", AP$4, $B170, "consensus", "CD", "IMPL","", "")</f>
        <v>85.254378958283652</v>
      </c>
      <c r="AQ170" s="457" cm="1">
        <f t="array" ref="AQ170">_xll.VAData("SKIN_US", AQ$4, $B170, "consensus", "CD", "IMPL","", "")</f>
        <v>88.029206243056592</v>
      </c>
      <c r="AR170" s="457" cm="1">
        <f t="array" ref="AR170">_xll.VAData("SKIN_US", AR$4, $B170, "consensus", "CD", "IMPL","", "")</f>
        <v>89.442577584258302</v>
      </c>
      <c r="AS170" s="446">
        <f t="shared" ref="AS170" si="341">SUM(AO170:AR170)</f>
        <v>336.46044861902209</v>
      </c>
      <c r="AT170" s="585"/>
      <c r="AU170" s="508"/>
      <c r="AV170" s="143"/>
      <c r="AW170" s="143"/>
      <c r="AX170" s="143"/>
      <c r="AY170" s="143"/>
      <c r="AZ170" s="143"/>
      <c r="BA170" s="143"/>
      <c r="BB170" s="143"/>
      <c r="BC170" s="143"/>
      <c r="BD170" s="143"/>
      <c r="BE170" s="143"/>
      <c r="BF170" s="143"/>
      <c r="BG170" s="143"/>
      <c r="BH170" s="143"/>
      <c r="BI170" s="143"/>
      <c r="BJ170" s="143"/>
      <c r="BK170" s="143"/>
      <c r="BL170" s="143"/>
      <c r="BM170" s="143"/>
      <c r="BN170" s="143"/>
      <c r="BO170" s="143"/>
      <c r="BP170" s="143"/>
      <c r="BQ170" s="143"/>
      <c r="BS170" s="505"/>
    </row>
    <row r="171" spans="1:269" customFormat="1" outlineLevel="1">
      <c r="A171" s="59" t="s">
        <v>568</v>
      </c>
      <c r="B171" s="442"/>
      <c r="C171" s="13"/>
      <c r="D171" s="13"/>
      <c r="E171" s="13"/>
      <c r="F171" s="587">
        <f t="shared" ref="F171" si="342">F170/F168</f>
        <v>0.64749653889975278</v>
      </c>
      <c r="G171" s="587">
        <f t="shared" ref="G171" si="343">G170/G168</f>
        <v>0.75635361170983795</v>
      </c>
      <c r="H171" s="587">
        <f t="shared" ref="H171" si="344">H170/H168</f>
        <v>0.72083444848966238</v>
      </c>
      <c r="I171" s="587">
        <f t="shared" ref="I171" si="345">I170/I168</f>
        <v>0.69746970120088603</v>
      </c>
      <c r="J171" s="586">
        <f t="shared" ref="J171:AR171" si="346">J170/J168</f>
        <v>0.70758839802075724</v>
      </c>
      <c r="K171" s="587">
        <f t="shared" si="346"/>
        <v>0.66261989844699709</v>
      </c>
      <c r="L171" s="587">
        <f t="shared" si="346"/>
        <v>0.51041601064332276</v>
      </c>
      <c r="M171" s="587">
        <f t="shared" si="346"/>
        <v>0.68327344202199491</v>
      </c>
      <c r="N171" s="587">
        <f t="shared" si="346"/>
        <v>0.67677747233225471</v>
      </c>
      <c r="O171" s="586">
        <f t="shared" si="346"/>
        <v>0.65507786431558412</v>
      </c>
      <c r="P171" s="587">
        <f t="shared" si="346"/>
        <v>0.72233745216087708</v>
      </c>
      <c r="Q171" s="587">
        <f t="shared" si="346"/>
        <v>0.74912422961025738</v>
      </c>
      <c r="R171" s="587">
        <f t="shared" si="346"/>
        <v>0.71488982488802388</v>
      </c>
      <c r="S171" s="587">
        <f t="shared" si="346"/>
        <v>0.76487113110509408</v>
      </c>
      <c r="T171" s="586">
        <f t="shared" si="346"/>
        <v>0.73997390346110192</v>
      </c>
      <c r="U171" s="587">
        <f t="shared" si="346"/>
        <v>0.72119969022159791</v>
      </c>
      <c r="V171" s="587">
        <f t="shared" si="346"/>
        <v>0.71409293947393182</v>
      </c>
      <c r="W171" s="587">
        <f t="shared" si="346"/>
        <v>0.75000439572637989</v>
      </c>
      <c r="X171" s="587">
        <f t="shared" si="346"/>
        <v>0.7210712898707764</v>
      </c>
      <c r="Y171" s="586">
        <f t="shared" si="346"/>
        <v>0.72614468857871806</v>
      </c>
      <c r="Z171" s="587">
        <f t="shared" si="346"/>
        <v>0.69551130004177286</v>
      </c>
      <c r="AA171" s="587">
        <f t="shared" si="346"/>
        <v>0.64350415973000041</v>
      </c>
      <c r="AB171" s="587">
        <f t="shared" si="346"/>
        <v>0.625</v>
      </c>
      <c r="AC171" s="587">
        <f t="shared" si="346"/>
        <v>0.62583080837336291</v>
      </c>
      <c r="AD171" s="589">
        <f t="shared" si="346"/>
        <v>0.64607877571305328</v>
      </c>
      <c r="AE171" s="587">
        <f t="shared" si="346"/>
        <v>0.65770445510357889</v>
      </c>
      <c r="AF171" s="587">
        <f t="shared" si="346"/>
        <v>0.6619526135276429</v>
      </c>
      <c r="AG171" s="587">
        <f t="shared" si="346"/>
        <v>0.67148648077543649</v>
      </c>
      <c r="AH171" s="587">
        <f t="shared" si="346"/>
        <v>0.67622383250495244</v>
      </c>
      <c r="AI171" s="589">
        <f t="shared" si="346"/>
        <v>0.66721020372946316</v>
      </c>
      <c r="AJ171" s="587">
        <f t="shared" si="346"/>
        <v>0.660382139532665</v>
      </c>
      <c r="AK171" s="587">
        <f t="shared" si="346"/>
        <v>0.6625740597023565</v>
      </c>
      <c r="AL171" s="587">
        <f t="shared" si="346"/>
        <v>0.6810254285583639</v>
      </c>
      <c r="AM171" s="587">
        <f t="shared" si="346"/>
        <v>0.68745275500070502</v>
      </c>
      <c r="AN171" s="589">
        <f t="shared" si="346"/>
        <v>0.67330724617021986</v>
      </c>
      <c r="AO171" s="587">
        <f t="shared" si="346"/>
        <v>0.67646141849965324</v>
      </c>
      <c r="AP171" s="587">
        <f t="shared" si="346"/>
        <v>0.66782145759972278</v>
      </c>
      <c r="AQ171" s="587">
        <f t="shared" si="346"/>
        <v>0.68802271640876911</v>
      </c>
      <c r="AR171" s="587">
        <f t="shared" si="346"/>
        <v>0.69484526849063266</v>
      </c>
      <c r="AS171" s="589">
        <f>AS170/AS168</f>
        <v>0.68202090924593772</v>
      </c>
      <c r="AT171" s="585"/>
      <c r="AU171" s="508"/>
      <c r="AV171" s="143"/>
      <c r="AW171" s="143"/>
      <c r="AX171" s="143"/>
      <c r="AY171" s="143"/>
      <c r="AZ171" s="143"/>
      <c r="BA171" s="143"/>
      <c r="BB171" s="143"/>
      <c r="BC171" s="143"/>
      <c r="BD171" s="143"/>
      <c r="BE171" s="143"/>
      <c r="BF171" s="143"/>
      <c r="BG171" s="143"/>
      <c r="BH171" s="143"/>
      <c r="BI171" s="143"/>
      <c r="BJ171" s="143"/>
      <c r="BK171" s="143"/>
      <c r="BL171" s="143"/>
      <c r="BM171" s="143"/>
      <c r="BN171" s="143"/>
      <c r="BO171" s="143"/>
      <c r="BP171" s="143"/>
      <c r="BQ171" s="143"/>
      <c r="BS171" s="505"/>
    </row>
    <row r="172" spans="1:269" customFormat="1" outlineLevel="1">
      <c r="A172" s="281" t="s">
        <v>530</v>
      </c>
      <c r="B172" s="442"/>
      <c r="C172" s="13"/>
      <c r="D172" s="13"/>
      <c r="E172" s="13"/>
      <c r="F172" s="587"/>
      <c r="G172" s="587"/>
      <c r="H172" s="587"/>
      <c r="I172" s="587"/>
      <c r="J172" s="586"/>
      <c r="K172" s="587"/>
      <c r="L172" s="587"/>
      <c r="M172" s="587"/>
      <c r="N172" s="587"/>
      <c r="O172" s="586"/>
      <c r="P172" s="587"/>
      <c r="Q172" s="587"/>
      <c r="R172" s="587"/>
      <c r="S172" s="587"/>
      <c r="T172" s="586"/>
      <c r="U172" s="587"/>
      <c r="V172" s="587"/>
      <c r="W172" s="587"/>
      <c r="X172" s="587"/>
      <c r="Y172" s="586"/>
      <c r="Z172" s="587"/>
      <c r="AA172" s="587"/>
      <c r="AB172" s="587"/>
      <c r="AC172" s="587"/>
      <c r="AD172" s="589"/>
      <c r="AE172" s="587"/>
      <c r="AF172" s="587"/>
      <c r="AG172" s="587"/>
      <c r="AH172" s="587"/>
      <c r="AI172" s="589"/>
      <c r="AJ172" s="587"/>
      <c r="AK172" s="587"/>
      <c r="AL172" s="587"/>
      <c r="AM172" s="587"/>
      <c r="AN172" s="589"/>
      <c r="AO172" s="587"/>
      <c r="AP172" s="587"/>
      <c r="AQ172" s="587"/>
      <c r="AR172" s="587"/>
      <c r="AS172" s="589"/>
      <c r="AT172" s="585"/>
      <c r="AU172" s="508"/>
      <c r="AV172" s="143"/>
      <c r="AW172" s="143"/>
      <c r="AX172" s="143"/>
      <c r="AY172" s="143"/>
      <c r="AZ172" s="143"/>
      <c r="BA172" s="143"/>
      <c r="BB172" s="143"/>
      <c r="BC172" s="143"/>
      <c r="BD172" s="143"/>
      <c r="BE172" s="143"/>
      <c r="BF172" s="143"/>
      <c r="BG172" s="143"/>
      <c r="BH172" s="143"/>
      <c r="BI172" s="143"/>
      <c r="BJ172" s="143"/>
      <c r="BK172" s="143"/>
      <c r="BL172" s="143"/>
      <c r="BM172" s="143"/>
      <c r="BN172" s="143"/>
      <c r="BO172" s="143"/>
      <c r="BP172" s="143"/>
      <c r="BQ172" s="143"/>
      <c r="BS172" s="505"/>
    </row>
    <row r="173" spans="1:269" customFormat="1" outlineLevel="1">
      <c r="A173" s="319" t="s">
        <v>56</v>
      </c>
      <c r="B173" s="442"/>
      <c r="C173" s="13"/>
      <c r="D173" s="13"/>
      <c r="E173" s="13"/>
      <c r="F173" s="587">
        <f>(F158/F168)-1</f>
        <v>2.9367318726651881E-3</v>
      </c>
      <c r="G173" s="587">
        <f>(G158/G168)-1</f>
        <v>9.5671365364899952E-3</v>
      </c>
      <c r="H173" s="587">
        <f>(H158/H168)-1</f>
        <v>5.1893413022154888E-3</v>
      </c>
      <c r="I173" s="587">
        <f>(I158/I168)-1</f>
        <v>-2.2643153927648374E-3</v>
      </c>
      <c r="J173" s="586">
        <f>(J158/J168)-1</f>
        <v>-2.371593582538134E-3</v>
      </c>
      <c r="K173" s="587">
        <f>(K158/K168)-1</f>
        <v>-1.2019723273188898E-3</v>
      </c>
      <c r="L173" s="587">
        <f>(L158/L168)-1</f>
        <v>-1.0076518562837089E-3</v>
      </c>
      <c r="M173" s="587">
        <f>(M158/M168)-1</f>
        <v>-1.543507621068918E-3</v>
      </c>
      <c r="N173" s="587">
        <f>(N158/N168)-1</f>
        <v>3.5015946486738336E-4</v>
      </c>
      <c r="O173" s="586">
        <f>(O158/O168)-1</f>
        <v>-1.1757732166550738E-5</v>
      </c>
      <c r="P173" s="587">
        <f>(P158/P168)-1</f>
        <v>-7.951566963552148E-4</v>
      </c>
      <c r="Q173" s="587">
        <f>(Q158/Q168)-1</f>
        <v>-9.6235850551629198E-5</v>
      </c>
      <c r="R173" s="587">
        <f>(R158/R168)-1</f>
        <v>-4.402248010570986E-9</v>
      </c>
      <c r="S173" s="587">
        <f>(S158/S168)-1</f>
        <v>1.2710216060840551E-4</v>
      </c>
      <c r="T173" s="586">
        <f>(T158/T168)-1</f>
        <v>-1.3188414515330482E-4</v>
      </c>
      <c r="U173" s="587">
        <f>(U158/U168)-1</f>
        <v>3.9780141038781025E-5</v>
      </c>
      <c r="V173" s="587">
        <f>(V158/V168)-1</f>
        <v>1.6425862603419716E-7</v>
      </c>
      <c r="W173" s="587">
        <f>(W158/W168)-1</f>
        <v>-8.7914527598931258E-6</v>
      </c>
      <c r="X173" s="587">
        <f>(X158/X168)-1</f>
        <v>0</v>
      </c>
      <c r="Y173" s="586">
        <f>(Y158/Y168)-1</f>
        <v>6.1121877650283096E-6</v>
      </c>
      <c r="Z173" s="587">
        <f>(Z158/Z168)-1</f>
        <v>1.529782075588848E-4</v>
      </c>
      <c r="AA173" s="587">
        <f>(AA158/AA168)-1</f>
        <v>7.1494472796196362E-5</v>
      </c>
      <c r="AB173" s="587">
        <f>(AB158/AB168)-1</f>
        <v>0</v>
      </c>
      <c r="AC173" s="621">
        <f>(AC158/AC168)-1</f>
        <v>-0.51685686739035708</v>
      </c>
      <c r="AD173" s="621">
        <f>(AD158/AD168)-1</f>
        <v>-0.12335241028144306</v>
      </c>
      <c r="AE173" s="621">
        <f>(AE158/AE168)-1</f>
        <v>-0.51611250573996825</v>
      </c>
      <c r="AF173" s="621">
        <f>(AF158/AF168)-1</f>
        <v>-0.60556039664332184</v>
      </c>
      <c r="AG173" s="621">
        <f>(AG158/AG168)-1</f>
        <v>-0.38218109333381001</v>
      </c>
      <c r="AH173" s="621">
        <f>(AH158/AH168)-1</f>
        <v>-0.28142671798753394</v>
      </c>
      <c r="AI173" s="621">
        <f>(AI158/AI168)-1</f>
        <v>-0.44461863140275171</v>
      </c>
      <c r="AJ173" s="621">
        <f>(AJ158/AJ168)-1</f>
        <v>-0.21400590045019996</v>
      </c>
      <c r="AK173" s="621">
        <f>(AK158/AK168)-1</f>
        <v>-0.16476281671452719</v>
      </c>
      <c r="AL173" s="621">
        <f>(AL158/AL168)-1</f>
        <v>-0.18887161407784614</v>
      </c>
      <c r="AM173" s="621">
        <f>(AM158/AM168)-1</f>
        <v>-0.12447895302978307</v>
      </c>
      <c r="AN173" s="621">
        <f>(AN158/AN168)-1</f>
        <v>-0.17151727349299084</v>
      </c>
      <c r="AO173" s="621">
        <f>(AO158/AO168)-1</f>
        <v>-0.16683728277171339</v>
      </c>
      <c r="AP173" s="621">
        <f>(AP158/AP168)-1</f>
        <v>-0.15411632947968601</v>
      </c>
      <c r="AQ173" s="621">
        <f>(AQ158/AQ168)-1</f>
        <v>-0.20574566890631441</v>
      </c>
      <c r="AR173" s="621">
        <f>(AR158/AR168)-1</f>
        <v>-7.9055153339238626E-2</v>
      </c>
      <c r="AS173" s="621">
        <f>(AS158/AS168)-1</f>
        <v>-0.15073158620897531</v>
      </c>
      <c r="AT173" s="585"/>
      <c r="AU173" s="508"/>
      <c r="AV173" s="143"/>
      <c r="AW173" s="143"/>
      <c r="AX173" s="143"/>
      <c r="AY173" s="143"/>
      <c r="AZ173" s="143"/>
      <c r="BA173" s="143"/>
      <c r="BB173" s="143"/>
      <c r="BC173" s="143"/>
      <c r="BD173" s="143"/>
      <c r="BE173" s="143"/>
      <c r="BF173" s="143"/>
      <c r="BG173" s="143"/>
      <c r="BH173" s="143"/>
      <c r="BI173" s="143"/>
      <c r="BJ173" s="143"/>
      <c r="BK173" s="143"/>
      <c r="BL173" s="143"/>
      <c r="BM173" s="143"/>
      <c r="BN173" s="143"/>
      <c r="BO173" s="143"/>
      <c r="BP173" s="143"/>
      <c r="BQ173" s="143"/>
      <c r="BS173" s="505"/>
    </row>
    <row r="174" spans="1:269" customFormat="1" outlineLevel="1">
      <c r="A174" s="59" t="s">
        <v>404</v>
      </c>
      <c r="B174" s="442"/>
      <c r="C174" s="13"/>
      <c r="D174" s="13"/>
      <c r="E174" s="13"/>
      <c r="F174" s="587">
        <f>(F164/F170)-1</f>
        <v>1.7878351344148724E-2</v>
      </c>
      <c r="G174" s="587">
        <f>(G164/G170)-1</f>
        <v>-6.6739096694087285E-3</v>
      </c>
      <c r="H174" s="587">
        <f>(H164/H170)-1</f>
        <v>1.0998120263334688E-2</v>
      </c>
      <c r="I174" s="587">
        <f>(I164/I170)-1</f>
        <v>1.3552961835490152E-3</v>
      </c>
      <c r="J174" s="586">
        <f>(J164/J170)-1</f>
        <v>4.6588021310365324E-3</v>
      </c>
      <c r="K174" s="587">
        <f>(K164/K170)-1</f>
        <v>0.50734686660270123</v>
      </c>
      <c r="L174" s="587">
        <f>(L164/L170)-1</f>
        <v>-0.4031197404264919</v>
      </c>
      <c r="M174" s="587">
        <f>(M164/M170)-1</f>
        <v>-0.11488550628722705</v>
      </c>
      <c r="N174" s="587">
        <f>(N164/N170)-1</f>
        <v>-6.1272361952307564E-2</v>
      </c>
      <c r="O174" s="586">
        <f>(O164/O170)-1</f>
        <v>-7.4921443912590036E-4</v>
      </c>
      <c r="P174" s="587">
        <f>(P164/P170)-1</f>
        <v>-5.0478085715688348E-4</v>
      </c>
      <c r="Q174" s="587">
        <f>(Q164/Q170)-1</f>
        <v>-2.3194556417838186E-4</v>
      </c>
      <c r="R174" s="587">
        <f>(R164/R170)-1</f>
        <v>3.3669330717356338E-4</v>
      </c>
      <c r="S174" s="587">
        <f>(S164/S170)-1</f>
        <v>5.0542445396462021E-4</v>
      </c>
      <c r="T174" s="586">
        <f>(T164/T170)-1</f>
        <v>9.1579468312508183E-5</v>
      </c>
      <c r="U174" s="587">
        <f>(U164/U170)-1</f>
        <v>7.9226287273943541E-3</v>
      </c>
      <c r="V174" s="587">
        <f>(V164/V170)-1</f>
        <v>1.2114612406920022E-2</v>
      </c>
      <c r="W174" s="587">
        <f>(W164/W170)-1</f>
        <v>7.8120349886323659E-4</v>
      </c>
      <c r="X174" s="587">
        <f>(X164/X170)-1</f>
        <v>2.0789890209276241E-3</v>
      </c>
      <c r="Y174" s="586">
        <f>(Y164/Y170)-1</f>
        <v>5.7427181294105178E-3</v>
      </c>
      <c r="Z174" s="587">
        <f>(Z164/Z170)-1</f>
        <v>6.4411492980274154E-3</v>
      </c>
      <c r="AA174" s="587">
        <f>(AA164/AA170)-1</f>
        <v>7.8520758842954841E-3</v>
      </c>
      <c r="AB174" s="587">
        <f>(AB164/AB170)-1</f>
        <v>-1.2320328542092529E-3</v>
      </c>
      <c r="AC174" s="621">
        <f>(AC164/AC170)-1</f>
        <v>-0.40788520772546977</v>
      </c>
      <c r="AD174" s="621">
        <f>(AD164/AD170)-1</f>
        <v>-6.7805827538472641E-2</v>
      </c>
      <c r="AE174" s="621">
        <f>(AE164/AE170)-1</f>
        <v>-0.43835510043865722</v>
      </c>
      <c r="AF174" s="621">
        <f>(AF164/AF170)-1</f>
        <v>-0.54734618515791889</v>
      </c>
      <c r="AG174" s="621">
        <f>(AG164/AG170)-1</f>
        <v>-0.29979369492958763</v>
      </c>
      <c r="AH174" s="621">
        <f>(AH164/AH170)-1</f>
        <v>-0.20052808990362414</v>
      </c>
      <c r="AI174" s="621">
        <f>(AI164/AI170)-1</f>
        <v>-0.36880503713276314</v>
      </c>
      <c r="AJ174" s="621">
        <f>(AJ164/AJ170)-1</f>
        <v>-0.11584097522669656</v>
      </c>
      <c r="AK174" s="621">
        <f>(AK164/AK170)-1</f>
        <v>-5.6002742776559367E-2</v>
      </c>
      <c r="AL174" s="621">
        <f>(AL164/AL170)-1</f>
        <v>-0.12239009147481617</v>
      </c>
      <c r="AM174" s="621">
        <f>(AM164/AM170)-1</f>
        <v>-5.0091382809600571E-2</v>
      </c>
      <c r="AN174" s="621">
        <f>(AN164/AN170)-1</f>
        <v>-8.4865208182299479E-2</v>
      </c>
      <c r="AO174" s="621">
        <f>(AO164/AO170)-1</f>
        <v>-9.1665446017694552E-2</v>
      </c>
      <c r="AP174" s="621">
        <f>(AP164/AP170)-1</f>
        <v>-5.2746796351910819E-2</v>
      </c>
      <c r="AQ174" s="621">
        <f>(AQ164/AQ170)-1</f>
        <v>-0.14615502919640544</v>
      </c>
      <c r="AR174" s="621">
        <f>(AR164/AR170)-1</f>
        <v>-1.9640655495566373E-2</v>
      </c>
      <c r="AS174" s="621">
        <f>(AS164/AS170)-1</f>
        <v>-7.6913657253066203E-2</v>
      </c>
      <c r="AT174" s="585"/>
      <c r="AU174" s="508"/>
      <c r="AV174" s="143"/>
      <c r="AW174" s="143"/>
      <c r="AX174" s="143"/>
      <c r="AY174" s="143"/>
      <c r="AZ174" s="143"/>
      <c r="BA174" s="143"/>
      <c r="BB174" s="143"/>
      <c r="BC174" s="143"/>
      <c r="BD174" s="143"/>
      <c r="BE174" s="143"/>
      <c r="BF174" s="143"/>
      <c r="BG174" s="143"/>
      <c r="BH174" s="143"/>
      <c r="BI174" s="143"/>
      <c r="BJ174" s="143"/>
      <c r="BK174" s="143"/>
      <c r="BL174" s="143"/>
      <c r="BM174" s="143"/>
      <c r="BN174" s="143"/>
      <c r="BO174" s="143"/>
      <c r="BP174" s="143"/>
      <c r="BQ174" s="143"/>
      <c r="BS174" s="505"/>
    </row>
    <row r="175" spans="1:269">
      <c r="A175" s="319"/>
      <c r="B175" s="278"/>
      <c r="C175" s="316"/>
      <c r="D175" s="316"/>
      <c r="E175" s="316"/>
      <c r="F175" s="280"/>
      <c r="G175" s="280"/>
      <c r="H175" s="280"/>
      <c r="I175" s="280"/>
      <c r="J175" s="316"/>
      <c r="K175" s="280"/>
      <c r="L175" s="280"/>
      <c r="M175" s="280"/>
      <c r="N175" s="280"/>
      <c r="O175" s="316"/>
      <c r="P175" s="280"/>
      <c r="Q175" s="280"/>
      <c r="R175" s="280"/>
      <c r="S175" s="280"/>
      <c r="T175" s="316"/>
      <c r="U175" s="280"/>
      <c r="V175" s="280"/>
      <c r="W175" s="280"/>
      <c r="X175" s="280"/>
      <c r="Y175" s="316"/>
      <c r="Z175" s="280"/>
      <c r="AA175" s="280"/>
      <c r="AB175" s="280"/>
      <c r="AC175" s="278"/>
      <c r="AD175" s="536"/>
      <c r="AE175" s="278"/>
      <c r="AF175" s="278"/>
      <c r="AG175" s="144"/>
      <c r="AH175" s="144"/>
      <c r="AI175" s="288"/>
      <c r="AJ175" s="144"/>
      <c r="AK175" s="144"/>
      <c r="AL175" s="144"/>
      <c r="AM175" s="144"/>
      <c r="AN175" s="288"/>
      <c r="AO175" s="144"/>
      <c r="AP175" s="144"/>
      <c r="AQ175" s="144"/>
      <c r="AR175" s="144"/>
      <c r="AS175" s="288"/>
      <c r="AT175" s="462"/>
      <c r="AU175" s="508"/>
      <c r="AV175" s="143"/>
      <c r="AW175" s="143"/>
      <c r="AX175" s="143"/>
      <c r="AY175" s="143"/>
      <c r="AZ175" s="143"/>
      <c r="BA175" s="143"/>
      <c r="BB175" s="143"/>
      <c r="BC175" s="143"/>
      <c r="BD175" s="143"/>
      <c r="BE175" s="143"/>
      <c r="BF175" s="143"/>
      <c r="BG175" s="143"/>
      <c r="BH175" s="143"/>
      <c r="BI175" s="143"/>
      <c r="BJ175" s="143"/>
      <c r="BK175" s="143"/>
      <c r="BL175" s="143"/>
      <c r="BM175" s="143"/>
      <c r="BN175" s="143"/>
      <c r="BO175" s="143"/>
      <c r="BP175" s="143"/>
      <c r="BQ175" s="143"/>
    </row>
    <row r="176" spans="1:269" s="81" customFormat="1" ht="15" thickBot="1">
      <c r="A176" s="580" t="s">
        <v>517</v>
      </c>
      <c r="B176" s="314"/>
      <c r="C176" s="578"/>
      <c r="D176" s="578"/>
      <c r="E176" s="578"/>
      <c r="F176" s="579"/>
      <c r="G176" s="579"/>
      <c r="H176" s="579"/>
      <c r="I176" s="579"/>
      <c r="J176" s="578"/>
      <c r="K176" s="579"/>
      <c r="L176" s="579"/>
      <c r="M176" s="579"/>
      <c r="N176" s="579"/>
      <c r="O176" s="578"/>
      <c r="P176" s="579"/>
      <c r="Q176" s="579"/>
      <c r="R176" s="579"/>
      <c r="S176" s="579"/>
      <c r="T176" s="578"/>
      <c r="U176" s="579"/>
      <c r="V176" s="579"/>
      <c r="W176" s="579"/>
      <c r="X176" s="579"/>
      <c r="Y176" s="578"/>
      <c r="Z176" s="579"/>
      <c r="AA176" s="579"/>
      <c r="AB176" s="579"/>
      <c r="AC176" s="314"/>
      <c r="AD176" s="544"/>
      <c r="AE176" s="314"/>
      <c r="AF176" s="314"/>
      <c r="AG176" s="94"/>
      <c r="AH176" s="94"/>
      <c r="AI176" s="95"/>
      <c r="AJ176" s="94"/>
      <c r="AK176" s="94"/>
      <c r="AL176" s="94"/>
      <c r="AM176" s="94"/>
      <c r="AN176" s="95"/>
      <c r="AO176" s="94"/>
      <c r="AP176" s="94"/>
      <c r="AQ176" s="94"/>
      <c r="AR176" s="94"/>
      <c r="AS176" s="95"/>
      <c r="AT176" s="463"/>
      <c r="AU176" s="508"/>
      <c r="BR176" s="438"/>
      <c r="BS176" s="438"/>
      <c r="BT176" s="438"/>
      <c r="BU176" s="438"/>
      <c r="BV176" s="438"/>
      <c r="BW176" s="438"/>
      <c r="BX176" s="438"/>
      <c r="BY176" s="438"/>
      <c r="BZ176" s="438"/>
      <c r="CA176" s="438"/>
      <c r="CB176" s="438"/>
      <c r="CC176" s="438"/>
      <c r="CD176" s="438"/>
      <c r="CE176" s="438"/>
      <c r="CF176" s="438"/>
      <c r="CG176" s="438"/>
      <c r="CH176" s="438"/>
      <c r="CI176" s="438"/>
      <c r="CJ176" s="438"/>
      <c r="CK176" s="438"/>
      <c r="CL176" s="438"/>
      <c r="CM176" s="438"/>
      <c r="CN176" s="438"/>
      <c r="CO176" s="438"/>
      <c r="CP176" s="438"/>
      <c r="CQ176" s="438"/>
      <c r="CR176" s="438"/>
      <c r="CS176" s="438"/>
      <c r="CT176" s="438"/>
      <c r="CU176" s="438"/>
      <c r="CV176" s="438"/>
      <c r="CW176" s="438"/>
      <c r="CX176" s="438"/>
      <c r="CY176" s="438"/>
      <c r="CZ176" s="438"/>
      <c r="DA176" s="438"/>
      <c r="DB176" s="438"/>
      <c r="DC176" s="438"/>
      <c r="DD176" s="438"/>
      <c r="DE176" s="438"/>
      <c r="DF176" s="438"/>
      <c r="DG176" s="438"/>
      <c r="DH176" s="438"/>
      <c r="DI176" s="438"/>
      <c r="DJ176" s="438"/>
      <c r="DK176" s="438"/>
      <c r="DL176" s="438"/>
      <c r="DM176" s="438"/>
      <c r="DN176" s="438"/>
      <c r="DO176" s="438"/>
      <c r="DP176" s="438"/>
      <c r="DQ176" s="438"/>
      <c r="DR176" s="438"/>
      <c r="DS176" s="438"/>
      <c r="DT176" s="438"/>
      <c r="DU176" s="438"/>
      <c r="DV176" s="438"/>
      <c r="DW176" s="438"/>
      <c r="DX176" s="438"/>
      <c r="DY176" s="438"/>
      <c r="DZ176" s="438"/>
      <c r="EA176" s="438"/>
      <c r="EB176" s="438"/>
      <c r="EC176" s="438"/>
      <c r="ED176" s="438"/>
      <c r="EE176" s="438"/>
      <c r="EF176" s="438"/>
      <c r="EG176" s="438"/>
      <c r="EH176" s="438"/>
      <c r="EI176" s="438"/>
      <c r="EJ176" s="438"/>
      <c r="EK176" s="438"/>
      <c r="EL176" s="438"/>
      <c r="EM176" s="438"/>
      <c r="EN176" s="438"/>
      <c r="EO176" s="438"/>
      <c r="EP176" s="438"/>
      <c r="EQ176" s="438"/>
      <c r="ER176" s="438"/>
      <c r="ES176" s="438"/>
      <c r="ET176" s="438"/>
      <c r="EU176" s="438"/>
      <c r="EV176" s="438"/>
      <c r="EW176" s="438"/>
      <c r="EX176" s="438"/>
      <c r="EY176" s="438"/>
      <c r="EZ176" s="438"/>
      <c r="FA176" s="438"/>
      <c r="FB176" s="438"/>
      <c r="FC176" s="438"/>
      <c r="FD176" s="438"/>
      <c r="FE176" s="438"/>
      <c r="FF176" s="438"/>
      <c r="FG176" s="438"/>
      <c r="FH176" s="438"/>
      <c r="FI176" s="438"/>
      <c r="FJ176" s="438"/>
      <c r="FK176" s="438"/>
      <c r="FL176" s="438"/>
      <c r="FM176" s="438"/>
      <c r="FN176" s="438"/>
      <c r="FO176" s="438"/>
      <c r="FP176" s="438"/>
      <c r="FQ176" s="438"/>
      <c r="FR176" s="438"/>
      <c r="FS176" s="438"/>
      <c r="FT176" s="438"/>
      <c r="FU176" s="438"/>
      <c r="FV176" s="438"/>
      <c r="FW176" s="438"/>
      <c r="FX176" s="438"/>
      <c r="FY176" s="438"/>
      <c r="FZ176" s="438"/>
      <c r="GA176" s="438"/>
      <c r="GB176" s="438"/>
      <c r="GC176" s="438"/>
      <c r="GD176" s="438"/>
      <c r="GE176" s="438"/>
      <c r="GF176" s="438"/>
      <c r="GG176" s="438"/>
      <c r="GH176" s="438"/>
      <c r="GI176" s="438"/>
      <c r="GJ176" s="438"/>
      <c r="GK176" s="438"/>
      <c r="GL176" s="438"/>
      <c r="GM176" s="438"/>
      <c r="GN176" s="438"/>
      <c r="GO176" s="438"/>
      <c r="GP176" s="438"/>
      <c r="GQ176" s="438"/>
      <c r="GR176" s="438"/>
      <c r="GS176" s="438"/>
      <c r="GT176" s="438"/>
      <c r="GU176" s="438"/>
      <c r="GV176" s="438"/>
      <c r="GW176" s="438"/>
      <c r="GX176" s="438"/>
      <c r="GY176" s="438"/>
      <c r="GZ176" s="438"/>
      <c r="HA176" s="438"/>
      <c r="HB176" s="438"/>
      <c r="HC176" s="438"/>
      <c r="HD176" s="438"/>
      <c r="HE176" s="438"/>
      <c r="HF176" s="438"/>
      <c r="HG176" s="438"/>
      <c r="HH176" s="438"/>
      <c r="HI176" s="438"/>
      <c r="HJ176" s="438"/>
      <c r="HK176" s="438"/>
      <c r="HL176" s="438"/>
      <c r="HM176" s="438"/>
      <c r="HN176" s="438"/>
      <c r="HO176" s="438"/>
      <c r="HP176" s="438"/>
      <c r="HQ176" s="438"/>
      <c r="HR176" s="438"/>
      <c r="HS176" s="438"/>
      <c r="HT176" s="438"/>
      <c r="HU176" s="438"/>
      <c r="HV176" s="438"/>
      <c r="HW176" s="438"/>
      <c r="HX176" s="438"/>
      <c r="HY176" s="438"/>
      <c r="HZ176" s="438"/>
      <c r="IA176" s="438"/>
      <c r="IB176" s="438"/>
      <c r="IC176" s="438"/>
      <c r="ID176" s="438"/>
      <c r="IE176" s="438"/>
      <c r="IF176" s="438"/>
      <c r="IG176" s="438"/>
      <c r="IH176" s="438"/>
      <c r="II176" s="438"/>
      <c r="IJ176" s="438"/>
      <c r="IK176" s="438"/>
      <c r="IL176" s="438"/>
      <c r="IM176" s="438"/>
      <c r="IN176" s="438"/>
      <c r="IO176" s="438"/>
      <c r="IP176" s="438"/>
      <c r="IQ176" s="438"/>
      <c r="IR176" s="438"/>
      <c r="IS176" s="438"/>
      <c r="IT176" s="438"/>
      <c r="IU176" s="438"/>
      <c r="IV176" s="438"/>
      <c r="IW176" s="438"/>
      <c r="IX176" s="438"/>
      <c r="IY176" s="438"/>
      <c r="IZ176" s="438"/>
      <c r="JA176" s="438"/>
      <c r="JB176" s="438"/>
      <c r="JC176" s="438"/>
      <c r="JD176" s="438"/>
      <c r="JE176" s="438"/>
      <c r="JF176" s="438"/>
      <c r="JG176" s="438"/>
      <c r="JH176" s="438"/>
      <c r="JI176" s="438"/>
    </row>
    <row r="177" spans="1:69" ht="15" thickTop="1">
      <c r="A177" s="281" t="s">
        <v>569</v>
      </c>
      <c r="B177" s="278"/>
      <c r="C177" s="316"/>
      <c r="D177" s="316"/>
      <c r="E177" s="316">
        <f>E103</f>
        <v>55.2</v>
      </c>
      <c r="F177" s="280">
        <f>F103</f>
        <v>18.2</v>
      </c>
      <c r="G177" s="280">
        <f>G103</f>
        <v>22.2</v>
      </c>
      <c r="H177" s="280">
        <f>H103</f>
        <v>21.1</v>
      </c>
      <c r="I177" s="280">
        <f>I103</f>
        <v>26.1</v>
      </c>
      <c r="J177" s="316">
        <f>J103</f>
        <v>85.2</v>
      </c>
      <c r="K177" s="280">
        <f>K103</f>
        <v>18.5</v>
      </c>
      <c r="L177" s="280">
        <f>L103</f>
        <v>8.1</v>
      </c>
      <c r="M177" s="280">
        <f>M103</f>
        <v>18.600000000000001</v>
      </c>
      <c r="N177" s="280">
        <f>N103</f>
        <v>20.5</v>
      </c>
      <c r="O177" s="316">
        <f>O103</f>
        <v>65.7</v>
      </c>
      <c r="P177" s="280">
        <f>P103</f>
        <v>21.9</v>
      </c>
      <c r="Q177" s="280">
        <f>Q103</f>
        <v>31.6</v>
      </c>
      <c r="R177" s="280">
        <f>R103</f>
        <v>32</v>
      </c>
      <c r="S177" s="280">
        <f>S103</f>
        <v>35.200000000000003</v>
      </c>
      <c r="T177" s="316">
        <f>T103</f>
        <v>120.7</v>
      </c>
      <c r="U177" s="280">
        <f>U103</f>
        <v>33.799999999999997</v>
      </c>
      <c r="V177" s="280">
        <f>V103</f>
        <v>38.753</v>
      </c>
      <c r="W177" s="280">
        <f>W103</f>
        <v>39.700000000000003</v>
      </c>
      <c r="X177" s="280">
        <f>X103</f>
        <v>47.4</v>
      </c>
      <c r="Y177" s="316">
        <f>Y103</f>
        <v>159.65299999999999</v>
      </c>
      <c r="Z177" s="280">
        <f>Z103</f>
        <v>40.9</v>
      </c>
      <c r="AA177" s="280">
        <f>AA103</f>
        <v>51.9</v>
      </c>
      <c r="AB177" s="280">
        <f>AB103</f>
        <v>46.4</v>
      </c>
      <c r="AC177" s="280">
        <f>AC103</f>
        <v>38.048000000000002</v>
      </c>
      <c r="AD177" s="320">
        <f>AD103</f>
        <v>177.24799999999999</v>
      </c>
      <c r="AE177" s="280">
        <f>AE103</f>
        <v>35.765120000000003</v>
      </c>
      <c r="AF177" s="280">
        <f>AF103</f>
        <v>35.765120000000003</v>
      </c>
      <c r="AG177" s="280">
        <f>AG103</f>
        <v>54.216299021657328</v>
      </c>
      <c r="AH177" s="280">
        <f>AH103</f>
        <v>62.479774584807295</v>
      </c>
      <c r="AI177" s="320">
        <f>AI103</f>
        <v>188.22631360646463</v>
      </c>
      <c r="AJ177" s="280">
        <f>AJ103</f>
        <v>57.904579042385443</v>
      </c>
      <c r="AK177" s="280">
        <f>AK103</f>
        <v>73.179581596386484</v>
      </c>
      <c r="AL177" s="280">
        <f>AL103</f>
        <v>65.471674108442883</v>
      </c>
      <c r="AM177" s="280">
        <f>AM103</f>
        <v>75.859059645823848</v>
      </c>
      <c r="AN177" s="320">
        <f>AN103</f>
        <v>272.41489439303865</v>
      </c>
      <c r="AO177" s="280">
        <f>AO103</f>
        <v>65.533663896133504</v>
      </c>
      <c r="AP177" s="280">
        <f>AP103</f>
        <v>83.008061649614703</v>
      </c>
      <c r="AQ177" s="280">
        <f>AQ103</f>
        <v>74.221783340545883</v>
      </c>
      <c r="AR177" s="280">
        <f>AR103</f>
        <v>86.142981747194469</v>
      </c>
      <c r="AS177" s="320">
        <f>AS103</f>
        <v>308.90649063348854</v>
      </c>
      <c r="AT177" s="462"/>
      <c r="AU177" s="508"/>
      <c r="AV177" s="143"/>
      <c r="AW177" s="143"/>
      <c r="AX177" s="143"/>
      <c r="AY177" s="143"/>
      <c r="AZ177" s="143"/>
      <c r="BA177" s="143"/>
      <c r="BB177" s="143"/>
      <c r="BC177" s="143"/>
      <c r="BD177" s="143"/>
      <c r="BE177" s="143"/>
      <c r="BF177" s="143"/>
      <c r="BG177" s="143"/>
      <c r="BH177" s="143"/>
      <c r="BI177" s="143"/>
      <c r="BJ177" s="143"/>
      <c r="BK177" s="143"/>
      <c r="BL177" s="143"/>
      <c r="BM177" s="143"/>
      <c r="BN177" s="143"/>
      <c r="BO177" s="143"/>
      <c r="BP177" s="143"/>
      <c r="BQ177" s="143"/>
    </row>
    <row r="178" spans="1:69">
      <c r="A178" s="319" t="s">
        <v>570</v>
      </c>
      <c r="B178" s="278"/>
      <c r="C178" s="316"/>
      <c r="D178" s="316"/>
      <c r="E178" s="570">
        <v>0.8</v>
      </c>
      <c r="F178" s="359">
        <f>E178</f>
        <v>0.8</v>
      </c>
      <c r="G178" s="359">
        <f t="shared" ref="G178:AS178" si="347">F178</f>
        <v>0.8</v>
      </c>
      <c r="H178" s="359">
        <f t="shared" si="347"/>
        <v>0.8</v>
      </c>
      <c r="I178" s="359">
        <f t="shared" si="347"/>
        <v>0.8</v>
      </c>
      <c r="J178" s="570">
        <f t="shared" si="347"/>
        <v>0.8</v>
      </c>
      <c r="K178" s="359">
        <f t="shared" si="347"/>
        <v>0.8</v>
      </c>
      <c r="L178" s="359">
        <f t="shared" si="347"/>
        <v>0.8</v>
      </c>
      <c r="M178" s="359">
        <f t="shared" si="347"/>
        <v>0.8</v>
      </c>
      <c r="N178" s="359">
        <f t="shared" si="347"/>
        <v>0.8</v>
      </c>
      <c r="O178" s="570">
        <f t="shared" si="347"/>
        <v>0.8</v>
      </c>
      <c r="P178" s="359">
        <f t="shared" si="347"/>
        <v>0.8</v>
      </c>
      <c r="Q178" s="359">
        <f t="shared" si="347"/>
        <v>0.8</v>
      </c>
      <c r="R178" s="359">
        <f t="shared" si="347"/>
        <v>0.8</v>
      </c>
      <c r="S178" s="359">
        <f t="shared" si="347"/>
        <v>0.8</v>
      </c>
      <c r="T178" s="570">
        <f t="shared" si="347"/>
        <v>0.8</v>
      </c>
      <c r="U178" s="359">
        <f t="shared" si="347"/>
        <v>0.8</v>
      </c>
      <c r="V178" s="359">
        <f t="shared" si="347"/>
        <v>0.8</v>
      </c>
      <c r="W178" s="359">
        <f t="shared" si="347"/>
        <v>0.8</v>
      </c>
      <c r="X178" s="359">
        <f t="shared" si="347"/>
        <v>0.8</v>
      </c>
      <c r="Y178" s="570">
        <f t="shared" si="347"/>
        <v>0.8</v>
      </c>
      <c r="Z178" s="359">
        <f t="shared" si="347"/>
        <v>0.8</v>
      </c>
      <c r="AA178" s="359">
        <f t="shared" si="347"/>
        <v>0.8</v>
      </c>
      <c r="AB178" s="359">
        <f t="shared" si="347"/>
        <v>0.8</v>
      </c>
      <c r="AC178" s="359">
        <f t="shared" si="347"/>
        <v>0.8</v>
      </c>
      <c r="AD178" s="571">
        <f t="shared" si="347"/>
        <v>0.8</v>
      </c>
      <c r="AE178" s="359">
        <f t="shared" si="347"/>
        <v>0.8</v>
      </c>
      <c r="AF178" s="359">
        <f t="shared" si="347"/>
        <v>0.8</v>
      </c>
      <c r="AG178" s="359">
        <f t="shared" si="347"/>
        <v>0.8</v>
      </c>
      <c r="AH178" s="359">
        <f t="shared" si="347"/>
        <v>0.8</v>
      </c>
      <c r="AI178" s="571">
        <f t="shared" si="347"/>
        <v>0.8</v>
      </c>
      <c r="AJ178" s="359">
        <f t="shared" si="347"/>
        <v>0.8</v>
      </c>
      <c r="AK178" s="359">
        <f t="shared" si="347"/>
        <v>0.8</v>
      </c>
      <c r="AL178" s="359">
        <f t="shared" si="347"/>
        <v>0.8</v>
      </c>
      <c r="AM178" s="359">
        <f t="shared" si="347"/>
        <v>0.8</v>
      </c>
      <c r="AN178" s="571">
        <f t="shared" si="347"/>
        <v>0.8</v>
      </c>
      <c r="AO178" s="359">
        <f t="shared" si="347"/>
        <v>0.8</v>
      </c>
      <c r="AP178" s="359">
        <f t="shared" si="347"/>
        <v>0.8</v>
      </c>
      <c r="AQ178" s="359">
        <f t="shared" si="347"/>
        <v>0.8</v>
      </c>
      <c r="AR178" s="359">
        <f t="shared" si="347"/>
        <v>0.8</v>
      </c>
      <c r="AS178" s="571">
        <f t="shared" si="347"/>
        <v>0.8</v>
      </c>
      <c r="AT178" s="462"/>
      <c r="AU178" s="508"/>
      <c r="AV178" s="143"/>
      <c r="AW178" s="143"/>
      <c r="AX178" s="143"/>
      <c r="AY178" s="143"/>
      <c r="AZ178" s="143"/>
      <c r="BA178" s="143"/>
      <c r="BB178" s="143"/>
      <c r="BC178" s="143"/>
      <c r="BD178" s="143"/>
      <c r="BE178" s="143"/>
      <c r="BF178" s="143"/>
      <c r="BG178" s="143"/>
      <c r="BH178" s="143"/>
      <c r="BI178" s="143"/>
      <c r="BJ178" s="143"/>
      <c r="BK178" s="143"/>
      <c r="BL178" s="143"/>
      <c r="BM178" s="143"/>
      <c r="BN178" s="143"/>
      <c r="BO178" s="143"/>
      <c r="BP178" s="143"/>
      <c r="BQ178" s="143"/>
    </row>
    <row r="179" spans="1:69">
      <c r="A179" s="319" t="s">
        <v>571</v>
      </c>
      <c r="B179" s="278"/>
      <c r="C179" s="316"/>
      <c r="D179" s="316"/>
      <c r="E179" s="316">
        <f>E177*E178</f>
        <v>44.160000000000004</v>
      </c>
      <c r="F179" s="280">
        <f t="shared" ref="F179:AS179" si="348">F177*F178</f>
        <v>14.56</v>
      </c>
      <c r="G179" s="280">
        <f t="shared" si="348"/>
        <v>17.760000000000002</v>
      </c>
      <c r="H179" s="280">
        <f t="shared" si="348"/>
        <v>16.880000000000003</v>
      </c>
      <c r="I179" s="280">
        <f t="shared" si="348"/>
        <v>20.880000000000003</v>
      </c>
      <c r="J179" s="316">
        <f t="shared" si="348"/>
        <v>68.160000000000011</v>
      </c>
      <c r="K179" s="280">
        <f t="shared" si="348"/>
        <v>14.8</v>
      </c>
      <c r="L179" s="280">
        <f t="shared" si="348"/>
        <v>6.48</v>
      </c>
      <c r="M179" s="280">
        <f t="shared" si="348"/>
        <v>14.880000000000003</v>
      </c>
      <c r="N179" s="280">
        <f t="shared" si="348"/>
        <v>16.400000000000002</v>
      </c>
      <c r="O179" s="316">
        <f t="shared" si="348"/>
        <v>52.56</v>
      </c>
      <c r="P179" s="280">
        <f t="shared" si="348"/>
        <v>17.52</v>
      </c>
      <c r="Q179" s="280">
        <f t="shared" si="348"/>
        <v>25.28</v>
      </c>
      <c r="R179" s="280">
        <f t="shared" si="348"/>
        <v>25.6</v>
      </c>
      <c r="S179" s="280">
        <f t="shared" si="348"/>
        <v>28.160000000000004</v>
      </c>
      <c r="T179" s="316">
        <f t="shared" si="348"/>
        <v>96.56</v>
      </c>
      <c r="U179" s="280">
        <f t="shared" si="348"/>
        <v>27.04</v>
      </c>
      <c r="V179" s="280">
        <f t="shared" si="348"/>
        <v>31.002400000000002</v>
      </c>
      <c r="W179" s="280">
        <f t="shared" si="348"/>
        <v>31.760000000000005</v>
      </c>
      <c r="X179" s="280">
        <f t="shared" si="348"/>
        <v>37.92</v>
      </c>
      <c r="Y179" s="316">
        <f t="shared" si="348"/>
        <v>127.72239999999999</v>
      </c>
      <c r="Z179" s="280">
        <f t="shared" si="348"/>
        <v>32.72</v>
      </c>
      <c r="AA179" s="280">
        <f t="shared" si="348"/>
        <v>41.52</v>
      </c>
      <c r="AB179" s="280">
        <f t="shared" si="348"/>
        <v>37.119999999999997</v>
      </c>
      <c r="AC179" s="280">
        <f t="shared" si="348"/>
        <v>30.438400000000001</v>
      </c>
      <c r="AD179" s="320">
        <f t="shared" si="348"/>
        <v>141.79839999999999</v>
      </c>
      <c r="AE179" s="280">
        <f t="shared" si="348"/>
        <v>28.612096000000005</v>
      </c>
      <c r="AF179" s="280">
        <f t="shared" si="348"/>
        <v>28.612096000000005</v>
      </c>
      <c r="AG179" s="280">
        <f t="shared" si="348"/>
        <v>43.373039217325868</v>
      </c>
      <c r="AH179" s="280">
        <f t="shared" si="348"/>
        <v>49.983819667845836</v>
      </c>
      <c r="AI179" s="320">
        <f t="shared" si="348"/>
        <v>150.58105088517172</v>
      </c>
      <c r="AJ179" s="280">
        <f t="shared" si="348"/>
        <v>46.323663233908356</v>
      </c>
      <c r="AK179" s="280">
        <f t="shared" si="348"/>
        <v>58.543665277109191</v>
      </c>
      <c r="AL179" s="280">
        <f t="shared" si="348"/>
        <v>52.377339286754307</v>
      </c>
      <c r="AM179" s="280">
        <f t="shared" si="348"/>
        <v>60.68724771665908</v>
      </c>
      <c r="AN179" s="320">
        <f t="shared" si="348"/>
        <v>217.93191551443093</v>
      </c>
      <c r="AO179" s="280">
        <f t="shared" si="348"/>
        <v>52.426931116906808</v>
      </c>
      <c r="AP179" s="280">
        <f t="shared" si="348"/>
        <v>66.40644931969176</v>
      </c>
      <c r="AQ179" s="280">
        <f t="shared" si="348"/>
        <v>59.377426672436712</v>
      </c>
      <c r="AR179" s="280">
        <f t="shared" si="348"/>
        <v>68.914385397755581</v>
      </c>
      <c r="AS179" s="320">
        <f t="shared" si="348"/>
        <v>247.12519250679085</v>
      </c>
      <c r="AT179" s="462"/>
      <c r="AU179" s="508"/>
      <c r="AV179" s="143"/>
      <c r="AW179" s="143"/>
      <c r="AX179" s="143"/>
      <c r="AY179" s="143"/>
      <c r="AZ179" s="143"/>
      <c r="BA179" s="143"/>
      <c r="BB179" s="143"/>
      <c r="BC179" s="143"/>
      <c r="BD179" s="143"/>
      <c r="BE179" s="143"/>
      <c r="BF179" s="143"/>
      <c r="BG179" s="143"/>
      <c r="BH179" s="143"/>
      <c r="BI179" s="143"/>
      <c r="BJ179" s="143"/>
      <c r="BK179" s="143"/>
      <c r="BL179" s="143"/>
      <c r="BM179" s="143"/>
      <c r="BN179" s="143"/>
      <c r="BO179" s="143"/>
      <c r="BP179" s="143"/>
      <c r="BQ179" s="143"/>
    </row>
    <row r="180" spans="1:69">
      <c r="A180" s="281"/>
      <c r="B180" s="278"/>
      <c r="C180" s="316"/>
      <c r="D180" s="316"/>
      <c r="E180" s="316"/>
      <c r="F180" s="280"/>
      <c r="G180" s="280"/>
      <c r="H180" s="280"/>
      <c r="I180" s="280"/>
      <c r="J180" s="316"/>
      <c r="K180" s="280"/>
      <c r="L180" s="280"/>
      <c r="M180" s="280"/>
      <c r="N180" s="280"/>
      <c r="O180" s="316"/>
      <c r="P180" s="280"/>
      <c r="Q180" s="280"/>
      <c r="R180" s="280"/>
      <c r="S180" s="280"/>
      <c r="T180" s="316"/>
      <c r="U180" s="280"/>
      <c r="V180" s="280"/>
      <c r="W180" s="280"/>
      <c r="X180" s="280"/>
      <c r="Y180" s="316"/>
      <c r="Z180" s="280"/>
      <c r="AA180" s="280"/>
      <c r="AB180" s="280"/>
      <c r="AC180" s="280"/>
      <c r="AD180" s="320"/>
      <c r="AE180" s="280"/>
      <c r="AF180" s="280"/>
      <c r="AG180" s="280"/>
      <c r="AH180" s="280"/>
      <c r="AI180" s="320"/>
      <c r="AJ180" s="280"/>
      <c r="AK180" s="280"/>
      <c r="AL180" s="280"/>
      <c r="AM180" s="280"/>
      <c r="AN180" s="320"/>
      <c r="AO180" s="280"/>
      <c r="AP180" s="280"/>
      <c r="AQ180" s="280"/>
      <c r="AR180" s="280"/>
      <c r="AS180" s="320"/>
      <c r="AT180" s="462"/>
      <c r="AU180" s="508"/>
      <c r="AV180" s="143"/>
      <c r="AW180" s="143"/>
      <c r="AX180" s="143"/>
      <c r="AY180" s="143"/>
      <c r="AZ180" s="143"/>
      <c r="BA180" s="143"/>
      <c r="BB180" s="143"/>
      <c r="BC180" s="143"/>
      <c r="BD180" s="143"/>
      <c r="BE180" s="143"/>
      <c r="BF180" s="143"/>
      <c r="BG180" s="143"/>
      <c r="BH180" s="143"/>
      <c r="BI180" s="143"/>
      <c r="BJ180" s="143"/>
      <c r="BK180" s="143"/>
      <c r="BL180" s="143"/>
      <c r="BM180" s="143"/>
      <c r="BN180" s="143"/>
      <c r="BO180" s="143"/>
      <c r="BP180" s="143"/>
      <c r="BQ180" s="143"/>
    </row>
    <row r="181" spans="1:69">
      <c r="A181" s="281" t="s">
        <v>572</v>
      </c>
      <c r="B181" s="278"/>
      <c r="C181" s="316"/>
      <c r="D181" s="316"/>
      <c r="E181" s="316">
        <f>E42</f>
        <v>56.39452</v>
      </c>
      <c r="F181" s="280">
        <f>F42</f>
        <v>16.636279999999999</v>
      </c>
      <c r="G181" s="280">
        <f>G42</f>
        <v>20.411359999999998</v>
      </c>
      <c r="H181" s="280">
        <f>H42</f>
        <v>18.533439999999999</v>
      </c>
      <c r="I181" s="280">
        <f>I42</f>
        <v>23.968440000000001</v>
      </c>
      <c r="J181" s="316">
        <f>J42</f>
        <v>79.549520000000001</v>
      </c>
      <c r="K181" s="280">
        <f>K42</f>
        <v>13.946540000000001</v>
      </c>
      <c r="L181" s="280">
        <f>L42</f>
        <v>5.9070799999999997</v>
      </c>
      <c r="M181" s="280">
        <f>M42</f>
        <v>15.778840000000001</v>
      </c>
      <c r="N181" s="280">
        <f>N42</f>
        <v>17.197799999999997</v>
      </c>
      <c r="O181" s="316">
        <f>O42</f>
        <v>52.830260000000003</v>
      </c>
      <c r="P181" s="280">
        <f>P42</f>
        <v>25.18189818181818</v>
      </c>
      <c r="Q181" s="280">
        <f>Q42</f>
        <v>34.207846400000001</v>
      </c>
      <c r="R181" s="280">
        <f>R42</f>
        <v>35.442963404255323</v>
      </c>
      <c r="S181" s="280">
        <f>S42</f>
        <v>41.738940111357564</v>
      </c>
      <c r="T181" s="316">
        <f>T42</f>
        <v>136.57164809743108</v>
      </c>
      <c r="U181" s="280">
        <f>U42</f>
        <v>38.551000000000002</v>
      </c>
      <c r="V181" s="280">
        <f>V42</f>
        <v>50.347000000000001</v>
      </c>
      <c r="W181" s="280">
        <f>W42</f>
        <v>48.326000000000001</v>
      </c>
      <c r="X181" s="280">
        <f>X42</f>
        <v>47.484000000000002</v>
      </c>
      <c r="Y181" s="316">
        <f>Y42</f>
        <v>184.708</v>
      </c>
      <c r="Z181" s="280">
        <f>Z42</f>
        <v>43.697000000000003</v>
      </c>
      <c r="AA181" s="280">
        <f>AA42</f>
        <v>53.99</v>
      </c>
      <c r="AB181" s="280">
        <f>AB42</f>
        <v>46.655999999999999</v>
      </c>
      <c r="AC181" s="280">
        <f>AC42</f>
        <v>7.5224791550861587</v>
      </c>
      <c r="AD181" s="320">
        <f>AD42</f>
        <v>151.86547915508618</v>
      </c>
      <c r="AE181" s="280">
        <f>AE42</f>
        <v>8.0128973105134467</v>
      </c>
      <c r="AF181" s="280">
        <f>AF42</f>
        <v>9.039765592298032</v>
      </c>
      <c r="AG181" s="280">
        <f>AG42</f>
        <v>13.120359955005624</v>
      </c>
      <c r="AH181" s="280">
        <f>AH42</f>
        <v>15.008850410227904</v>
      </c>
      <c r="AI181" s="320">
        <f>AI42</f>
        <v>45.18187326804501</v>
      </c>
      <c r="AJ181" s="280">
        <f>AJ42</f>
        <v>17.856795075794622</v>
      </c>
      <c r="AK181" s="280">
        <f>AK42</f>
        <v>19.877359765592299</v>
      </c>
      <c r="AL181" s="280">
        <f>AL42</f>
        <v>24.485740562429697</v>
      </c>
      <c r="AM181" s="280">
        <f>AM42</f>
        <v>22.513275615341854</v>
      </c>
      <c r="AN181" s="320">
        <f>AN42</f>
        <v>84.733171019158476</v>
      </c>
      <c r="AO181" s="280">
        <f>AO42</f>
        <v>23.213833598533011</v>
      </c>
      <c r="AP181" s="280">
        <f>AP42</f>
        <v>22.858963730431139</v>
      </c>
      <c r="AQ181" s="280">
        <f>AQ42</f>
        <v>25.220312779302585</v>
      </c>
      <c r="AR181" s="280">
        <f>AR42</f>
        <v>30.167789324558086</v>
      </c>
      <c r="AS181" s="320">
        <f>AS42</f>
        <v>101.46089943282482</v>
      </c>
      <c r="AT181" s="462"/>
      <c r="AU181" s="508"/>
      <c r="AV181" s="143"/>
      <c r="AW181" s="143"/>
      <c r="AX181" s="143" t="s">
        <v>583</v>
      </c>
      <c r="AY181" s="143"/>
      <c r="AZ181" s="143"/>
      <c r="BA181" s="143"/>
      <c r="BB181" s="143"/>
      <c r="BC181" s="143"/>
      <c r="BD181" s="143"/>
      <c r="BE181" s="143"/>
      <c r="BF181" s="143"/>
      <c r="BG181" s="143"/>
      <c r="BH181" s="143"/>
      <c r="BI181" s="143"/>
      <c r="BJ181" s="143"/>
      <c r="BK181" s="143"/>
      <c r="BL181" s="143"/>
      <c r="BM181" s="143"/>
      <c r="BN181" s="143"/>
      <c r="BO181" s="143"/>
      <c r="BP181" s="143"/>
      <c r="BQ181" s="143"/>
    </row>
    <row r="182" spans="1:69">
      <c r="A182" s="319" t="s">
        <v>570</v>
      </c>
      <c r="B182" s="278"/>
      <c r="C182" s="316"/>
      <c r="D182" s="316"/>
      <c r="E182" s="570">
        <v>0.6</v>
      </c>
      <c r="F182" s="359">
        <f>E182</f>
        <v>0.6</v>
      </c>
      <c r="G182" s="359">
        <f t="shared" ref="G182:AS182" si="349">F182</f>
        <v>0.6</v>
      </c>
      <c r="H182" s="359">
        <f t="shared" si="349"/>
        <v>0.6</v>
      </c>
      <c r="I182" s="359">
        <f t="shared" si="349"/>
        <v>0.6</v>
      </c>
      <c r="J182" s="570">
        <f t="shared" si="349"/>
        <v>0.6</v>
      </c>
      <c r="K182" s="359">
        <f t="shared" si="349"/>
        <v>0.6</v>
      </c>
      <c r="L182" s="359">
        <f t="shared" si="349"/>
        <v>0.6</v>
      </c>
      <c r="M182" s="359">
        <f t="shared" si="349"/>
        <v>0.6</v>
      </c>
      <c r="N182" s="359">
        <f t="shared" si="349"/>
        <v>0.6</v>
      </c>
      <c r="O182" s="570">
        <f t="shared" si="349"/>
        <v>0.6</v>
      </c>
      <c r="P182" s="359">
        <f t="shared" si="349"/>
        <v>0.6</v>
      </c>
      <c r="Q182" s="359">
        <f t="shared" si="349"/>
        <v>0.6</v>
      </c>
      <c r="R182" s="359">
        <f t="shared" si="349"/>
        <v>0.6</v>
      </c>
      <c r="S182" s="359">
        <f t="shared" si="349"/>
        <v>0.6</v>
      </c>
      <c r="T182" s="570">
        <f t="shared" si="349"/>
        <v>0.6</v>
      </c>
      <c r="U182" s="359">
        <f t="shared" si="349"/>
        <v>0.6</v>
      </c>
      <c r="V182" s="359">
        <f t="shared" si="349"/>
        <v>0.6</v>
      </c>
      <c r="W182" s="359">
        <f t="shared" si="349"/>
        <v>0.6</v>
      </c>
      <c r="X182" s="359">
        <f t="shared" si="349"/>
        <v>0.6</v>
      </c>
      <c r="Y182" s="570">
        <f t="shared" si="349"/>
        <v>0.6</v>
      </c>
      <c r="Z182" s="359">
        <f t="shared" si="349"/>
        <v>0.6</v>
      </c>
      <c r="AA182" s="359">
        <f t="shared" si="349"/>
        <v>0.6</v>
      </c>
      <c r="AB182" s="359">
        <f t="shared" si="349"/>
        <v>0.6</v>
      </c>
      <c r="AC182" s="359">
        <f t="shared" si="349"/>
        <v>0.6</v>
      </c>
      <c r="AD182" s="571">
        <f t="shared" si="349"/>
        <v>0.6</v>
      </c>
      <c r="AE182" s="359">
        <f t="shared" si="349"/>
        <v>0.6</v>
      </c>
      <c r="AF182" s="359">
        <f t="shared" si="349"/>
        <v>0.6</v>
      </c>
      <c r="AG182" s="359">
        <f t="shared" si="349"/>
        <v>0.6</v>
      </c>
      <c r="AH182" s="359">
        <f t="shared" si="349"/>
        <v>0.6</v>
      </c>
      <c r="AI182" s="571">
        <f t="shared" si="349"/>
        <v>0.6</v>
      </c>
      <c r="AJ182" s="359">
        <f t="shared" si="349"/>
        <v>0.6</v>
      </c>
      <c r="AK182" s="359">
        <f t="shared" si="349"/>
        <v>0.6</v>
      </c>
      <c r="AL182" s="359">
        <f t="shared" si="349"/>
        <v>0.6</v>
      </c>
      <c r="AM182" s="359">
        <f t="shared" si="349"/>
        <v>0.6</v>
      </c>
      <c r="AN182" s="571">
        <f t="shared" si="349"/>
        <v>0.6</v>
      </c>
      <c r="AO182" s="359">
        <f t="shared" si="349"/>
        <v>0.6</v>
      </c>
      <c r="AP182" s="359">
        <f t="shared" si="349"/>
        <v>0.6</v>
      </c>
      <c r="AQ182" s="359">
        <f t="shared" si="349"/>
        <v>0.6</v>
      </c>
      <c r="AR182" s="359">
        <f t="shared" si="349"/>
        <v>0.6</v>
      </c>
      <c r="AS182" s="571">
        <f t="shared" si="349"/>
        <v>0.6</v>
      </c>
      <c r="AT182" s="462"/>
      <c r="AU182" s="508"/>
      <c r="AV182" s="143"/>
      <c r="AW182" s="143"/>
      <c r="AX182" s="143"/>
      <c r="AY182" s="143"/>
      <c r="AZ182" s="143"/>
      <c r="BA182" s="143"/>
      <c r="BB182" s="143"/>
      <c r="BC182" s="143"/>
      <c r="BD182" s="143"/>
      <c r="BE182" s="143"/>
      <c r="BF182" s="143"/>
      <c r="BG182" s="143"/>
      <c r="BH182" s="143"/>
      <c r="BI182" s="143"/>
      <c r="BJ182" s="143"/>
      <c r="BK182" s="143"/>
      <c r="BL182" s="143"/>
      <c r="BM182" s="143"/>
      <c r="BN182" s="143"/>
      <c r="BO182" s="143"/>
      <c r="BP182" s="143"/>
      <c r="BQ182" s="143"/>
    </row>
    <row r="183" spans="1:69">
      <c r="A183" s="319" t="s">
        <v>573</v>
      </c>
      <c r="B183" s="278"/>
      <c r="C183" s="316"/>
      <c r="D183" s="316"/>
      <c r="E183" s="316">
        <f>E181*E182</f>
        <v>33.836711999999999</v>
      </c>
      <c r="F183" s="280">
        <f t="shared" ref="F183" si="350">F181*F182</f>
        <v>9.9817679999999989</v>
      </c>
      <c r="G183" s="280">
        <f t="shared" ref="G183" si="351">G181*G182</f>
        <v>12.246815999999999</v>
      </c>
      <c r="H183" s="280">
        <f t="shared" ref="H183" si="352">H181*H182</f>
        <v>11.120063999999999</v>
      </c>
      <c r="I183" s="280">
        <f t="shared" ref="I183" si="353">I181*I182</f>
        <v>14.381064</v>
      </c>
      <c r="J183" s="316">
        <f t="shared" ref="J183" si="354">J181*J182</f>
        <v>47.729711999999999</v>
      </c>
      <c r="K183" s="280">
        <f t="shared" ref="K183" si="355">K181*K182</f>
        <v>8.3679240000000004</v>
      </c>
      <c r="L183" s="280">
        <f t="shared" ref="L183" si="356">L181*L182</f>
        <v>3.5442479999999996</v>
      </c>
      <c r="M183" s="280">
        <f t="shared" ref="M183" si="357">M181*M182</f>
        <v>9.4673040000000004</v>
      </c>
      <c r="N183" s="280">
        <f t="shared" ref="N183" si="358">N181*N182</f>
        <v>10.318679999999999</v>
      </c>
      <c r="O183" s="316">
        <f t="shared" ref="O183" si="359">O181*O182</f>
        <v>31.698156000000001</v>
      </c>
      <c r="P183" s="280">
        <f t="shared" ref="P183" si="360">P181*P182</f>
        <v>15.109138909090907</v>
      </c>
      <c r="Q183" s="280">
        <f t="shared" ref="Q183" si="361">Q181*Q182</f>
        <v>20.524707840000001</v>
      </c>
      <c r="R183" s="280">
        <f t="shared" ref="R183" si="362">R181*R182</f>
        <v>21.265778042553194</v>
      </c>
      <c r="S183" s="280">
        <f t="shared" ref="S183" si="363">S181*S182</f>
        <v>25.043364066814537</v>
      </c>
      <c r="T183" s="316">
        <f t="shared" ref="T183" si="364">T181*T182</f>
        <v>81.942988858458648</v>
      </c>
      <c r="U183" s="280">
        <f t="shared" ref="U183" si="365">U181*U182</f>
        <v>23.130600000000001</v>
      </c>
      <c r="V183" s="280">
        <f t="shared" ref="V183" si="366">V181*V182</f>
        <v>30.208199999999998</v>
      </c>
      <c r="W183" s="280">
        <f t="shared" ref="W183" si="367">W181*W182</f>
        <v>28.9956</v>
      </c>
      <c r="X183" s="280">
        <f t="shared" ref="X183" si="368">X181*X182</f>
        <v>28.490400000000001</v>
      </c>
      <c r="Y183" s="316">
        <f t="shared" ref="Y183" si="369">Y181*Y182</f>
        <v>110.8248</v>
      </c>
      <c r="Z183" s="280">
        <f t="shared" ref="Z183" si="370">Z181*Z182</f>
        <v>26.2182</v>
      </c>
      <c r="AA183" s="280">
        <f t="shared" ref="AA183" si="371">AA181*AA182</f>
        <v>32.393999999999998</v>
      </c>
      <c r="AB183" s="280">
        <f t="shared" ref="AB183" si="372">AB181*AB182</f>
        <v>27.993599999999997</v>
      </c>
      <c r="AC183" s="280">
        <f t="shared" ref="AC183" si="373">AC181*AC182</f>
        <v>4.5134874930516951</v>
      </c>
      <c r="AD183" s="320">
        <f t="shared" ref="AD183" si="374">AD181*AD182</f>
        <v>91.119287493051701</v>
      </c>
      <c r="AE183" s="280">
        <f t="shared" ref="AE183" si="375">AE181*AE182</f>
        <v>4.8077383863080678</v>
      </c>
      <c r="AF183" s="280">
        <f t="shared" ref="AF183" si="376">AF181*AF182</f>
        <v>5.423859355378819</v>
      </c>
      <c r="AG183" s="280">
        <f t="shared" ref="AG183" si="377">AG181*AG182</f>
        <v>7.8722159730033736</v>
      </c>
      <c r="AH183" s="280">
        <f t="shared" ref="AH183" si="378">AH181*AH182</f>
        <v>9.0053102461367427</v>
      </c>
      <c r="AI183" s="320">
        <f t="shared" ref="AI183" si="379">AI181*AI182</f>
        <v>27.109123960827006</v>
      </c>
      <c r="AJ183" s="280">
        <f t="shared" ref="AJ183" si="380">AJ181*AJ182</f>
        <v>10.714077045476772</v>
      </c>
      <c r="AK183" s="280">
        <f t="shared" ref="AK183" si="381">AK181*AK182</f>
        <v>11.926415859355378</v>
      </c>
      <c r="AL183" s="280">
        <f t="shared" ref="AL183" si="382">AL181*AL182</f>
        <v>14.691444337457817</v>
      </c>
      <c r="AM183" s="280">
        <f t="shared" ref="AM183" si="383">AM181*AM182</f>
        <v>13.507965369205111</v>
      </c>
      <c r="AN183" s="320">
        <f t="shared" ref="AN183" si="384">AN181*AN182</f>
        <v>50.839902611495084</v>
      </c>
      <c r="AO183" s="280">
        <f t="shared" ref="AO183" si="385">AO181*AO182</f>
        <v>13.928300159119805</v>
      </c>
      <c r="AP183" s="280">
        <f t="shared" ref="AP183" si="386">AP181*AP182</f>
        <v>13.715378238258683</v>
      </c>
      <c r="AQ183" s="280">
        <f t="shared" ref="AQ183" si="387">AQ181*AQ182</f>
        <v>15.132187667581551</v>
      </c>
      <c r="AR183" s="280">
        <f t="shared" ref="AR183" si="388">AR181*AR182</f>
        <v>18.10067359473485</v>
      </c>
      <c r="AS183" s="320">
        <f t="shared" ref="AS183" si="389">AS181*AS182</f>
        <v>60.876539659694885</v>
      </c>
      <c r="AT183" s="462"/>
      <c r="AU183" s="508"/>
      <c r="AV183" s="143"/>
      <c r="AW183" s="143"/>
      <c r="AX183" s="143"/>
      <c r="AY183" s="143" t="s">
        <v>582</v>
      </c>
      <c r="AZ183" s="143"/>
      <c r="BA183" s="143"/>
      <c r="BB183" s="143"/>
      <c r="BC183" s="143"/>
      <c r="BD183" s="143"/>
      <c r="BE183" s="143"/>
      <c r="BF183" s="143"/>
      <c r="BG183" s="143"/>
      <c r="BH183" s="143"/>
      <c r="BI183" s="143"/>
      <c r="BJ183" s="143"/>
      <c r="BK183" s="143"/>
      <c r="BL183" s="143"/>
      <c r="BM183" s="143"/>
      <c r="BN183" s="143"/>
      <c r="BO183" s="143"/>
      <c r="BP183" s="143"/>
      <c r="BQ183" s="143"/>
    </row>
    <row r="184" spans="1:69">
      <c r="A184" s="319"/>
      <c r="B184" s="278"/>
      <c r="C184" s="316"/>
      <c r="D184" s="316"/>
      <c r="E184" s="316"/>
      <c r="F184" s="359"/>
      <c r="G184" s="359"/>
      <c r="H184" s="359"/>
      <c r="I184" s="359"/>
      <c r="J184" s="570"/>
      <c r="K184" s="359"/>
      <c r="L184" s="359"/>
      <c r="M184" s="359"/>
      <c r="N184" s="359"/>
      <c r="O184" s="570"/>
      <c r="P184" s="359"/>
      <c r="Q184" s="359"/>
      <c r="R184" s="359"/>
      <c r="S184" s="359"/>
      <c r="T184" s="570"/>
      <c r="U184" s="359"/>
      <c r="V184" s="359"/>
      <c r="W184" s="359"/>
      <c r="X184" s="359"/>
      <c r="Y184" s="570"/>
      <c r="Z184" s="359"/>
      <c r="AA184" s="359"/>
      <c r="AB184" s="359"/>
      <c r="AC184" s="359"/>
      <c r="AD184" s="571"/>
      <c r="AE184" s="359"/>
      <c r="AF184" s="359"/>
      <c r="AG184" s="359"/>
      <c r="AH184" s="359"/>
      <c r="AI184" s="571"/>
      <c r="AJ184" s="359"/>
      <c r="AK184" s="359"/>
      <c r="AL184" s="359"/>
      <c r="AM184" s="359"/>
      <c r="AN184" s="571"/>
      <c r="AO184" s="359"/>
      <c r="AP184" s="359"/>
      <c r="AQ184" s="359"/>
      <c r="AR184" s="359"/>
      <c r="AS184" s="571"/>
      <c r="AT184" s="462"/>
      <c r="AU184" s="508"/>
      <c r="AV184" s="143"/>
      <c r="AW184" s="336">
        <f>SUM(F194:AB194)</f>
        <v>-58.789353185209464</v>
      </c>
      <c r="AX184" s="624">
        <v>0.1</v>
      </c>
      <c r="AY184" s="625">
        <f>AX184+10%</f>
        <v>0.2</v>
      </c>
      <c r="AZ184" s="625">
        <f t="shared" ref="AZ184:BG184" si="390">AY184+10%</f>
        <v>0.30000000000000004</v>
      </c>
      <c r="BA184" s="625">
        <f t="shared" si="390"/>
        <v>0.4</v>
      </c>
      <c r="BB184" s="625">
        <f t="shared" si="390"/>
        <v>0.5</v>
      </c>
      <c r="BC184" s="625">
        <f t="shared" si="390"/>
        <v>0.6</v>
      </c>
      <c r="BD184" s="625">
        <f t="shared" si="390"/>
        <v>0.7</v>
      </c>
      <c r="BE184" s="625">
        <f t="shared" si="390"/>
        <v>0.79999999999999993</v>
      </c>
      <c r="BF184" s="625">
        <f t="shared" si="390"/>
        <v>0.89999999999999991</v>
      </c>
      <c r="BG184" s="625">
        <f t="shared" si="390"/>
        <v>0.99999999999999989</v>
      </c>
      <c r="BH184" s="143"/>
      <c r="BI184" s="143"/>
      <c r="BJ184" s="143"/>
      <c r="BK184" s="143"/>
      <c r="BL184" s="143"/>
      <c r="BM184" s="143"/>
      <c r="BN184" s="143"/>
      <c r="BO184" s="143"/>
      <c r="BP184" s="143"/>
      <c r="BQ184" s="143"/>
    </row>
    <row r="185" spans="1:69">
      <c r="A185" s="281" t="s">
        <v>574</v>
      </c>
      <c r="B185" s="278"/>
      <c r="C185" s="316"/>
      <c r="D185" s="316"/>
      <c r="E185" s="316">
        <f>E50</f>
        <v>0.67247999999999997</v>
      </c>
      <c r="F185" s="280">
        <f>F50</f>
        <v>0.36371999999999999</v>
      </c>
      <c r="G185" s="280">
        <f>G50</f>
        <v>0.48864000000000002</v>
      </c>
      <c r="H185" s="280">
        <f>H50</f>
        <v>0.46656000000000009</v>
      </c>
      <c r="I185" s="280">
        <f>I50</f>
        <v>0.59855999999999998</v>
      </c>
      <c r="J185" s="316">
        <f>J50</f>
        <v>1.9174800000000001</v>
      </c>
      <c r="K185" s="280">
        <f>K50</f>
        <v>0.13446</v>
      </c>
      <c r="L185" s="280">
        <f>L50</f>
        <v>6.7919999999999994E-2</v>
      </c>
      <c r="M185" s="280">
        <f>M50</f>
        <v>0.14616000000000001</v>
      </c>
      <c r="N185" s="280">
        <f>N50</f>
        <v>0.19320000000000004</v>
      </c>
      <c r="O185" s="316">
        <f>O50</f>
        <v>0.54174000000000011</v>
      </c>
      <c r="P185" s="280">
        <f>P50</f>
        <v>0.49010181818181819</v>
      </c>
      <c r="Q185" s="280">
        <f>Q50</f>
        <v>0.73615359999999996</v>
      </c>
      <c r="R185" s="280">
        <f>R50</f>
        <v>0.73903659574468084</v>
      </c>
      <c r="S185" s="280">
        <f>S50</f>
        <v>0.9270598886424336</v>
      </c>
      <c r="T185" s="316">
        <f>T50</f>
        <v>2.8923519025689326</v>
      </c>
      <c r="U185" s="280">
        <f>U50</f>
        <v>3.0960000000000001</v>
      </c>
      <c r="V185" s="280">
        <f>V50</f>
        <v>14.436</v>
      </c>
      <c r="W185" s="280">
        <f>W50</f>
        <v>0.76800000000000002</v>
      </c>
      <c r="X185" s="280">
        <f>X50</f>
        <v>3.2160000000000002</v>
      </c>
      <c r="Y185" s="316">
        <f>Y50</f>
        <v>21.516000000000002</v>
      </c>
      <c r="Z185" s="280">
        <f>Z50</f>
        <v>1.6559999999999999</v>
      </c>
      <c r="AA185" s="280">
        <f>AA50</f>
        <v>11.6</v>
      </c>
      <c r="AB185" s="280">
        <f>AB50</f>
        <v>4.3440000000000003</v>
      </c>
      <c r="AC185" s="280">
        <f>AC50</f>
        <v>0</v>
      </c>
      <c r="AD185" s="320">
        <f>AD50</f>
        <v>17.600000000000001</v>
      </c>
      <c r="AE185" s="280">
        <f>AE50</f>
        <v>0</v>
      </c>
      <c r="AF185" s="280">
        <f>AF50</f>
        <v>0</v>
      </c>
      <c r="AG185" s="280">
        <f>AG50</f>
        <v>0</v>
      </c>
      <c r="AH185" s="280">
        <f>AH50</f>
        <v>1.5257974999999999</v>
      </c>
      <c r="AI185" s="320">
        <f>AI50</f>
        <v>1.5257974999999999</v>
      </c>
      <c r="AJ185" s="280">
        <f>AJ50</f>
        <v>1.710968842</v>
      </c>
      <c r="AK185" s="280">
        <f>AK50</f>
        <v>1.7473714984000002</v>
      </c>
      <c r="AL185" s="280">
        <f>AL50</f>
        <v>1.7952631048000001</v>
      </c>
      <c r="AM185" s="280">
        <f>AM50</f>
        <v>1.8460714887999996</v>
      </c>
      <c r="AN185" s="320">
        <f>AN50</f>
        <v>7.0996749340000003</v>
      </c>
      <c r="AO185" s="280">
        <f>AO50</f>
        <v>2.0672278655999996</v>
      </c>
      <c r="AP185" s="280">
        <f>AP50</f>
        <v>2.1188534510399997</v>
      </c>
      <c r="AQ185" s="280">
        <f>AQ50</f>
        <v>2.1789356481599995</v>
      </c>
      <c r="AR185" s="280">
        <f>AR50</f>
        <v>2.2360257959999998</v>
      </c>
      <c r="AS185" s="320">
        <f>AS50</f>
        <v>8.6010427607999986</v>
      </c>
      <c r="AT185" s="462"/>
      <c r="AU185" s="508"/>
      <c r="AV185" s="143"/>
      <c r="AW185" s="624">
        <v>0.1</v>
      </c>
      <c r="AX185" s="143">
        <f t="dataTable" ref="AX185:BG194" dt2D="1" dtr="1" r1="E182" r2="E178"/>
        <v>-1287.4944812826409</v>
      </c>
      <c r="AY185" s="143">
        <v>-1182.328295663154</v>
      </c>
      <c r="AZ185" s="143">
        <v>-1077.1621100436682</v>
      </c>
      <c r="BA185" s="143">
        <v>-971.99592442418191</v>
      </c>
      <c r="BB185" s="143">
        <v>-866.82973880469581</v>
      </c>
      <c r="BC185" s="143">
        <v>-761.66355318520959</v>
      </c>
      <c r="BD185" s="143">
        <v>-656.49736756572315</v>
      </c>
      <c r="BE185" s="143">
        <v>-551.33118194623705</v>
      </c>
      <c r="BF185" s="143">
        <v>-446.1649963267509</v>
      </c>
      <c r="BG185" s="143">
        <v>-340.99881070726479</v>
      </c>
      <c r="BH185" s="143"/>
      <c r="BI185" s="143"/>
      <c r="BJ185" s="143"/>
      <c r="BK185" s="143"/>
      <c r="BL185" s="143"/>
      <c r="BM185" s="143"/>
      <c r="BN185" s="143"/>
      <c r="BO185" s="143"/>
      <c r="BP185" s="143"/>
      <c r="BQ185" s="143"/>
    </row>
    <row r="186" spans="1:69">
      <c r="A186" s="319" t="s">
        <v>570</v>
      </c>
      <c r="B186" s="278"/>
      <c r="C186" s="316"/>
      <c r="D186" s="316"/>
      <c r="E186" s="570">
        <v>0.3</v>
      </c>
      <c r="F186" s="359">
        <f>E186</f>
        <v>0.3</v>
      </c>
      <c r="G186" s="359">
        <f t="shared" ref="G186:AS186" si="391">F186</f>
        <v>0.3</v>
      </c>
      <c r="H186" s="359">
        <f t="shared" si="391"/>
        <v>0.3</v>
      </c>
      <c r="I186" s="359">
        <f t="shared" si="391"/>
        <v>0.3</v>
      </c>
      <c r="J186" s="570">
        <f t="shared" si="391"/>
        <v>0.3</v>
      </c>
      <c r="K186" s="359">
        <f t="shared" si="391"/>
        <v>0.3</v>
      </c>
      <c r="L186" s="359">
        <f t="shared" si="391"/>
        <v>0.3</v>
      </c>
      <c r="M186" s="359">
        <f t="shared" si="391"/>
        <v>0.3</v>
      </c>
      <c r="N186" s="359">
        <f t="shared" si="391"/>
        <v>0.3</v>
      </c>
      <c r="O186" s="570">
        <f t="shared" si="391"/>
        <v>0.3</v>
      </c>
      <c r="P186" s="359">
        <f t="shared" si="391"/>
        <v>0.3</v>
      </c>
      <c r="Q186" s="359">
        <f t="shared" si="391"/>
        <v>0.3</v>
      </c>
      <c r="R186" s="359">
        <f t="shared" si="391"/>
        <v>0.3</v>
      </c>
      <c r="S186" s="359">
        <f t="shared" si="391"/>
        <v>0.3</v>
      </c>
      <c r="T186" s="570">
        <f t="shared" si="391"/>
        <v>0.3</v>
      </c>
      <c r="U186" s="359">
        <f t="shared" si="391"/>
        <v>0.3</v>
      </c>
      <c r="V186" s="359">
        <f t="shared" si="391"/>
        <v>0.3</v>
      </c>
      <c r="W186" s="359">
        <f t="shared" si="391"/>
        <v>0.3</v>
      </c>
      <c r="X186" s="359">
        <f t="shared" si="391"/>
        <v>0.3</v>
      </c>
      <c r="Y186" s="570">
        <f t="shared" si="391"/>
        <v>0.3</v>
      </c>
      <c r="Z186" s="359">
        <f t="shared" si="391"/>
        <v>0.3</v>
      </c>
      <c r="AA186" s="359">
        <f t="shared" si="391"/>
        <v>0.3</v>
      </c>
      <c r="AB186" s="359">
        <f t="shared" si="391"/>
        <v>0.3</v>
      </c>
      <c r="AC186" s="359">
        <f t="shared" si="391"/>
        <v>0.3</v>
      </c>
      <c r="AD186" s="571">
        <f t="shared" si="391"/>
        <v>0.3</v>
      </c>
      <c r="AE186" s="359">
        <f t="shared" si="391"/>
        <v>0.3</v>
      </c>
      <c r="AF186" s="359">
        <f t="shared" si="391"/>
        <v>0.3</v>
      </c>
      <c r="AG186" s="359">
        <f t="shared" si="391"/>
        <v>0.3</v>
      </c>
      <c r="AH186" s="359">
        <f t="shared" si="391"/>
        <v>0.3</v>
      </c>
      <c r="AI186" s="571">
        <f t="shared" si="391"/>
        <v>0.3</v>
      </c>
      <c r="AJ186" s="359">
        <f t="shared" si="391"/>
        <v>0.3</v>
      </c>
      <c r="AK186" s="359">
        <f t="shared" si="391"/>
        <v>0.3</v>
      </c>
      <c r="AL186" s="359">
        <f t="shared" si="391"/>
        <v>0.3</v>
      </c>
      <c r="AM186" s="359">
        <f t="shared" si="391"/>
        <v>0.3</v>
      </c>
      <c r="AN186" s="571">
        <f t="shared" si="391"/>
        <v>0.3</v>
      </c>
      <c r="AO186" s="359">
        <f t="shared" si="391"/>
        <v>0.3</v>
      </c>
      <c r="AP186" s="359">
        <f t="shared" si="391"/>
        <v>0.3</v>
      </c>
      <c r="AQ186" s="359">
        <f t="shared" si="391"/>
        <v>0.3</v>
      </c>
      <c r="AR186" s="359">
        <f t="shared" si="391"/>
        <v>0.3</v>
      </c>
      <c r="AS186" s="571">
        <f t="shared" si="391"/>
        <v>0.3</v>
      </c>
      <c r="AT186" s="462"/>
      <c r="AU186" s="508"/>
      <c r="AV186" s="143" t="s">
        <v>581</v>
      </c>
      <c r="AW186" s="625">
        <f>AW185+10%</f>
        <v>0.2</v>
      </c>
      <c r="AX186" s="143">
        <v>-1187.0838812826405</v>
      </c>
      <c r="AY186" s="143">
        <v>-1081.9176956631545</v>
      </c>
      <c r="AZ186" s="143">
        <v>-976.75151004366808</v>
      </c>
      <c r="BA186" s="143">
        <v>-871.58532442418198</v>
      </c>
      <c r="BB186" s="143">
        <v>-766.41913880469588</v>
      </c>
      <c r="BC186" s="143">
        <v>-661.25295318520955</v>
      </c>
      <c r="BD186" s="143">
        <v>-556.08676756572322</v>
      </c>
      <c r="BE186" s="143">
        <v>-450.92058194623718</v>
      </c>
      <c r="BF186" s="143">
        <v>-345.75439632675096</v>
      </c>
      <c r="BG186" s="143">
        <v>-240.58821070726475</v>
      </c>
      <c r="BH186" s="143"/>
      <c r="BI186" s="143"/>
      <c r="BJ186" s="143"/>
      <c r="BK186" s="143"/>
      <c r="BL186" s="143"/>
      <c r="BM186" s="143"/>
      <c r="BN186" s="143"/>
      <c r="BO186" s="143"/>
      <c r="BP186" s="143"/>
      <c r="BQ186" s="143"/>
    </row>
    <row r="187" spans="1:69">
      <c r="A187" s="319" t="s">
        <v>578</v>
      </c>
      <c r="B187" s="278"/>
      <c r="C187" s="316"/>
      <c r="D187" s="316"/>
      <c r="E187" s="316">
        <f>E185*E186</f>
        <v>0.20174399999999998</v>
      </c>
      <c r="F187" s="280">
        <f t="shared" ref="F187" si="392">F185*F186</f>
        <v>0.10911599999999999</v>
      </c>
      <c r="G187" s="280">
        <f t="shared" ref="G187" si="393">G185*G186</f>
        <v>0.146592</v>
      </c>
      <c r="H187" s="280">
        <f t="shared" ref="H187" si="394">H185*H186</f>
        <v>0.13996800000000001</v>
      </c>
      <c r="I187" s="280">
        <f t="shared" ref="I187" si="395">I185*I186</f>
        <v>0.17956799999999998</v>
      </c>
      <c r="J187" s="316">
        <f t="shared" ref="J187" si="396">J185*J186</f>
        <v>0.57524399999999998</v>
      </c>
      <c r="K187" s="280">
        <f t="shared" ref="K187" si="397">K185*K186</f>
        <v>4.0337999999999999E-2</v>
      </c>
      <c r="L187" s="280">
        <f t="shared" ref="L187" si="398">L185*L186</f>
        <v>2.0375999999999998E-2</v>
      </c>
      <c r="M187" s="280">
        <f t="shared" ref="M187" si="399">M185*M186</f>
        <v>4.3848000000000005E-2</v>
      </c>
      <c r="N187" s="280">
        <f t="shared" ref="N187" si="400">N185*N186</f>
        <v>5.7960000000000012E-2</v>
      </c>
      <c r="O187" s="316">
        <f t="shared" ref="O187" si="401">O185*O186</f>
        <v>0.16252200000000003</v>
      </c>
      <c r="P187" s="280">
        <f t="shared" ref="P187" si="402">P185*P186</f>
        <v>0.14703054545454544</v>
      </c>
      <c r="Q187" s="280">
        <f t="shared" ref="Q187" si="403">Q185*Q186</f>
        <v>0.22084607999999997</v>
      </c>
      <c r="R187" s="280">
        <f t="shared" ref="R187" si="404">R185*R186</f>
        <v>0.22171097872340426</v>
      </c>
      <c r="S187" s="280">
        <f t="shared" ref="S187" si="405">S185*S186</f>
        <v>0.27811796659273008</v>
      </c>
      <c r="T187" s="316">
        <f t="shared" ref="T187" si="406">T185*T186</f>
        <v>0.86770557077067978</v>
      </c>
      <c r="U187" s="280">
        <f t="shared" ref="U187" si="407">U185*U186</f>
        <v>0.92879999999999996</v>
      </c>
      <c r="V187" s="280">
        <f t="shared" ref="V187" si="408">V185*V186</f>
        <v>4.3308</v>
      </c>
      <c r="W187" s="280">
        <f t="shared" ref="W187" si="409">W185*W186</f>
        <v>0.23039999999999999</v>
      </c>
      <c r="X187" s="280">
        <f t="shared" ref="X187" si="410">X185*X186</f>
        <v>0.96479999999999999</v>
      </c>
      <c r="Y187" s="316">
        <f t="shared" ref="Y187" si="411">Y185*Y186</f>
        <v>6.4548000000000005</v>
      </c>
      <c r="Z187" s="280">
        <f t="shared" ref="Z187" si="412">Z185*Z186</f>
        <v>0.49679999999999996</v>
      </c>
      <c r="AA187" s="280">
        <f t="shared" ref="AA187" si="413">AA185*AA186</f>
        <v>3.48</v>
      </c>
      <c r="AB187" s="280">
        <f t="shared" ref="AB187" si="414">AB185*AB186</f>
        <v>1.3032000000000001</v>
      </c>
      <c r="AC187" s="280">
        <f t="shared" ref="AC187" si="415">AC185*AC186</f>
        <v>0</v>
      </c>
      <c r="AD187" s="320">
        <f t="shared" ref="AD187" si="416">AD185*AD186</f>
        <v>5.28</v>
      </c>
      <c r="AE187" s="280">
        <f t="shared" ref="AE187" si="417">AE185*AE186</f>
        <v>0</v>
      </c>
      <c r="AF187" s="280">
        <f t="shared" ref="AF187" si="418">AF185*AF186</f>
        <v>0</v>
      </c>
      <c r="AG187" s="280">
        <f t="shared" ref="AG187" si="419">AG185*AG186</f>
        <v>0</v>
      </c>
      <c r="AH187" s="280">
        <f t="shared" ref="AH187" si="420">AH185*AH186</f>
        <v>0.45773924999999993</v>
      </c>
      <c r="AI187" s="320">
        <f t="shared" ref="AI187" si="421">AI185*AI186</f>
        <v>0.45773924999999993</v>
      </c>
      <c r="AJ187" s="280">
        <f t="shared" ref="AJ187" si="422">AJ185*AJ186</f>
        <v>0.51329065259999995</v>
      </c>
      <c r="AK187" s="280">
        <f t="shared" ref="AK187" si="423">AK185*AK186</f>
        <v>0.52421144951999998</v>
      </c>
      <c r="AL187" s="280">
        <f t="shared" ref="AL187" si="424">AL185*AL186</f>
        <v>0.53857893144000002</v>
      </c>
      <c r="AM187" s="280">
        <f t="shared" ref="AM187" si="425">AM185*AM186</f>
        <v>0.55382144663999988</v>
      </c>
      <c r="AN187" s="320">
        <f t="shared" ref="AN187" si="426">AN185*AN186</f>
        <v>2.1299024802000002</v>
      </c>
      <c r="AO187" s="280">
        <f t="shared" ref="AO187" si="427">AO185*AO186</f>
        <v>0.62016835967999984</v>
      </c>
      <c r="AP187" s="280">
        <f t="shared" ref="AP187" si="428">AP185*AP186</f>
        <v>0.63565603531199988</v>
      </c>
      <c r="AQ187" s="280">
        <f t="shared" ref="AQ187" si="429">AQ185*AQ186</f>
        <v>0.65368069444799981</v>
      </c>
      <c r="AR187" s="280">
        <f t="shared" ref="AR187" si="430">AR185*AR186</f>
        <v>0.67080773879999989</v>
      </c>
      <c r="AS187" s="320">
        <f t="shared" ref="AS187" si="431">AS185*AS186</f>
        <v>2.5803128282399994</v>
      </c>
      <c r="AT187" s="462"/>
      <c r="AU187" s="508"/>
      <c r="AV187" s="143"/>
      <c r="AW187" s="625">
        <f t="shared" ref="AW187:AW194" si="432">AW186+10%</f>
        <v>0.30000000000000004</v>
      </c>
      <c r="AX187" s="143">
        <v>-1086.6732812826403</v>
      </c>
      <c r="AY187" s="143">
        <v>-981.50709566315413</v>
      </c>
      <c r="AZ187" s="143">
        <v>-876.34091004366792</v>
      </c>
      <c r="BA187" s="143">
        <v>-771.17472442418182</v>
      </c>
      <c r="BB187" s="143">
        <v>-666.0085388046956</v>
      </c>
      <c r="BC187" s="143">
        <v>-560.8423531852095</v>
      </c>
      <c r="BD187" s="143">
        <v>-455.67616756572329</v>
      </c>
      <c r="BE187" s="143">
        <v>-350.50998194623702</v>
      </c>
      <c r="BF187" s="143">
        <v>-245.34379632675086</v>
      </c>
      <c r="BG187" s="143">
        <v>-140.17761070726471</v>
      </c>
      <c r="BH187" s="143"/>
      <c r="BI187" s="143"/>
      <c r="BJ187" s="143"/>
      <c r="BK187" s="143"/>
      <c r="BL187" s="143"/>
      <c r="BM187" s="143"/>
      <c r="BN187" s="143"/>
      <c r="BO187" s="143"/>
      <c r="BP187" s="143"/>
      <c r="BQ187" s="143"/>
    </row>
    <row r="188" spans="1:69">
      <c r="A188" s="319"/>
      <c r="B188" s="278"/>
      <c r="C188" s="316"/>
      <c r="D188" s="316"/>
      <c r="E188" s="316"/>
      <c r="F188" s="280"/>
      <c r="G188" s="280"/>
      <c r="H188" s="280"/>
      <c r="I188" s="280"/>
      <c r="J188" s="316"/>
      <c r="K188" s="280"/>
      <c r="L188" s="280"/>
      <c r="M188" s="280"/>
      <c r="N188" s="280"/>
      <c r="O188" s="316"/>
      <c r="P188" s="280"/>
      <c r="Q188" s="280"/>
      <c r="R188" s="280"/>
      <c r="S188" s="280"/>
      <c r="T188" s="316"/>
      <c r="U188" s="280"/>
      <c r="V188" s="280"/>
      <c r="W188" s="280"/>
      <c r="X188" s="280"/>
      <c r="Y188" s="316"/>
      <c r="Z188" s="280"/>
      <c r="AA188" s="280"/>
      <c r="AB188" s="280"/>
      <c r="AC188" s="280"/>
      <c r="AD188" s="320"/>
      <c r="AE188" s="280"/>
      <c r="AF188" s="280"/>
      <c r="AG188" s="280"/>
      <c r="AH188" s="280"/>
      <c r="AI188" s="320"/>
      <c r="AJ188" s="280"/>
      <c r="AK188" s="280"/>
      <c r="AL188" s="280"/>
      <c r="AM188" s="280"/>
      <c r="AN188" s="320"/>
      <c r="AO188" s="280"/>
      <c r="AP188" s="280"/>
      <c r="AQ188" s="280"/>
      <c r="AR188" s="280"/>
      <c r="AS188" s="320"/>
      <c r="AT188" s="462"/>
      <c r="AU188" s="508"/>
      <c r="AV188" s="143"/>
      <c r="AW188" s="625">
        <f t="shared" si="432"/>
        <v>0.4</v>
      </c>
      <c r="AX188" s="143">
        <v>-986.26268128264064</v>
      </c>
      <c r="AY188" s="143">
        <v>-881.0964956631542</v>
      </c>
      <c r="AZ188" s="143">
        <v>-775.9303100436681</v>
      </c>
      <c r="BA188" s="143">
        <v>-670.76412442418189</v>
      </c>
      <c r="BB188" s="143">
        <v>-565.59793880469567</v>
      </c>
      <c r="BC188" s="143">
        <v>-460.43175318520946</v>
      </c>
      <c r="BD188" s="143">
        <v>-355.26556756572325</v>
      </c>
      <c r="BE188" s="143">
        <v>-250.09938194623712</v>
      </c>
      <c r="BF188" s="143">
        <v>-144.93319632675087</v>
      </c>
      <c r="BG188" s="143">
        <v>-39.767010707264753</v>
      </c>
      <c r="BH188" s="143"/>
      <c r="BI188" s="143"/>
      <c r="BJ188" s="143"/>
      <c r="BK188" s="143"/>
      <c r="BL188" s="143"/>
      <c r="BM188" s="143"/>
      <c r="BN188" s="143"/>
      <c r="BO188" s="143"/>
      <c r="BP188" s="143"/>
      <c r="BQ188" s="143"/>
    </row>
    <row r="189" spans="1:69">
      <c r="A189" s="281" t="s">
        <v>575</v>
      </c>
      <c r="B189" s="278"/>
      <c r="C189" s="316"/>
      <c r="D189" s="316"/>
      <c r="E189" s="316">
        <f>E177+E181+E185</f>
        <v>112.267</v>
      </c>
      <c r="F189" s="280">
        <f t="shared" ref="F189:AS189" si="433">F177+F181+F185</f>
        <v>35.200000000000003</v>
      </c>
      <c r="G189" s="280">
        <f t="shared" si="433"/>
        <v>43.099999999999994</v>
      </c>
      <c r="H189" s="280">
        <f t="shared" si="433"/>
        <v>40.1</v>
      </c>
      <c r="I189" s="280">
        <f t="shared" si="433"/>
        <v>50.667000000000002</v>
      </c>
      <c r="J189" s="316">
        <f t="shared" si="433"/>
        <v>166.66700000000003</v>
      </c>
      <c r="K189" s="280">
        <f t="shared" si="433"/>
        <v>32.580999999999996</v>
      </c>
      <c r="L189" s="280">
        <f t="shared" si="433"/>
        <v>14.074999999999999</v>
      </c>
      <c r="M189" s="280">
        <f t="shared" si="433"/>
        <v>34.525000000000006</v>
      </c>
      <c r="N189" s="280">
        <f t="shared" si="433"/>
        <v>37.890999999999998</v>
      </c>
      <c r="O189" s="316">
        <f t="shared" si="433"/>
        <v>119.072</v>
      </c>
      <c r="P189" s="280">
        <f t="shared" si="433"/>
        <v>47.571999999999996</v>
      </c>
      <c r="Q189" s="280">
        <f t="shared" si="433"/>
        <v>66.543999999999997</v>
      </c>
      <c r="R189" s="280">
        <f t="shared" si="433"/>
        <v>68.182000000000002</v>
      </c>
      <c r="S189" s="280">
        <f t="shared" si="433"/>
        <v>77.866</v>
      </c>
      <c r="T189" s="316">
        <f t="shared" si="433"/>
        <v>260.16399999999999</v>
      </c>
      <c r="U189" s="280">
        <f t="shared" si="433"/>
        <v>75.447000000000003</v>
      </c>
      <c r="V189" s="280">
        <f t="shared" si="433"/>
        <v>103.536</v>
      </c>
      <c r="W189" s="280">
        <f t="shared" si="433"/>
        <v>88.794000000000011</v>
      </c>
      <c r="X189" s="280">
        <f t="shared" si="433"/>
        <v>98.1</v>
      </c>
      <c r="Y189" s="316">
        <f t="shared" si="433"/>
        <v>365.87700000000001</v>
      </c>
      <c r="Z189" s="280">
        <f t="shared" si="433"/>
        <v>86.253000000000014</v>
      </c>
      <c r="AA189" s="280">
        <f t="shared" si="433"/>
        <v>117.49</v>
      </c>
      <c r="AB189" s="280">
        <f t="shared" si="433"/>
        <v>97.399999999999991</v>
      </c>
      <c r="AC189" s="280">
        <f t="shared" si="433"/>
        <v>45.570479155086161</v>
      </c>
      <c r="AD189" s="320">
        <f t="shared" si="433"/>
        <v>346.71347915508619</v>
      </c>
      <c r="AE189" s="280">
        <f t="shared" si="433"/>
        <v>43.778017310513448</v>
      </c>
      <c r="AF189" s="280">
        <f t="shared" si="433"/>
        <v>44.804885592298035</v>
      </c>
      <c r="AG189" s="280">
        <f t="shared" si="433"/>
        <v>67.336658976662946</v>
      </c>
      <c r="AH189" s="280">
        <f t="shared" si="433"/>
        <v>79.014422495035191</v>
      </c>
      <c r="AI189" s="320">
        <f t="shared" si="433"/>
        <v>234.93398437450963</v>
      </c>
      <c r="AJ189" s="280">
        <f t="shared" si="433"/>
        <v>77.472342960180072</v>
      </c>
      <c r="AK189" s="280">
        <f t="shared" si="433"/>
        <v>94.804312860378786</v>
      </c>
      <c r="AL189" s="280">
        <f t="shared" si="433"/>
        <v>91.752677775672581</v>
      </c>
      <c r="AM189" s="280">
        <f t="shared" si="433"/>
        <v>100.21840674996569</v>
      </c>
      <c r="AN189" s="320">
        <f t="shared" si="433"/>
        <v>364.24774034619713</v>
      </c>
      <c r="AO189" s="280">
        <f t="shared" si="433"/>
        <v>90.814725360266522</v>
      </c>
      <c r="AP189" s="280">
        <f t="shared" si="433"/>
        <v>107.98587883108584</v>
      </c>
      <c r="AQ189" s="280">
        <f t="shared" si="433"/>
        <v>101.62103176800846</v>
      </c>
      <c r="AR189" s="280">
        <f t="shared" si="433"/>
        <v>118.54679686775256</v>
      </c>
      <c r="AS189" s="320">
        <f t="shared" si="433"/>
        <v>418.96843282711336</v>
      </c>
      <c r="AT189" s="462"/>
      <c r="AU189" s="508"/>
      <c r="AV189" s="143"/>
      <c r="AW189" s="625">
        <f t="shared" si="432"/>
        <v>0.5</v>
      </c>
      <c r="AX189" s="143">
        <v>-885.8520812826406</v>
      </c>
      <c r="AY189" s="143">
        <v>-780.68589566315427</v>
      </c>
      <c r="AZ189" s="143">
        <v>-675.51971004366806</v>
      </c>
      <c r="BA189" s="143">
        <v>-570.35352442418184</v>
      </c>
      <c r="BB189" s="143">
        <v>-465.18733880469563</v>
      </c>
      <c r="BC189" s="143">
        <v>-360.02115318520953</v>
      </c>
      <c r="BD189" s="143">
        <v>-254.85496756572326</v>
      </c>
      <c r="BE189" s="143">
        <v>-149.68878194623707</v>
      </c>
      <c r="BF189" s="313">
        <v>-44.522596326750886</v>
      </c>
      <c r="BG189" s="143">
        <v>60.643589292735221</v>
      </c>
      <c r="BH189" s="143"/>
      <c r="BI189" s="143"/>
      <c r="BJ189" s="143"/>
      <c r="BK189" s="143"/>
      <c r="BL189" s="143"/>
      <c r="BM189" s="143"/>
      <c r="BN189" s="143"/>
      <c r="BO189" s="143"/>
      <c r="BP189" s="143"/>
      <c r="BQ189" s="143"/>
    </row>
    <row r="190" spans="1:69">
      <c r="A190" s="319" t="s">
        <v>576</v>
      </c>
      <c r="B190" s="278"/>
      <c r="C190" s="316"/>
      <c r="D190" s="316"/>
      <c r="E190" s="417">
        <f>E191/E189</f>
        <v>0.69653999839667946</v>
      </c>
      <c r="F190" s="414">
        <f t="shared" ref="F190:AS190" si="434">F191/F189</f>
        <v>0.70030920454545442</v>
      </c>
      <c r="G190" s="414">
        <f t="shared" si="434"/>
        <v>0.69961503480278431</v>
      </c>
      <c r="H190" s="414">
        <f t="shared" si="434"/>
        <v>0.70174643391521196</v>
      </c>
      <c r="I190" s="414">
        <f t="shared" si="434"/>
        <v>0.69948155604239459</v>
      </c>
      <c r="J190" s="417">
        <f t="shared" si="434"/>
        <v>0.698788338423323</v>
      </c>
      <c r="K190" s="414">
        <f t="shared" si="434"/>
        <v>0.71232503606396369</v>
      </c>
      <c r="L190" s="414">
        <f t="shared" si="434"/>
        <v>0.71365001776198944</v>
      </c>
      <c r="M190" s="414">
        <f t="shared" si="434"/>
        <v>0.70647797248370736</v>
      </c>
      <c r="N190" s="414">
        <f t="shared" si="434"/>
        <v>0.70667546383046109</v>
      </c>
      <c r="O190" s="417">
        <f t="shared" si="434"/>
        <v>0.7089884943563558</v>
      </c>
      <c r="P190" s="414">
        <f t="shared" si="434"/>
        <v>0.68898027105325521</v>
      </c>
      <c r="Q190" s="414">
        <f t="shared" si="434"/>
        <v>0.69165595575859595</v>
      </c>
      <c r="R190" s="414">
        <f t="shared" si="434"/>
        <v>0.69061466400628602</v>
      </c>
      <c r="S190" s="414">
        <f t="shared" si="434"/>
        <v>0.68683998193572648</v>
      </c>
      <c r="T190" s="417">
        <f t="shared" si="434"/>
        <v>0.68945240090569537</v>
      </c>
      <c r="U190" s="414">
        <f t="shared" si="434"/>
        <v>0.67728869272469416</v>
      </c>
      <c r="V190" s="414">
        <f t="shared" si="434"/>
        <v>0.63303005717817951</v>
      </c>
      <c r="W190" s="414">
        <f t="shared" si="434"/>
        <v>0.68682568642025354</v>
      </c>
      <c r="X190" s="414">
        <f t="shared" si="434"/>
        <v>0.68680122324159032</v>
      </c>
      <c r="Y190" s="417">
        <f t="shared" si="434"/>
        <v>0.66962941097691298</v>
      </c>
      <c r="Z190" s="414">
        <f t="shared" si="434"/>
        <v>0.68907748136296687</v>
      </c>
      <c r="AA190" s="414">
        <f t="shared" si="434"/>
        <v>0.65872840241722708</v>
      </c>
      <c r="AB190" s="414">
        <f t="shared" si="434"/>
        <v>0.68189733059548252</v>
      </c>
      <c r="AC190" s="414">
        <f t="shared" si="434"/>
        <v>0.76698529708460805</v>
      </c>
      <c r="AD190" s="422">
        <f t="shared" si="434"/>
        <v>0.68701594202083216</v>
      </c>
      <c r="AE190" s="414">
        <f t="shared" si="434"/>
        <v>0.7633930552236815</v>
      </c>
      <c r="AF190" s="414">
        <f t="shared" si="434"/>
        <v>0.75964830409542683</v>
      </c>
      <c r="AG190" s="414">
        <f t="shared" si="434"/>
        <v>0.76103055852666301</v>
      </c>
      <c r="AH190" s="414">
        <f t="shared" si="434"/>
        <v>0.75235466243796034</v>
      </c>
      <c r="AI190" s="422">
        <f t="shared" si="434"/>
        <v>0.75828924695718825</v>
      </c>
      <c r="AJ190" s="414">
        <f t="shared" si="434"/>
        <v>0.74285904792586066</v>
      </c>
      <c r="AK190" s="414">
        <f t="shared" si="434"/>
        <v>0.74885087443795972</v>
      </c>
      <c r="AL190" s="414">
        <f t="shared" si="434"/>
        <v>0.73684348178857872</v>
      </c>
      <c r="AM190" s="414">
        <f t="shared" si="434"/>
        <v>0.7458613338265806</v>
      </c>
      <c r="AN190" s="422">
        <f t="shared" si="434"/>
        <v>0.74372931002577813</v>
      </c>
      <c r="AO190" s="414">
        <f t="shared" si="434"/>
        <v>0.73749493124613741</v>
      </c>
      <c r="AP190" s="414">
        <f t="shared" si="434"/>
        <v>0.74785226056811804</v>
      </c>
      <c r="AQ190" s="414">
        <f t="shared" si="434"/>
        <v>0.73964310071223438</v>
      </c>
      <c r="AR190" s="414">
        <f t="shared" si="434"/>
        <v>0.73967301562023879</v>
      </c>
      <c r="AS190" s="422">
        <f t="shared" si="434"/>
        <v>0.74130177994313684</v>
      </c>
      <c r="AT190" s="462"/>
      <c r="AU190" s="508"/>
      <c r="AV190" s="143"/>
      <c r="AW190" s="625">
        <f t="shared" si="432"/>
        <v>0.6</v>
      </c>
      <c r="AX190" s="143">
        <v>-785.44148128264067</v>
      </c>
      <c r="AY190" s="143">
        <v>-680.27529566315434</v>
      </c>
      <c r="AZ190" s="143">
        <v>-575.10911004366801</v>
      </c>
      <c r="BA190" s="143">
        <v>-469.9429244241818</v>
      </c>
      <c r="BB190" s="143">
        <v>-364.77673880469558</v>
      </c>
      <c r="BC190" s="143">
        <v>-259.61055318520948</v>
      </c>
      <c r="BD190" s="143">
        <v>-154.44436756572327</v>
      </c>
      <c r="BE190" s="143">
        <v>-49.278181946237126</v>
      </c>
      <c r="BF190" s="143">
        <v>55.888003673249074</v>
      </c>
      <c r="BG190" s="143">
        <v>161.05418929273515</v>
      </c>
      <c r="BH190" s="143"/>
      <c r="BI190" s="143"/>
      <c r="BJ190" s="143"/>
      <c r="BK190" s="143"/>
      <c r="BL190" s="143"/>
      <c r="BM190" s="143"/>
      <c r="BN190" s="143"/>
      <c r="BO190" s="143"/>
      <c r="BP190" s="143"/>
      <c r="BQ190" s="143"/>
    </row>
    <row r="191" spans="1:69">
      <c r="A191" s="319" t="s">
        <v>577</v>
      </c>
      <c r="B191" s="278"/>
      <c r="C191" s="316"/>
      <c r="D191" s="316"/>
      <c r="E191" s="316">
        <f>E179+E183+E187</f>
        <v>78.198456000000007</v>
      </c>
      <c r="F191" s="280">
        <f t="shared" ref="F191:AS191" si="435">F179+F183+F187</f>
        <v>24.650883999999998</v>
      </c>
      <c r="G191" s="280">
        <f t="shared" si="435"/>
        <v>30.153407999999999</v>
      </c>
      <c r="H191" s="280">
        <f t="shared" si="435"/>
        <v>28.140032000000001</v>
      </c>
      <c r="I191" s="280">
        <f t="shared" si="435"/>
        <v>35.440632000000008</v>
      </c>
      <c r="J191" s="316">
        <f t="shared" si="435"/>
        <v>116.464956</v>
      </c>
      <c r="K191" s="280">
        <f t="shared" si="435"/>
        <v>23.208261999999998</v>
      </c>
      <c r="L191" s="280">
        <f t="shared" si="435"/>
        <v>10.044624000000001</v>
      </c>
      <c r="M191" s="280">
        <f t="shared" si="435"/>
        <v>24.391152000000002</v>
      </c>
      <c r="N191" s="280">
        <f t="shared" si="435"/>
        <v>26.77664</v>
      </c>
      <c r="O191" s="316">
        <f t="shared" si="435"/>
        <v>84.420677999999995</v>
      </c>
      <c r="P191" s="280">
        <f t="shared" si="435"/>
        <v>32.776169454545453</v>
      </c>
      <c r="Q191" s="280">
        <f t="shared" si="435"/>
        <v>46.025553920000007</v>
      </c>
      <c r="R191" s="280">
        <f t="shared" si="435"/>
        <v>47.087489021276596</v>
      </c>
      <c r="S191" s="280">
        <f t="shared" si="435"/>
        <v>53.481482033407275</v>
      </c>
      <c r="T191" s="316">
        <f t="shared" si="435"/>
        <v>179.37069442922933</v>
      </c>
      <c r="U191" s="280">
        <f t="shared" si="435"/>
        <v>51.099400000000003</v>
      </c>
      <c r="V191" s="280">
        <f t="shared" si="435"/>
        <v>65.541399999999996</v>
      </c>
      <c r="W191" s="280">
        <f t="shared" si="435"/>
        <v>60.986000000000004</v>
      </c>
      <c r="X191" s="280">
        <f t="shared" si="435"/>
        <v>67.375200000000007</v>
      </c>
      <c r="Y191" s="316">
        <f t="shared" si="435"/>
        <v>245.00199999999998</v>
      </c>
      <c r="Z191" s="280">
        <f t="shared" si="435"/>
        <v>59.434999999999995</v>
      </c>
      <c r="AA191" s="280">
        <f t="shared" si="435"/>
        <v>77.394000000000005</v>
      </c>
      <c r="AB191" s="280">
        <f t="shared" si="435"/>
        <v>66.416799999999995</v>
      </c>
      <c r="AC191" s="280">
        <f t="shared" si="435"/>
        <v>34.9518874930517</v>
      </c>
      <c r="AD191" s="320">
        <f t="shared" si="435"/>
        <v>238.19768749305169</v>
      </c>
      <c r="AE191" s="280">
        <f t="shared" si="435"/>
        <v>33.419834386308075</v>
      </c>
      <c r="AF191" s="280">
        <f t="shared" si="435"/>
        <v>34.035955355378825</v>
      </c>
      <c r="AG191" s="280">
        <f t="shared" si="435"/>
        <v>51.245255190329239</v>
      </c>
      <c r="AH191" s="280">
        <f t="shared" si="435"/>
        <v>59.446869163982583</v>
      </c>
      <c r="AI191" s="320">
        <f t="shared" si="435"/>
        <v>178.14791409599874</v>
      </c>
      <c r="AJ191" s="280">
        <f t="shared" si="435"/>
        <v>57.551030931985125</v>
      </c>
      <c r="AK191" s="280">
        <f t="shared" si="435"/>
        <v>70.994292585984567</v>
      </c>
      <c r="AL191" s="280">
        <f t="shared" si="435"/>
        <v>67.607362555652131</v>
      </c>
      <c r="AM191" s="280">
        <f t="shared" si="435"/>
        <v>74.749034532504197</v>
      </c>
      <c r="AN191" s="320">
        <f t="shared" si="435"/>
        <v>270.90172060612599</v>
      </c>
      <c r="AO191" s="280">
        <f t="shared" si="435"/>
        <v>66.975399635706609</v>
      </c>
      <c r="AP191" s="280">
        <f t="shared" si="435"/>
        <v>80.757483593262435</v>
      </c>
      <c r="AQ191" s="280">
        <f t="shared" si="435"/>
        <v>75.163295034466259</v>
      </c>
      <c r="AR191" s="280">
        <f t="shared" si="435"/>
        <v>87.685866731290417</v>
      </c>
      <c r="AS191" s="320">
        <f t="shared" si="435"/>
        <v>310.58204499472572</v>
      </c>
      <c r="AT191" s="462"/>
      <c r="AU191" s="508"/>
      <c r="AV191" s="143"/>
      <c r="AW191" s="625">
        <f t="shared" si="432"/>
        <v>0.7</v>
      </c>
      <c r="AX191" s="143">
        <v>-685.03088128264051</v>
      </c>
      <c r="AY191" s="143">
        <v>-579.86469566315441</v>
      </c>
      <c r="AZ191" s="143">
        <v>-474.69851004366814</v>
      </c>
      <c r="BA191" s="143">
        <v>-369.53232442418181</v>
      </c>
      <c r="BB191" s="143">
        <v>-264.36613880469571</v>
      </c>
      <c r="BC191" s="143">
        <v>-159.19995318520952</v>
      </c>
      <c r="BD191" s="143">
        <v>-54.033767565723316</v>
      </c>
      <c r="BE191" s="143">
        <v>51.132418053762805</v>
      </c>
      <c r="BF191" s="143">
        <v>156.298603673249</v>
      </c>
      <c r="BG191" s="143">
        <v>261.46478929273508</v>
      </c>
      <c r="BH191" s="143"/>
      <c r="BI191" s="143"/>
      <c r="BJ191" s="143"/>
      <c r="BK191" s="143"/>
      <c r="BL191" s="143"/>
      <c r="BM191" s="143"/>
      <c r="BN191" s="143"/>
      <c r="BO191" s="143"/>
      <c r="BP191" s="143"/>
      <c r="BQ191" s="143"/>
    </row>
    <row r="192" spans="1:69" hidden="1" outlineLevel="1">
      <c r="A192" s="319"/>
      <c r="B192" s="278"/>
      <c r="C192" s="316"/>
      <c r="D192" s="316"/>
      <c r="E192" s="316"/>
      <c r="F192" s="280"/>
      <c r="G192" s="280"/>
      <c r="H192" s="280"/>
      <c r="I192" s="280"/>
      <c r="J192" s="316"/>
      <c r="K192" s="280"/>
      <c r="L192" s="280"/>
      <c r="M192" s="280"/>
      <c r="N192" s="280"/>
      <c r="O192" s="316"/>
      <c r="P192" s="280"/>
      <c r="Q192" s="280"/>
      <c r="R192" s="280"/>
      <c r="S192" s="280"/>
      <c r="T192" s="316"/>
      <c r="U192" s="280"/>
      <c r="V192" s="280"/>
      <c r="W192" s="280"/>
      <c r="X192" s="280"/>
      <c r="Y192" s="316"/>
      <c r="Z192" s="280"/>
      <c r="AA192" s="280"/>
      <c r="AB192" s="280"/>
      <c r="AC192" s="280"/>
      <c r="AD192" s="320"/>
      <c r="AE192" s="280"/>
      <c r="AF192" s="280"/>
      <c r="AG192" s="280"/>
      <c r="AH192" s="280"/>
      <c r="AI192" s="320"/>
      <c r="AJ192" s="280"/>
      <c r="AK192" s="280"/>
      <c r="AL192" s="280"/>
      <c r="AM192" s="280"/>
      <c r="AN192" s="320"/>
      <c r="AO192" s="280"/>
      <c r="AP192" s="280"/>
      <c r="AQ192" s="280"/>
      <c r="AR192" s="280"/>
      <c r="AS192" s="320"/>
      <c r="AT192" s="462"/>
      <c r="AU192" s="508"/>
      <c r="AV192" s="143"/>
      <c r="AW192" s="625">
        <f t="shared" si="432"/>
        <v>0.79999999999999993</v>
      </c>
      <c r="AX192" s="143">
        <v>-584.62028128264069</v>
      </c>
      <c r="AY192" s="143">
        <v>-479.45409566315442</v>
      </c>
      <c r="AZ192" s="143">
        <v>-374.28791004366803</v>
      </c>
      <c r="BA192" s="143">
        <v>-269.12172442418193</v>
      </c>
      <c r="BB192" s="143">
        <v>-163.95553880469572</v>
      </c>
      <c r="BC192" s="626">
        <v>-58.789353185209535</v>
      </c>
      <c r="BD192" s="143">
        <v>46.376832434276643</v>
      </c>
      <c r="BE192" s="143">
        <v>151.54301805376275</v>
      </c>
      <c r="BF192" s="143">
        <v>256.70920367324902</v>
      </c>
      <c r="BG192" s="143">
        <v>361.87538929273512</v>
      </c>
      <c r="BH192" s="143"/>
      <c r="BI192" s="143"/>
      <c r="BJ192" s="143"/>
      <c r="BK192" s="143"/>
      <c r="BL192" s="143"/>
      <c r="BM192" s="143"/>
      <c r="BN192" s="143"/>
      <c r="BO192" s="143"/>
      <c r="BP192" s="143"/>
      <c r="BQ192" s="143"/>
    </row>
    <row r="193" spans="1:269" hidden="1" outlineLevel="1">
      <c r="A193" s="281" t="s">
        <v>579</v>
      </c>
      <c r="B193" s="278"/>
      <c r="C193" s="316"/>
      <c r="D193" s="316"/>
      <c r="E193" s="316">
        <f>E164</f>
        <v>0</v>
      </c>
      <c r="F193" s="280">
        <f>F164</f>
        <v>23</v>
      </c>
      <c r="G193" s="280">
        <f>G164</f>
        <v>32</v>
      </c>
      <c r="H193" s="280">
        <f>H164</f>
        <v>29</v>
      </c>
      <c r="I193" s="280">
        <f>I164</f>
        <v>35</v>
      </c>
      <c r="J193" s="316">
        <f>J164</f>
        <v>119</v>
      </c>
      <c r="K193" s="280">
        <f>K164</f>
        <v>32.5</v>
      </c>
      <c r="L193" s="280">
        <f>L164</f>
        <v>4.2999999999999989</v>
      </c>
      <c r="M193" s="280">
        <f>M164</f>
        <v>20.896999999999998</v>
      </c>
      <c r="N193" s="280">
        <f>N164</f>
        <v>24.069810043668127</v>
      </c>
      <c r="O193" s="316">
        <f>O164</f>
        <v>77.956999999999994</v>
      </c>
      <c r="P193" s="280">
        <f>P164</f>
        <v>34.320999999999998</v>
      </c>
      <c r="Q193" s="280">
        <f>Q164</f>
        <v>49.809999999999995</v>
      </c>
      <c r="R193" s="280">
        <f>R164</f>
        <v>48.734000000000002</v>
      </c>
      <c r="S193" s="280">
        <f>S164</f>
        <v>59.606000000000009</v>
      </c>
      <c r="T193" s="316">
        <f>T164</f>
        <v>192.47100000000003</v>
      </c>
      <c r="U193" s="280">
        <f>U164</f>
        <v>54.817999999999991</v>
      </c>
      <c r="V193" s="280">
        <f>V164</f>
        <v>74.83</v>
      </c>
      <c r="W193" s="280">
        <f>W164</f>
        <v>66.647000000000006</v>
      </c>
      <c r="X193" s="280">
        <f>X164</f>
        <v>70.907999999999987</v>
      </c>
      <c r="Y193" s="316">
        <f>Y164</f>
        <v>267.20299999999997</v>
      </c>
      <c r="Z193" s="280">
        <f>Z164</f>
        <v>60.399999999999991</v>
      </c>
      <c r="AA193" s="280">
        <f>AA164</f>
        <v>76.2</v>
      </c>
      <c r="AB193" s="280">
        <f>AB164</f>
        <v>60.800000000000011</v>
      </c>
      <c r="AC193" s="280"/>
      <c r="AD193" s="320"/>
      <c r="AE193" s="280"/>
      <c r="AF193" s="280"/>
      <c r="AG193" s="280"/>
      <c r="AH193" s="280"/>
      <c r="AI193" s="320"/>
      <c r="AJ193" s="280"/>
      <c r="AK193" s="280"/>
      <c r="AL193" s="280"/>
      <c r="AM193" s="280"/>
      <c r="AN193" s="320"/>
      <c r="AO193" s="280"/>
      <c r="AP193" s="280"/>
      <c r="AQ193" s="280"/>
      <c r="AR193" s="280"/>
      <c r="AS193" s="320"/>
      <c r="AT193" s="462"/>
      <c r="AU193" s="508"/>
      <c r="AV193" s="143"/>
      <c r="AW193" s="625">
        <f t="shared" si="432"/>
        <v>0.89999999999999991</v>
      </c>
      <c r="AX193" s="143">
        <v>-484.20968128264064</v>
      </c>
      <c r="AY193" s="143">
        <v>-379.04349566315437</v>
      </c>
      <c r="AZ193" s="143">
        <v>-273.87731004366816</v>
      </c>
      <c r="BA193" s="143">
        <v>-168.71112442418195</v>
      </c>
      <c r="BB193" s="143">
        <v>-63.544938804695732</v>
      </c>
      <c r="BC193" s="143">
        <v>41.621246814790418</v>
      </c>
      <c r="BD193" s="143">
        <v>146.78743243427661</v>
      </c>
      <c r="BE193" s="143">
        <v>251.95361805376274</v>
      </c>
      <c r="BF193" s="143">
        <v>357.11980367324907</v>
      </c>
      <c r="BG193" s="143">
        <v>462.28598929273511</v>
      </c>
      <c r="BH193" s="143"/>
      <c r="BI193" s="143"/>
      <c r="BJ193" s="143"/>
      <c r="BK193" s="143"/>
      <c r="BL193" s="143"/>
      <c r="BM193" s="143"/>
      <c r="BN193" s="143"/>
      <c r="BO193" s="143"/>
      <c r="BP193" s="143"/>
      <c r="BQ193" s="143"/>
    </row>
    <row r="194" spans="1:269" hidden="1" outlineLevel="1">
      <c r="A194" s="319" t="s">
        <v>580</v>
      </c>
      <c r="B194" s="278"/>
      <c r="C194" s="316"/>
      <c r="D194" s="316"/>
      <c r="E194" s="316"/>
      <c r="F194" s="280">
        <f>F191-F193</f>
        <v>1.6508839999999978</v>
      </c>
      <c r="G194" s="280">
        <f t="shared" ref="G194:AB194" si="436">G191-G193</f>
        <v>-1.8465920000000011</v>
      </c>
      <c r="H194" s="280">
        <f t="shared" si="436"/>
        <v>-0.85996799999999851</v>
      </c>
      <c r="I194" s="280">
        <f t="shared" si="436"/>
        <v>0.44063200000000791</v>
      </c>
      <c r="J194" s="316">
        <f t="shared" si="436"/>
        <v>-2.5350439999999992</v>
      </c>
      <c r="K194" s="280">
        <f t="shared" si="436"/>
        <v>-9.2917380000000023</v>
      </c>
      <c r="L194" s="280">
        <f t="shared" si="436"/>
        <v>5.7446240000000017</v>
      </c>
      <c r="M194" s="280">
        <f t="shared" si="436"/>
        <v>3.4941520000000033</v>
      </c>
      <c r="N194" s="280">
        <f t="shared" si="436"/>
        <v>2.7068299563318732</v>
      </c>
      <c r="O194" s="316">
        <f t="shared" si="436"/>
        <v>6.4636780000000016</v>
      </c>
      <c r="P194" s="280">
        <f t="shared" si="436"/>
        <v>-1.5448305454545448</v>
      </c>
      <c r="Q194" s="280">
        <f t="shared" si="436"/>
        <v>-3.7844460799999879</v>
      </c>
      <c r="R194" s="280">
        <f t="shared" si="436"/>
        <v>-1.6465109787234056</v>
      </c>
      <c r="S194" s="280">
        <f t="shared" si="436"/>
        <v>-6.1245179665927338</v>
      </c>
      <c r="T194" s="316">
        <f t="shared" si="436"/>
        <v>-13.100305570770701</v>
      </c>
      <c r="U194" s="280">
        <f t="shared" si="436"/>
        <v>-3.7185999999999879</v>
      </c>
      <c r="V194" s="280">
        <f t="shared" si="436"/>
        <v>-9.2886000000000024</v>
      </c>
      <c r="W194" s="280">
        <f t="shared" si="436"/>
        <v>-5.6610000000000014</v>
      </c>
      <c r="X194" s="280">
        <f t="shared" si="436"/>
        <v>-3.5327999999999804</v>
      </c>
      <c r="Y194" s="316">
        <f t="shared" si="436"/>
        <v>-22.200999999999993</v>
      </c>
      <c r="Z194" s="280">
        <f t="shared" si="436"/>
        <v>-0.96499999999999631</v>
      </c>
      <c r="AA194" s="280">
        <f t="shared" si="436"/>
        <v>1.1940000000000026</v>
      </c>
      <c r="AB194" s="280">
        <f t="shared" si="436"/>
        <v>5.6167999999999836</v>
      </c>
      <c r="AC194" s="280"/>
      <c r="AD194" s="320"/>
      <c r="AE194" s="280"/>
      <c r="AF194" s="280"/>
      <c r="AG194" s="280"/>
      <c r="AH194" s="280"/>
      <c r="AI194" s="320"/>
      <c r="AJ194" s="280"/>
      <c r="AK194" s="280"/>
      <c r="AL194" s="280"/>
      <c r="AM194" s="280"/>
      <c r="AN194" s="320"/>
      <c r="AO194" s="280"/>
      <c r="AP194" s="280"/>
      <c r="AQ194" s="280"/>
      <c r="AR194" s="280"/>
      <c r="AS194" s="320"/>
      <c r="AT194" s="462"/>
      <c r="AU194" s="508"/>
      <c r="AV194" s="143"/>
      <c r="AW194" s="625">
        <f t="shared" si="432"/>
        <v>0.99999999999999989</v>
      </c>
      <c r="AX194" s="143">
        <v>-383.79908128264071</v>
      </c>
      <c r="AY194" s="143">
        <v>-278.63289566315444</v>
      </c>
      <c r="AZ194" s="143">
        <v>-173.46671004366823</v>
      </c>
      <c r="BA194" s="143">
        <v>-68.300524424182029</v>
      </c>
      <c r="BB194" s="143">
        <v>36.865661195304142</v>
      </c>
      <c r="BC194" s="143">
        <v>142.03184681479036</v>
      </c>
      <c r="BD194" s="143">
        <v>247.19803243427657</v>
      </c>
      <c r="BE194" s="143">
        <v>352.36421805376267</v>
      </c>
      <c r="BF194" s="143">
        <v>457.530403673249</v>
      </c>
      <c r="BG194" s="143">
        <v>562.69658929273487</v>
      </c>
      <c r="BH194" s="143"/>
      <c r="BI194" s="143"/>
      <c r="BJ194" s="143"/>
      <c r="BK194" s="143"/>
      <c r="BL194" s="143"/>
      <c r="BM194" s="143"/>
      <c r="BN194" s="143"/>
      <c r="BO194" s="143"/>
      <c r="BP194" s="143"/>
      <c r="BQ194" s="143"/>
    </row>
    <row r="195" spans="1:269" collapsed="1">
      <c r="A195" s="281"/>
      <c r="B195" s="278"/>
      <c r="C195" s="277"/>
      <c r="D195" s="277"/>
      <c r="E195" s="277"/>
      <c r="F195" s="278"/>
      <c r="G195" s="278"/>
      <c r="H195" s="278"/>
      <c r="I195" s="278"/>
      <c r="J195" s="277"/>
      <c r="K195" s="278"/>
      <c r="L195" s="278"/>
      <c r="M195" s="278"/>
      <c r="N195" s="278"/>
      <c r="O195" s="277"/>
      <c r="P195" s="278"/>
      <c r="Q195" s="278"/>
      <c r="R195" s="278"/>
      <c r="S195" s="278"/>
      <c r="T195" s="277"/>
      <c r="U195" s="278"/>
      <c r="V195" s="278"/>
      <c r="W195" s="278"/>
      <c r="X195" s="278"/>
      <c r="Y195" s="277"/>
      <c r="Z195" s="278"/>
      <c r="AA195" s="278"/>
      <c r="AB195" s="278"/>
      <c r="AC195" s="278"/>
      <c r="AD195" s="536"/>
      <c r="AE195" s="278"/>
      <c r="AF195" s="278"/>
      <c r="AG195" s="144"/>
      <c r="AH195" s="144"/>
      <c r="AI195" s="288"/>
      <c r="AJ195" s="144"/>
      <c r="AK195" s="144"/>
      <c r="AL195" s="144"/>
      <c r="AM195" s="144"/>
      <c r="AN195" s="288"/>
      <c r="AO195" s="144"/>
      <c r="AP195" s="144"/>
      <c r="AQ195" s="144"/>
      <c r="AR195" s="144"/>
      <c r="AS195" s="288"/>
      <c r="AT195" s="462"/>
      <c r="AU195" s="508"/>
      <c r="AV195" s="143"/>
      <c r="AW195" s="143"/>
      <c r="AX195" s="143"/>
      <c r="AY195" s="143"/>
      <c r="AZ195" s="143"/>
      <c r="BA195" s="143"/>
      <c r="BB195" s="143"/>
      <c r="BC195" s="143"/>
      <c r="BD195" s="143"/>
      <c r="BE195" s="143"/>
      <c r="BF195" s="143"/>
      <c r="BG195" s="143"/>
      <c r="BH195" s="143"/>
      <c r="BI195" s="143"/>
      <c r="BJ195" s="143"/>
      <c r="BK195" s="143"/>
      <c r="BL195" s="143"/>
      <c r="BM195" s="143"/>
      <c r="BN195" s="143"/>
      <c r="BO195" s="143"/>
      <c r="BP195" s="143"/>
      <c r="BQ195" s="143"/>
    </row>
    <row r="196" spans="1:269" s="81" customFormat="1" ht="15" thickBot="1">
      <c r="A196" s="622" t="s">
        <v>210</v>
      </c>
      <c r="B196" s="314"/>
      <c r="C196" s="578"/>
      <c r="D196" s="578"/>
      <c r="E196" s="578"/>
      <c r="F196" s="579">
        <f t="shared" ref="F196:AS196" si="437">F197+F204+F206</f>
        <v>26.3</v>
      </c>
      <c r="G196" s="579">
        <f t="shared" si="437"/>
        <v>0</v>
      </c>
      <c r="H196" s="579">
        <f t="shared" si="437"/>
        <v>18.749000000000002</v>
      </c>
      <c r="I196" s="579">
        <f t="shared" si="437"/>
        <v>20.845000000000002</v>
      </c>
      <c r="J196" s="578">
        <f t="shared" si="437"/>
        <v>4.5999999999999996</v>
      </c>
      <c r="K196" s="579">
        <f t="shared" si="437"/>
        <v>26.3</v>
      </c>
      <c r="L196" s="579">
        <f t="shared" si="437"/>
        <v>0</v>
      </c>
      <c r="M196" s="579">
        <f t="shared" si="437"/>
        <v>18.749000000000002</v>
      </c>
      <c r="N196" s="579">
        <f t="shared" si="437"/>
        <v>20.845000000000002</v>
      </c>
      <c r="O196" s="578">
        <f t="shared" si="437"/>
        <v>84.4</v>
      </c>
      <c r="P196" s="579">
        <f t="shared" si="437"/>
        <v>30.831249999999997</v>
      </c>
      <c r="Q196" s="579">
        <f t="shared" si="437"/>
        <v>73.603999999999999</v>
      </c>
      <c r="R196" s="579">
        <f t="shared" si="437"/>
        <v>51.530999999999999</v>
      </c>
      <c r="S196" s="579">
        <f t="shared" si="437"/>
        <v>63.972999999999999</v>
      </c>
      <c r="T196" s="578">
        <f t="shared" si="437"/>
        <v>219.93924999999999</v>
      </c>
      <c r="U196" s="579">
        <f t="shared" si="437"/>
        <v>64.897999999999996</v>
      </c>
      <c r="V196" s="579">
        <f t="shared" si="437"/>
        <v>75.067000000000007</v>
      </c>
      <c r="W196" s="579">
        <f t="shared" si="437"/>
        <v>65.716000000000008</v>
      </c>
      <c r="X196" s="579">
        <f t="shared" si="437"/>
        <v>68.938999999999993</v>
      </c>
      <c r="Y196" s="578">
        <f t="shared" si="437"/>
        <v>274.62000000000006</v>
      </c>
      <c r="Z196" s="579">
        <f t="shared" si="437"/>
        <v>71.399999999999991</v>
      </c>
      <c r="AA196" s="579">
        <f t="shared" si="437"/>
        <v>81</v>
      </c>
      <c r="AB196" s="579">
        <f t="shared" si="437"/>
        <v>69.5</v>
      </c>
      <c r="AC196" s="579">
        <f t="shared" si="437"/>
        <v>42.884056573738491</v>
      </c>
      <c r="AD196" s="581">
        <f t="shared" si="437"/>
        <v>264.7840565737385</v>
      </c>
      <c r="AE196" s="579">
        <f t="shared" si="437"/>
        <v>48.661128821693588</v>
      </c>
      <c r="AF196" s="579">
        <f t="shared" si="437"/>
        <v>50.098025196951269</v>
      </c>
      <c r="AG196" s="579">
        <f t="shared" si="437"/>
        <v>56.106409978286337</v>
      </c>
      <c r="AH196" s="579">
        <f t="shared" si="437"/>
        <v>50.308019854722666</v>
      </c>
      <c r="AI196" s="581">
        <f t="shared" si="437"/>
        <v>205.17358385165389</v>
      </c>
      <c r="AJ196" s="579">
        <f t="shared" si="437"/>
        <v>60.398908665541477</v>
      </c>
      <c r="AK196" s="579">
        <f t="shared" si="437"/>
        <v>64.934755112079756</v>
      </c>
      <c r="AL196" s="579">
        <f t="shared" si="437"/>
        <v>62.140416399059816</v>
      </c>
      <c r="AM196" s="579">
        <f t="shared" si="437"/>
        <v>56.181084080485334</v>
      </c>
      <c r="AN196" s="581">
        <f t="shared" si="437"/>
        <v>243.6551642571664</v>
      </c>
      <c r="AO196" s="579">
        <f t="shared" si="437"/>
        <v>63.769047730490989</v>
      </c>
      <c r="AP196" s="579">
        <f t="shared" si="437"/>
        <v>66.94865856765918</v>
      </c>
      <c r="AQ196" s="579">
        <f t="shared" si="437"/>
        <v>62.841055478860468</v>
      </c>
      <c r="AR196" s="579">
        <f t="shared" si="437"/>
        <v>58.890629891055042</v>
      </c>
      <c r="AS196" s="581">
        <f t="shared" si="437"/>
        <v>252.44939166806563</v>
      </c>
      <c r="AT196" s="623"/>
      <c r="AU196" s="508"/>
      <c r="AX196" s="81" t="s">
        <v>605</v>
      </c>
      <c r="BR196" s="438"/>
      <c r="BS196" s="438"/>
      <c r="BT196" s="438"/>
      <c r="BU196" s="438"/>
      <c r="BV196" s="438"/>
      <c r="BW196" s="438"/>
      <c r="BX196" s="438"/>
      <c r="BY196" s="438"/>
      <c r="BZ196" s="438"/>
      <c r="CA196" s="438"/>
      <c r="CB196" s="438"/>
      <c r="CC196" s="438"/>
      <c r="CD196" s="438"/>
      <c r="CE196" s="438"/>
      <c r="CF196" s="438"/>
      <c r="CG196" s="438"/>
      <c r="CH196" s="438"/>
      <c r="CI196" s="438"/>
      <c r="CJ196" s="438"/>
      <c r="CK196" s="438"/>
      <c r="CL196" s="438"/>
      <c r="CM196" s="438"/>
      <c r="CN196" s="438"/>
      <c r="CO196" s="438"/>
      <c r="CP196" s="438"/>
      <c r="CQ196" s="438"/>
      <c r="CR196" s="438"/>
      <c r="CS196" s="438"/>
      <c r="CT196" s="438"/>
      <c r="CU196" s="438"/>
      <c r="CV196" s="438"/>
      <c r="CW196" s="438"/>
      <c r="CX196" s="438"/>
      <c r="CY196" s="438"/>
      <c r="CZ196" s="438"/>
      <c r="DA196" s="438"/>
      <c r="DB196" s="438"/>
      <c r="DC196" s="438"/>
      <c r="DD196" s="438"/>
      <c r="DE196" s="438"/>
      <c r="DF196" s="438"/>
      <c r="DG196" s="438"/>
      <c r="DH196" s="438"/>
      <c r="DI196" s="438"/>
      <c r="DJ196" s="438"/>
      <c r="DK196" s="438"/>
      <c r="DL196" s="438"/>
      <c r="DM196" s="438"/>
      <c r="DN196" s="438"/>
      <c r="DO196" s="438"/>
      <c r="DP196" s="438"/>
      <c r="DQ196" s="438"/>
      <c r="DR196" s="438"/>
      <c r="DS196" s="438"/>
      <c r="DT196" s="438"/>
      <c r="DU196" s="438"/>
      <c r="DV196" s="438"/>
      <c r="DW196" s="438"/>
      <c r="DX196" s="438"/>
      <c r="DY196" s="438"/>
      <c r="DZ196" s="438"/>
      <c r="EA196" s="438"/>
      <c r="EB196" s="438"/>
      <c r="EC196" s="438"/>
      <c r="ED196" s="438"/>
      <c r="EE196" s="438"/>
      <c r="EF196" s="438"/>
      <c r="EG196" s="438"/>
      <c r="EH196" s="438"/>
      <c r="EI196" s="438"/>
      <c r="EJ196" s="438"/>
      <c r="EK196" s="438"/>
      <c r="EL196" s="438"/>
      <c r="EM196" s="438"/>
      <c r="EN196" s="438"/>
      <c r="EO196" s="438"/>
      <c r="EP196" s="438"/>
      <c r="EQ196" s="438"/>
      <c r="ER196" s="438"/>
      <c r="ES196" s="438"/>
      <c r="ET196" s="438"/>
      <c r="EU196" s="438"/>
      <c r="EV196" s="438"/>
      <c r="EW196" s="438"/>
      <c r="EX196" s="438"/>
      <c r="EY196" s="438"/>
      <c r="EZ196" s="438"/>
      <c r="FA196" s="438"/>
      <c r="FB196" s="438"/>
      <c r="FC196" s="438"/>
      <c r="FD196" s="438"/>
      <c r="FE196" s="438"/>
      <c r="FF196" s="438"/>
      <c r="FG196" s="438"/>
      <c r="FH196" s="438"/>
      <c r="FI196" s="438"/>
      <c r="FJ196" s="438"/>
      <c r="FK196" s="438"/>
      <c r="FL196" s="438"/>
      <c r="FM196" s="438"/>
      <c r="FN196" s="438"/>
      <c r="FO196" s="438"/>
      <c r="FP196" s="438"/>
      <c r="FQ196" s="438"/>
      <c r="FR196" s="438"/>
      <c r="FS196" s="438"/>
      <c r="FT196" s="438"/>
      <c r="FU196" s="438"/>
      <c r="FV196" s="438"/>
      <c r="FW196" s="438"/>
      <c r="FX196" s="438"/>
      <c r="FY196" s="438"/>
      <c r="FZ196" s="438"/>
      <c r="GA196" s="438"/>
      <c r="GB196" s="438"/>
      <c r="GC196" s="438"/>
      <c r="GD196" s="438"/>
      <c r="GE196" s="438"/>
      <c r="GF196" s="438"/>
      <c r="GG196" s="438"/>
      <c r="GH196" s="438"/>
      <c r="GI196" s="438"/>
      <c r="GJ196" s="438"/>
      <c r="GK196" s="438"/>
      <c r="GL196" s="438"/>
      <c r="GM196" s="438"/>
      <c r="GN196" s="438"/>
      <c r="GO196" s="438"/>
      <c r="GP196" s="438"/>
      <c r="GQ196" s="438"/>
      <c r="GR196" s="438"/>
      <c r="GS196" s="438"/>
      <c r="GT196" s="438"/>
      <c r="GU196" s="438"/>
      <c r="GV196" s="438"/>
      <c r="GW196" s="438"/>
      <c r="GX196" s="438"/>
      <c r="GY196" s="438"/>
      <c r="GZ196" s="438"/>
      <c r="HA196" s="438"/>
      <c r="HB196" s="438"/>
      <c r="HC196" s="438"/>
      <c r="HD196" s="438"/>
      <c r="HE196" s="438"/>
      <c r="HF196" s="438"/>
      <c r="HG196" s="438"/>
      <c r="HH196" s="438"/>
      <c r="HI196" s="438"/>
      <c r="HJ196" s="438"/>
      <c r="HK196" s="438"/>
      <c r="HL196" s="438"/>
      <c r="HM196" s="438"/>
      <c r="HN196" s="438"/>
      <c r="HO196" s="438"/>
      <c r="HP196" s="438"/>
      <c r="HQ196" s="438"/>
      <c r="HR196" s="438"/>
      <c r="HS196" s="438"/>
      <c r="HT196" s="438"/>
      <c r="HU196" s="438"/>
      <c r="HV196" s="438"/>
      <c r="HW196" s="438"/>
      <c r="HX196" s="438"/>
      <c r="HY196" s="438"/>
      <c r="HZ196" s="438"/>
      <c r="IA196" s="438"/>
      <c r="IB196" s="438"/>
      <c r="IC196" s="438"/>
      <c r="ID196" s="438"/>
      <c r="IE196" s="438"/>
      <c r="IF196" s="438"/>
      <c r="IG196" s="438"/>
      <c r="IH196" s="438"/>
      <c r="II196" s="438"/>
      <c r="IJ196" s="438"/>
      <c r="IK196" s="438"/>
      <c r="IL196" s="438"/>
      <c r="IM196" s="438"/>
      <c r="IN196" s="438"/>
      <c r="IO196" s="438"/>
      <c r="IP196" s="438"/>
      <c r="IQ196" s="438"/>
      <c r="IR196" s="438"/>
      <c r="IS196" s="438"/>
      <c r="IT196" s="438"/>
      <c r="IU196" s="438"/>
      <c r="IV196" s="438"/>
      <c r="IW196" s="438"/>
      <c r="IX196" s="438"/>
      <c r="IY196" s="438"/>
      <c r="IZ196" s="438"/>
      <c r="JA196" s="438"/>
      <c r="JB196" s="438"/>
      <c r="JC196" s="438"/>
      <c r="JD196" s="438"/>
      <c r="JE196" s="438"/>
      <c r="JF196" s="438"/>
      <c r="JG196" s="438"/>
      <c r="JH196" s="438"/>
      <c r="JI196" s="438"/>
    </row>
    <row r="197" spans="1:269" ht="15" thickTop="1">
      <c r="A197" s="319" t="s">
        <v>405</v>
      </c>
      <c r="B197" s="278"/>
      <c r="C197" s="277"/>
      <c r="D197" s="277"/>
      <c r="E197" s="277"/>
      <c r="F197" s="278">
        <v>24.9</v>
      </c>
      <c r="G197" s="278"/>
      <c r="H197" s="278">
        <v>18.172000000000001</v>
      </c>
      <c r="I197" s="278">
        <v>20.845000000000002</v>
      </c>
      <c r="J197" s="277"/>
      <c r="K197" s="278">
        <v>24.9</v>
      </c>
      <c r="L197" s="278"/>
      <c r="M197" s="278">
        <v>18.172000000000001</v>
      </c>
      <c r="N197" s="278">
        <v>20.845000000000002</v>
      </c>
      <c r="O197" s="316">
        <f t="shared" ref="O197:AA197" si="438">O199+O202</f>
        <v>81</v>
      </c>
      <c r="P197" s="280">
        <f t="shared" si="438"/>
        <v>27.431249999999999</v>
      </c>
      <c r="Q197" s="280">
        <f t="shared" si="438"/>
        <v>70.616</v>
      </c>
      <c r="R197" s="280">
        <f t="shared" si="438"/>
        <v>49.650999999999996</v>
      </c>
      <c r="S197" s="280">
        <f t="shared" si="438"/>
        <v>62.097999999999999</v>
      </c>
      <c r="T197" s="316">
        <f t="shared" si="438"/>
        <v>209.79624999999999</v>
      </c>
      <c r="U197" s="280">
        <f t="shared" si="438"/>
        <v>62.667999999999992</v>
      </c>
      <c r="V197" s="280">
        <f t="shared" si="438"/>
        <v>72.466000000000008</v>
      </c>
      <c r="W197" s="280">
        <f t="shared" si="438"/>
        <v>63.549000000000007</v>
      </c>
      <c r="X197" s="280">
        <f t="shared" si="438"/>
        <v>67.492999999999995</v>
      </c>
      <c r="Y197" s="316">
        <f t="shared" si="438"/>
        <v>266.17600000000004</v>
      </c>
      <c r="Z197" s="280">
        <f t="shared" si="438"/>
        <v>69.099999999999994</v>
      </c>
      <c r="AA197" s="280">
        <f t="shared" si="438"/>
        <v>78.099999999999994</v>
      </c>
      <c r="AB197" s="280">
        <f>AB199+AB202</f>
        <v>67.7</v>
      </c>
      <c r="AC197" s="280">
        <f t="shared" ref="AC197:AS197" si="439">AC199+AC202</f>
        <v>42.063787948946938</v>
      </c>
      <c r="AD197" s="320">
        <f t="shared" si="439"/>
        <v>256.96378794894696</v>
      </c>
      <c r="AE197" s="280">
        <f t="shared" si="439"/>
        <v>47.873124510104347</v>
      </c>
      <c r="AF197" s="280">
        <f t="shared" si="439"/>
        <v>49.291537256289907</v>
      </c>
      <c r="AG197" s="280">
        <f t="shared" si="439"/>
        <v>54.894350116706406</v>
      </c>
      <c r="AH197" s="280">
        <f t="shared" si="439"/>
        <v>48.88576024981203</v>
      </c>
      <c r="AI197" s="320">
        <f t="shared" si="439"/>
        <v>200.9447721329127</v>
      </c>
      <c r="AJ197" s="280">
        <f t="shared" si="439"/>
        <v>59.004406492258234</v>
      </c>
      <c r="AK197" s="280">
        <f t="shared" si="439"/>
        <v>63.228277480592944</v>
      </c>
      <c r="AL197" s="280">
        <f t="shared" si="439"/>
        <v>60.488868199097709</v>
      </c>
      <c r="AM197" s="280">
        <f t="shared" si="439"/>
        <v>54.37715275898595</v>
      </c>
      <c r="AN197" s="320">
        <f t="shared" si="439"/>
        <v>237.09870493093484</v>
      </c>
      <c r="AO197" s="280">
        <f t="shared" si="439"/>
        <v>62.13438267400619</v>
      </c>
      <c r="AP197" s="280">
        <f t="shared" si="439"/>
        <v>65.004912748699638</v>
      </c>
      <c r="AQ197" s="280">
        <f t="shared" si="439"/>
        <v>61.011876907036317</v>
      </c>
      <c r="AR197" s="280">
        <f t="shared" si="439"/>
        <v>56.756787547435493</v>
      </c>
      <c r="AS197" s="320">
        <f t="shared" si="439"/>
        <v>244.9079598771776</v>
      </c>
      <c r="AT197" s="462"/>
      <c r="AU197" s="508"/>
      <c r="AV197" s="143"/>
      <c r="AW197" s="143"/>
      <c r="AX197" s="143"/>
      <c r="AY197" s="143"/>
      <c r="AZ197" s="143"/>
      <c r="BA197" s="143"/>
      <c r="BB197" s="143"/>
      <c r="BC197" s="143"/>
      <c r="BD197" s="143"/>
      <c r="BE197" s="143"/>
      <c r="BF197" s="143"/>
      <c r="BG197" s="143"/>
      <c r="BH197" s="143"/>
      <c r="BI197" s="143"/>
      <c r="BJ197" s="143"/>
      <c r="BK197" s="143"/>
      <c r="BL197" s="143"/>
      <c r="BM197" s="143"/>
      <c r="BN197" s="143"/>
      <c r="BO197" s="143"/>
      <c r="BP197" s="143"/>
      <c r="BQ197" s="143"/>
    </row>
    <row r="198" spans="1:269">
      <c r="A198" s="426" t="s">
        <v>509</v>
      </c>
      <c r="B198" s="278"/>
      <c r="C198" s="277"/>
      <c r="D198" s="277"/>
      <c r="E198" s="277"/>
      <c r="F198" s="414">
        <f>F197/F$158</f>
        <v>0.71142857142857141</v>
      </c>
      <c r="G198" s="414">
        <f t="shared" ref="G198" si="440">G197/G$158</f>
        <v>0</v>
      </c>
      <c r="H198" s="414">
        <f t="shared" ref="H198" si="441">H197/H$158</f>
        <v>0.45430000000000004</v>
      </c>
      <c r="I198" s="414">
        <f t="shared" ref="I198" si="442">I197/I$158</f>
        <v>0.41690000000000005</v>
      </c>
      <c r="J198" s="417">
        <f t="shared" ref="J198" si="443">J197/J$158</f>
        <v>0</v>
      </c>
      <c r="K198" s="414">
        <f>K197/K$158</f>
        <v>0.76615384615384607</v>
      </c>
      <c r="L198" s="414">
        <f t="shared" ref="L198" si="444">L197/L$158</f>
        <v>0</v>
      </c>
      <c r="M198" s="414">
        <f t="shared" ref="M198" si="445">M197/M$158</f>
        <v>0.5267246376811594</v>
      </c>
      <c r="N198" s="414">
        <f t="shared" ref="N198" si="446">N197/N$158</f>
        <v>0.55000000000000004</v>
      </c>
      <c r="O198" s="417">
        <f t="shared" ref="O198" si="447">O197/O$158</f>
        <v>0.6801464414066436</v>
      </c>
      <c r="P198" s="414">
        <f t="shared" ref="P198" si="448">P197/P$158</f>
        <v>0.57750000000000001</v>
      </c>
      <c r="Q198" s="414">
        <f t="shared" ref="Q198" si="449">Q197/Q$158</f>
        <v>1.0618947368421052</v>
      </c>
      <c r="R198" s="414">
        <f t="shared" ref="R198" si="450">R197/R$158</f>
        <v>0.72858673162428267</v>
      </c>
      <c r="S198" s="414">
        <f t="shared" ref="S198" si="451">S197/S$158</f>
        <v>0.7971501925545571</v>
      </c>
      <c r="T198" s="417">
        <f t="shared" ref="T198" si="452">T197/T$158</f>
        <v>0.80676281595250077</v>
      </c>
      <c r="U198" s="414">
        <f t="shared" ref="U198" si="453">U197/U$158</f>
        <v>0.83097527017171646</v>
      </c>
      <c r="V198" s="414">
        <f t="shared" ref="V198" si="454">V197/V$158</f>
        <v>0.69991114201823523</v>
      </c>
      <c r="W198" s="414">
        <f t="shared" ref="W198" si="455">W197/W$158</f>
        <v>0.71570636994323822</v>
      </c>
      <c r="X198" s="414">
        <f t="shared" ref="X198" si="456">X197/X$158</f>
        <v>0.68777067856888097</v>
      </c>
      <c r="Y198" s="417">
        <f t="shared" ref="Y198" si="457">Y197/Y$158</f>
        <v>0.72750330713137801</v>
      </c>
      <c r="Z198" s="414">
        <f t="shared" ref="Z198" si="458">Z197/Z$158</f>
        <v>0.80069524913093859</v>
      </c>
      <c r="AA198" s="414">
        <f t="shared" ref="AA198" si="459">AA197/AA$158</f>
        <v>0.66468085106382979</v>
      </c>
      <c r="AB198" s="414">
        <f t="shared" ref="AB198" si="460">AB197/AB$158</f>
        <v>0.69507186858316217</v>
      </c>
      <c r="AC198" s="414">
        <f>AC197/AC$158</f>
        <v>0.92304906002403009</v>
      </c>
      <c r="AD198" s="422">
        <f t="shared" ref="AD198" si="461">AD197/AD$158</f>
        <v>0.741141615189429</v>
      </c>
      <c r="AE198" s="414">
        <f t="shared" ref="AE198" si="462">AE197/AE$158</f>
        <v>1.0935425460350268</v>
      </c>
      <c r="AF198" s="414">
        <f t="shared" ref="AF198" si="463">AF197/AF$158</f>
        <v>1.1001375543019605</v>
      </c>
      <c r="AG198" s="414">
        <f t="shared" ref="AG198" si="464">AG197/AG$158</f>
        <v>0.81522236105790891</v>
      </c>
      <c r="AH198" s="414">
        <f t="shared" ref="AH198" si="465">AH197/AH$158</f>
        <v>0.61869414097007058</v>
      </c>
      <c r="AI198" s="422">
        <f t="shared" ref="AI198" si="466">AI197/AI$158</f>
        <v>0.85532441237869383</v>
      </c>
      <c r="AJ198" s="414">
        <f t="shared" ref="AJ198" si="467">AJ197/AJ$158</f>
        <v>0.76161897572383797</v>
      </c>
      <c r="AK198" s="414">
        <f t="shared" ref="AK198" si="468">AK197/AK$158</f>
        <v>0.66693461059847736</v>
      </c>
      <c r="AL198" s="414">
        <f t="shared" ref="AL198" si="469">AL197/AL$158</f>
        <v>0.65925997655335788</v>
      </c>
      <c r="AM198" s="414">
        <f t="shared" ref="AM198" si="470">AM197/AM$158</f>
        <v>0.54258648208857652</v>
      </c>
      <c r="AN198" s="422">
        <f t="shared" ref="AN198" si="471">AN197/AN$158</f>
        <v>0.65092704406507995</v>
      </c>
      <c r="AO198" s="414">
        <f t="shared" ref="AO198" si="472">AO197/AO$158</f>
        <v>0.68418841137839714</v>
      </c>
      <c r="AP198" s="414">
        <f t="shared" ref="AP198" si="473">AP197/AP$158</f>
        <v>0.60197604957572204</v>
      </c>
      <c r="AQ198" s="414">
        <f t="shared" ref="AQ198" si="474">AQ197/AQ$158</f>
        <v>0.60038631615471949</v>
      </c>
      <c r="AR198" s="414">
        <f t="shared" ref="AR198" si="475">AR197/AR$158</f>
        <v>0.47877116081636312</v>
      </c>
      <c r="AS198" s="422">
        <f t="shared" ref="AS198" si="476">AS197/AS$158</f>
        <v>0.58454991041828319</v>
      </c>
      <c r="AT198" s="462"/>
      <c r="AU198" s="508"/>
      <c r="AV198" s="143"/>
      <c r="AW198" s="143"/>
      <c r="AX198" s="143"/>
      <c r="AY198" s="143"/>
      <c r="AZ198" s="143"/>
      <c r="BA198" s="143"/>
      <c r="BB198" s="143"/>
      <c r="BC198" s="143"/>
      <c r="BD198" s="143"/>
      <c r="BE198" s="143"/>
      <c r="BF198" s="143"/>
      <c r="BG198" s="143"/>
      <c r="BH198" s="143"/>
      <c r="BI198" s="143"/>
      <c r="BJ198" s="143"/>
      <c r="BK198" s="143"/>
      <c r="BL198" s="143"/>
      <c r="BM198" s="143"/>
      <c r="BN198" s="143"/>
      <c r="BO198" s="143"/>
      <c r="BP198" s="143"/>
      <c r="BQ198" s="143"/>
    </row>
    <row r="199" spans="1:269" hidden="1" outlineLevel="1">
      <c r="A199" s="426" t="s">
        <v>406</v>
      </c>
      <c r="B199" s="278"/>
      <c r="C199" s="277"/>
      <c r="D199" s="277"/>
      <c r="E199" s="277"/>
      <c r="F199" s="278"/>
      <c r="G199" s="278"/>
      <c r="H199" s="278">
        <v>10.541</v>
      </c>
      <c r="I199" s="278"/>
      <c r="J199" s="277">
        <v>61.8</v>
      </c>
      <c r="K199" s="278"/>
      <c r="L199" s="278"/>
      <c r="M199" s="278">
        <v>10.541</v>
      </c>
      <c r="N199" s="278"/>
      <c r="O199" s="277">
        <v>50.3</v>
      </c>
      <c r="P199" s="278">
        <v>17.931249999999999</v>
      </c>
      <c r="Q199" s="278">
        <v>26.213999999999999</v>
      </c>
      <c r="R199" s="278">
        <v>30.451000000000001</v>
      </c>
      <c r="S199" s="278">
        <v>37.052999999999997</v>
      </c>
      <c r="T199" s="277">
        <v>111.64924999999999</v>
      </c>
      <c r="U199" s="278">
        <v>36.406999999999996</v>
      </c>
      <c r="V199" s="278">
        <v>44.881</v>
      </c>
      <c r="W199" s="278">
        <v>39.767000000000003</v>
      </c>
      <c r="X199" s="278">
        <v>39.021000000000001</v>
      </c>
      <c r="Y199" s="277">
        <v>160.07600000000002</v>
      </c>
      <c r="Z199" s="278">
        <v>38.700000000000003</v>
      </c>
      <c r="AA199" s="278">
        <v>43</v>
      </c>
      <c r="AB199" s="278">
        <v>30.7</v>
      </c>
      <c r="AC199" s="280">
        <f>AC200*AC158</f>
        <v>13.56331594894694</v>
      </c>
      <c r="AD199" s="320">
        <f>SUM(Z199:AC199)</f>
        <v>125.96331594894694</v>
      </c>
      <c r="AE199" s="280">
        <f>AE200*AE158</f>
        <v>17.442724510104348</v>
      </c>
      <c r="AF199" s="280">
        <f>AF200*AF158</f>
        <v>14.156437256289911</v>
      </c>
      <c r="AG199" s="280">
        <f>AG200*AG158</f>
        <v>17.857350116706407</v>
      </c>
      <c r="AH199" s="280">
        <f>AH200*AH158</f>
        <v>20.356787777812034</v>
      </c>
      <c r="AI199" s="320">
        <f>SUM(AE199:AH199)</f>
        <v>69.813299660912705</v>
      </c>
      <c r="AJ199" s="280">
        <f>AJ200*AJ158</f>
        <v>28.543576092258242</v>
      </c>
      <c r="AK199" s="280">
        <f>AK200*AK158</f>
        <v>28.058042380592951</v>
      </c>
      <c r="AL199" s="280">
        <f>AL200*AL158</f>
        <v>23.414831199097716</v>
      </c>
      <c r="AM199" s="280">
        <f>AM200*AM158</f>
        <v>25.819651314513958</v>
      </c>
      <c r="AN199" s="320">
        <f>SUM(AJ199:AM199)</f>
        <v>105.83610098646287</v>
      </c>
      <c r="AO199" s="280">
        <f>AO200*AO158</f>
        <v>31.643091443606199</v>
      </c>
      <c r="AP199" s="280">
        <f>AP200*AP158</f>
        <v>29.799507413599642</v>
      </c>
      <c r="AQ199" s="280">
        <f>AQ200*AQ158</f>
        <v>23.900765870036324</v>
      </c>
      <c r="AR199" s="280">
        <f>AR200*AR158</f>
        <v>28.170728601519031</v>
      </c>
      <c r="AS199" s="320">
        <f>SUM(AO199:AR199)</f>
        <v>113.51409332876119</v>
      </c>
      <c r="AT199" s="462"/>
      <c r="AU199" s="508"/>
      <c r="AV199" s="143"/>
      <c r="AW199" s="143"/>
      <c r="AX199" s="143"/>
      <c r="AY199" s="143"/>
      <c r="AZ199" s="143"/>
      <c r="BA199" s="143"/>
      <c r="BB199" s="143"/>
      <c r="BC199" s="143"/>
      <c r="BD199" s="143"/>
      <c r="BE199" s="143"/>
      <c r="BF199" s="143"/>
      <c r="BG199" s="143"/>
      <c r="BH199" s="143"/>
      <c r="BI199" s="143"/>
      <c r="BJ199" s="143"/>
      <c r="BK199" s="143"/>
      <c r="BL199" s="143"/>
      <c r="BM199" s="143"/>
      <c r="BN199" s="143"/>
      <c r="BO199" s="143"/>
      <c r="BP199" s="143"/>
      <c r="BQ199" s="143"/>
    </row>
    <row r="200" spans="1:269" hidden="1" outlineLevel="1">
      <c r="A200" s="583" t="s">
        <v>519</v>
      </c>
      <c r="B200" s="278"/>
      <c r="C200" s="277"/>
      <c r="D200" s="277"/>
      <c r="E200" s="277"/>
      <c r="F200" s="278"/>
      <c r="G200" s="278"/>
      <c r="H200" s="278"/>
      <c r="I200" s="278"/>
      <c r="J200" s="277"/>
      <c r="K200" s="278"/>
      <c r="L200" s="278"/>
      <c r="M200" s="278"/>
      <c r="N200" s="278"/>
      <c r="O200" s="417">
        <f>O199/O158</f>
        <v>0.42236254324387867</v>
      </c>
      <c r="P200" s="414">
        <f>P199/P158</f>
        <v>0.37749999999999995</v>
      </c>
      <c r="Q200" s="414">
        <f>Q199/Q158</f>
        <v>0.39419548872180449</v>
      </c>
      <c r="R200" s="414">
        <f>R199/R158</f>
        <v>0.44684285441765592</v>
      </c>
      <c r="S200" s="414">
        <f>S199/S158</f>
        <v>0.47564826700898583</v>
      </c>
      <c r="T200" s="417">
        <f>T199/T158</f>
        <v>0.42934258037970052</v>
      </c>
      <c r="U200" s="414">
        <f>U199/U158</f>
        <v>0.48275542000928195</v>
      </c>
      <c r="V200" s="414">
        <f>V199/V158</f>
        <v>0.43348207386802656</v>
      </c>
      <c r="W200" s="414">
        <f>W199/W158</f>
        <v>0.44786692494819358</v>
      </c>
      <c r="X200" s="414">
        <f>X199/X158</f>
        <v>0.39763382348445481</v>
      </c>
      <c r="Y200" s="417">
        <f>Y199/Y158</f>
        <v>0.43751434912374693</v>
      </c>
      <c r="Z200" s="414">
        <f>Z199/Z158</f>
        <v>0.44843568945538825</v>
      </c>
      <c r="AA200" s="414">
        <f>AA199/AA158</f>
        <v>0.36595744680851061</v>
      </c>
      <c r="AB200" s="414">
        <f>AB199/AB158</f>
        <v>0.31519507186858314</v>
      </c>
      <c r="AC200" s="414">
        <f>AC201/10000+X200</f>
        <v>0.29763382348445477</v>
      </c>
      <c r="AD200" s="422">
        <f>AD199/AD158</f>
        <v>0.36330665959659192</v>
      </c>
      <c r="AE200" s="414">
        <f t="shared" ref="AE200:AH200" si="477">AE201/10000+Z200</f>
        <v>0.39843568945538826</v>
      </c>
      <c r="AF200" s="414">
        <f t="shared" si="477"/>
        <v>0.31595744680851062</v>
      </c>
      <c r="AG200" s="414">
        <f t="shared" si="477"/>
        <v>0.26519507186858315</v>
      </c>
      <c r="AH200" s="414">
        <f t="shared" si="477"/>
        <v>0.25763382348445479</v>
      </c>
      <c r="AI200" s="422">
        <f>AI199/AI158</f>
        <v>0.29716134873711125</v>
      </c>
      <c r="AJ200" s="414">
        <f t="shared" ref="AJ200:AM200" si="478">AJ201/10000+AE200</f>
        <v>0.36843568945538829</v>
      </c>
      <c r="AK200" s="414">
        <f t="shared" si="478"/>
        <v>0.2959574468085106</v>
      </c>
      <c r="AL200" s="414">
        <f t="shared" si="478"/>
        <v>0.25519507186858315</v>
      </c>
      <c r="AM200" s="414">
        <f t="shared" si="478"/>
        <v>0.25763382348445479</v>
      </c>
      <c r="AN200" s="422">
        <f>AN199/AN158</f>
        <v>0.29056076198543213</v>
      </c>
      <c r="AO200" s="414">
        <f t="shared" ref="AO200:AR200" si="479">AO201/10000+AJ200</f>
        <v>0.34843568945538828</v>
      </c>
      <c r="AP200" s="414">
        <f t="shared" si="479"/>
        <v>0.27595744680851059</v>
      </c>
      <c r="AQ200" s="414">
        <f t="shared" si="479"/>
        <v>0.23519507186858316</v>
      </c>
      <c r="AR200" s="414">
        <f t="shared" si="479"/>
        <v>0.2376338234844548</v>
      </c>
      <c r="AS200" s="422">
        <f>AS199/AS158</f>
        <v>0.27093710273776783</v>
      </c>
      <c r="AT200" s="462"/>
      <c r="AU200" s="508"/>
      <c r="AV200" s="143"/>
      <c r="AW200" s="143"/>
      <c r="AX200" s="143"/>
      <c r="AY200" s="143"/>
      <c r="AZ200" s="143"/>
      <c r="BA200" s="143"/>
      <c r="BB200" s="143"/>
      <c r="BC200" s="143"/>
      <c r="BD200" s="143"/>
      <c r="BE200" s="143"/>
      <c r="BF200" s="143"/>
      <c r="BG200" s="143"/>
      <c r="BH200" s="143"/>
      <c r="BI200" s="143"/>
      <c r="BJ200" s="143"/>
      <c r="BK200" s="143"/>
      <c r="BL200" s="143"/>
      <c r="BM200" s="143"/>
      <c r="BN200" s="143"/>
      <c r="BO200" s="143"/>
      <c r="BP200" s="143"/>
      <c r="BQ200" s="143"/>
    </row>
    <row r="201" spans="1:269" hidden="1" outlineLevel="1">
      <c r="A201" s="583" t="s">
        <v>520</v>
      </c>
      <c r="B201" s="278"/>
      <c r="C201" s="277"/>
      <c r="D201" s="277"/>
      <c r="E201" s="277"/>
      <c r="F201" s="278"/>
      <c r="G201" s="278"/>
      <c r="H201" s="278"/>
      <c r="I201" s="278"/>
      <c r="J201" s="277"/>
      <c r="K201" s="278"/>
      <c r="L201" s="278"/>
      <c r="M201" s="278"/>
      <c r="N201" s="278"/>
      <c r="O201" s="417"/>
      <c r="P201" s="414"/>
      <c r="Q201" s="414"/>
      <c r="R201" s="414"/>
      <c r="S201" s="414"/>
      <c r="T201" s="316">
        <f t="shared" ref="T201:AA201" si="480">(T200-O200)*10000</f>
        <v>69.800371358218484</v>
      </c>
      <c r="U201" s="280">
        <f t="shared" si="480"/>
        <v>1052.5542000928201</v>
      </c>
      <c r="V201" s="280">
        <f t="shared" si="480"/>
        <v>392.86585146222075</v>
      </c>
      <c r="W201" s="280">
        <f t="shared" si="480"/>
        <v>10.240705305376574</v>
      </c>
      <c r="X201" s="280">
        <f t="shared" si="480"/>
        <v>-780.14443524531021</v>
      </c>
      <c r="Y201" s="316">
        <f t="shared" si="480"/>
        <v>81.717687440464033</v>
      </c>
      <c r="Z201" s="280">
        <f t="shared" si="480"/>
        <v>-343.19730553893703</v>
      </c>
      <c r="AA201" s="280">
        <f t="shared" si="480"/>
        <v>-675.24627059515956</v>
      </c>
      <c r="AB201" s="280">
        <f>(AB200-W200)*10000</f>
        <v>-1326.7185307961045</v>
      </c>
      <c r="AC201" s="287">
        <v>-1000</v>
      </c>
      <c r="AD201" s="320">
        <f t="shared" ref="AD201" si="481">(AD200-Y200)*10000</f>
        <v>-742.07689527155003</v>
      </c>
      <c r="AE201" s="287">
        <v>-500</v>
      </c>
      <c r="AF201" s="287">
        <v>-500</v>
      </c>
      <c r="AG201" s="287">
        <v>-500</v>
      </c>
      <c r="AH201" s="287">
        <v>-400</v>
      </c>
      <c r="AI201" s="320">
        <f t="shared" ref="AI201" si="482">(AI200-AD200)*10000</f>
        <v>-661.45310859480662</v>
      </c>
      <c r="AJ201" s="287">
        <v>-300</v>
      </c>
      <c r="AK201" s="287">
        <v>-200</v>
      </c>
      <c r="AL201" s="287">
        <v>-100</v>
      </c>
      <c r="AM201" s="287">
        <v>0</v>
      </c>
      <c r="AN201" s="320">
        <f t="shared" ref="AN201" si="483">(AN200-AI200)*10000</f>
        <v>-66.00586751679127</v>
      </c>
      <c r="AO201" s="287">
        <v>-200</v>
      </c>
      <c r="AP201" s="287">
        <v>-200</v>
      </c>
      <c r="AQ201" s="287">
        <v>-200</v>
      </c>
      <c r="AR201" s="287">
        <v>-200</v>
      </c>
      <c r="AS201" s="320">
        <f t="shared" ref="AS201" si="484">(AS200-AN200)*10000</f>
        <v>-196.23659247664293</v>
      </c>
      <c r="AT201" s="462"/>
      <c r="AU201" s="508" t="s">
        <v>527</v>
      </c>
      <c r="AV201" s="143"/>
      <c r="AW201" s="143"/>
      <c r="AX201" s="143"/>
      <c r="AY201" s="143"/>
      <c r="AZ201" s="143"/>
      <c r="BA201" s="143"/>
      <c r="BB201" s="143"/>
      <c r="BC201" s="143"/>
      <c r="BD201" s="143"/>
      <c r="BE201" s="143"/>
      <c r="BF201" s="143"/>
      <c r="BG201" s="143"/>
      <c r="BH201" s="143"/>
      <c r="BI201" s="143"/>
      <c r="BJ201" s="143"/>
      <c r="BK201" s="143"/>
      <c r="BL201" s="143"/>
      <c r="BM201" s="143"/>
      <c r="BN201" s="143"/>
      <c r="BO201" s="143"/>
      <c r="BP201" s="143"/>
      <c r="BQ201" s="143"/>
    </row>
    <row r="202" spans="1:269" hidden="1" outlineLevel="1">
      <c r="A202" s="426" t="s">
        <v>408</v>
      </c>
      <c r="B202" s="278"/>
      <c r="C202" s="277"/>
      <c r="D202" s="277"/>
      <c r="E202" s="277"/>
      <c r="F202" s="278"/>
      <c r="G202" s="278"/>
      <c r="H202" s="278">
        <v>7.0540000000000003</v>
      </c>
      <c r="I202" s="278"/>
      <c r="J202" s="277">
        <v>26.6</v>
      </c>
      <c r="K202" s="278"/>
      <c r="L202" s="278"/>
      <c r="M202" s="278">
        <v>7.0540000000000003</v>
      </c>
      <c r="N202" s="278"/>
      <c r="O202" s="277">
        <v>30.7</v>
      </c>
      <c r="P202" s="278">
        <v>9.5</v>
      </c>
      <c r="Q202" s="278">
        <v>44.402000000000001</v>
      </c>
      <c r="R202" s="278">
        <v>19.2</v>
      </c>
      <c r="S202" s="278">
        <v>25.045000000000002</v>
      </c>
      <c r="T202" s="277">
        <v>98.147000000000006</v>
      </c>
      <c r="U202" s="278">
        <v>26.260999999999999</v>
      </c>
      <c r="V202" s="278">
        <v>27.585000000000001</v>
      </c>
      <c r="W202" s="278">
        <v>23.782</v>
      </c>
      <c r="X202" s="278">
        <v>28.472000000000001</v>
      </c>
      <c r="Y202" s="277">
        <v>106.1</v>
      </c>
      <c r="Z202" s="278">
        <v>30.4</v>
      </c>
      <c r="AA202" s="278">
        <v>35.1</v>
      </c>
      <c r="AB202" s="278">
        <v>37</v>
      </c>
      <c r="AC202" s="280">
        <f>(1+AC203)*X202</f>
        <v>28.500471999999998</v>
      </c>
      <c r="AD202" s="320">
        <f>SUM(Z202:AC202)</f>
        <v>131.000472</v>
      </c>
      <c r="AE202" s="280">
        <f t="shared" ref="AE202:AH202" si="485">(1+AE203)*Z202</f>
        <v>30.430399999999995</v>
      </c>
      <c r="AF202" s="280">
        <f t="shared" si="485"/>
        <v>35.135099999999994</v>
      </c>
      <c r="AG202" s="280">
        <f t="shared" si="485"/>
        <v>37.036999999999999</v>
      </c>
      <c r="AH202" s="280">
        <f t="shared" si="485"/>
        <v>28.528972471999996</v>
      </c>
      <c r="AI202" s="320">
        <f>SUM(AE202:AH202)</f>
        <v>131.13147247199998</v>
      </c>
      <c r="AJ202" s="280">
        <f t="shared" ref="AJ202:AM202" si="486">(1+AJ203)*AE202</f>
        <v>30.460830399999992</v>
      </c>
      <c r="AK202" s="280">
        <f t="shared" si="486"/>
        <v>35.170235099999992</v>
      </c>
      <c r="AL202" s="280">
        <f t="shared" si="486"/>
        <v>37.074036999999997</v>
      </c>
      <c r="AM202" s="280">
        <f t="shared" si="486"/>
        <v>28.557501444471992</v>
      </c>
      <c r="AN202" s="320">
        <f>SUM(AJ202:AM202)</f>
        <v>131.26260394447198</v>
      </c>
      <c r="AO202" s="280">
        <f t="shared" ref="AO202:AR202" si="487">(1+AO203)*AJ202</f>
        <v>30.491291230399987</v>
      </c>
      <c r="AP202" s="280">
        <f t="shared" si="487"/>
        <v>35.205405335099989</v>
      </c>
      <c r="AQ202" s="280">
        <f t="shared" si="487"/>
        <v>37.111111036999993</v>
      </c>
      <c r="AR202" s="280">
        <f t="shared" si="487"/>
        <v>28.586058945916459</v>
      </c>
      <c r="AS202" s="320">
        <f>SUM(AO202:AR202)</f>
        <v>131.39386654841641</v>
      </c>
      <c r="AT202" s="462"/>
      <c r="AU202" s="508"/>
      <c r="AV202" s="143"/>
      <c r="AW202" s="143"/>
      <c r="AX202" s="143"/>
      <c r="AY202" s="143"/>
      <c r="AZ202" s="143"/>
      <c r="BA202" s="143"/>
      <c r="BB202" s="143"/>
      <c r="BC202" s="143"/>
      <c r="BD202" s="143"/>
      <c r="BE202" s="143"/>
      <c r="BF202" s="143"/>
      <c r="BG202" s="143"/>
      <c r="BH202" s="143"/>
      <c r="BI202" s="143"/>
      <c r="BJ202" s="143"/>
      <c r="BK202" s="143"/>
      <c r="BL202" s="143"/>
      <c r="BM202" s="143"/>
      <c r="BN202" s="143"/>
      <c r="BO202" s="143"/>
      <c r="BP202" s="143"/>
      <c r="BQ202" s="143"/>
    </row>
    <row r="203" spans="1:269" hidden="1" outlineLevel="1">
      <c r="A203" s="583" t="s">
        <v>208</v>
      </c>
      <c r="B203" s="278"/>
      <c r="C203" s="277"/>
      <c r="D203" s="277"/>
      <c r="E203" s="277"/>
      <c r="F203" s="278"/>
      <c r="G203" s="278"/>
      <c r="H203" s="278"/>
      <c r="I203" s="278"/>
      <c r="J203" s="277"/>
      <c r="K203" s="278"/>
      <c r="L203" s="278"/>
      <c r="M203" s="278"/>
      <c r="N203" s="278"/>
      <c r="O203" s="277"/>
      <c r="P203" s="278"/>
      <c r="Q203" s="278"/>
      <c r="R203" s="278"/>
      <c r="S203" s="278"/>
      <c r="T203" s="417">
        <f t="shared" ref="T203:AA203" si="488">T202/O202-1</f>
        <v>2.1969706840390884</v>
      </c>
      <c r="U203" s="414">
        <f t="shared" si="488"/>
        <v>1.7643157894736841</v>
      </c>
      <c r="V203" s="414">
        <f t="shared" si="488"/>
        <v>-0.37874420071167969</v>
      </c>
      <c r="W203" s="414">
        <f t="shared" si="488"/>
        <v>0.23864583333333345</v>
      </c>
      <c r="X203" s="414">
        <f t="shared" si="488"/>
        <v>0.13683369934118583</v>
      </c>
      <c r="Y203" s="417">
        <f t="shared" si="488"/>
        <v>8.1031513953559342E-2</v>
      </c>
      <c r="Z203" s="414">
        <f t="shared" si="488"/>
        <v>0.15761014432047515</v>
      </c>
      <c r="AA203" s="414">
        <f t="shared" si="488"/>
        <v>0.27243066884176192</v>
      </c>
      <c r="AB203" s="414">
        <f>AB202/W202-1</f>
        <v>0.55579850306954848</v>
      </c>
      <c r="AC203" s="359">
        <v>1E-3</v>
      </c>
      <c r="AD203" s="422">
        <f t="shared" ref="AD203" si="489">AD202/Y202-1</f>
        <v>0.23468870876531578</v>
      </c>
      <c r="AE203" s="359">
        <v>1E-3</v>
      </c>
      <c r="AF203" s="359">
        <v>1E-3</v>
      </c>
      <c r="AG203" s="359">
        <v>1E-3</v>
      </c>
      <c r="AH203" s="359">
        <v>1E-3</v>
      </c>
      <c r="AI203" s="422">
        <f t="shared" ref="AI203" si="490">AI202/AD202-1</f>
        <v>9.9999999999988987E-4</v>
      </c>
      <c r="AJ203" s="359">
        <v>1E-3</v>
      </c>
      <c r="AK203" s="359">
        <v>1E-3</v>
      </c>
      <c r="AL203" s="359">
        <v>1E-3</v>
      </c>
      <c r="AM203" s="359">
        <v>1E-3</v>
      </c>
      <c r="AN203" s="422">
        <f t="shared" ref="AN203" si="491">AN202/AI202-1</f>
        <v>9.9999999999988987E-4</v>
      </c>
      <c r="AO203" s="359">
        <v>1E-3</v>
      </c>
      <c r="AP203" s="359">
        <v>1E-3</v>
      </c>
      <c r="AQ203" s="359">
        <v>1E-3</v>
      </c>
      <c r="AR203" s="359">
        <v>1E-3</v>
      </c>
      <c r="AS203" s="422">
        <f t="shared" ref="AS203" si="492">AS202/AN202-1</f>
        <v>9.9999999999966782E-4</v>
      </c>
      <c r="AT203" s="462"/>
      <c r="AU203" s="508"/>
      <c r="AV203" s="143"/>
      <c r="AW203" s="143"/>
      <c r="AX203" s="143"/>
      <c r="AY203" s="143"/>
      <c r="AZ203" s="143"/>
      <c r="BA203" s="143"/>
      <c r="BB203" s="143"/>
      <c r="BC203" s="143"/>
      <c r="BD203" s="143"/>
      <c r="BE203" s="143"/>
      <c r="BF203" s="143"/>
      <c r="BG203" s="143"/>
      <c r="BH203" s="143"/>
      <c r="BI203" s="143"/>
      <c r="BJ203" s="143"/>
      <c r="BK203" s="143"/>
      <c r="BL203" s="143"/>
      <c r="BM203" s="143"/>
      <c r="BN203" s="143"/>
      <c r="BO203" s="143"/>
      <c r="BP203" s="143"/>
      <c r="BQ203" s="143"/>
    </row>
    <row r="204" spans="1:269" collapsed="1">
      <c r="A204" s="319" t="s">
        <v>407</v>
      </c>
      <c r="B204" s="278"/>
      <c r="C204" s="277"/>
      <c r="D204" s="277"/>
      <c r="E204" s="277"/>
      <c r="F204" s="278"/>
      <c r="G204" s="278"/>
      <c r="H204" s="278">
        <v>0.57699999999999996</v>
      </c>
      <c r="I204" s="278"/>
      <c r="J204" s="277">
        <v>4.5999999999999996</v>
      </c>
      <c r="K204" s="278"/>
      <c r="L204" s="278"/>
      <c r="M204" s="278">
        <v>0.57699999999999996</v>
      </c>
      <c r="N204" s="278"/>
      <c r="O204" s="277">
        <v>3.4</v>
      </c>
      <c r="P204" s="278">
        <v>1.9000000000000001</v>
      </c>
      <c r="Q204" s="278">
        <v>2.988</v>
      </c>
      <c r="R204" s="278">
        <v>1.88</v>
      </c>
      <c r="S204" s="278">
        <v>1.875</v>
      </c>
      <c r="T204" s="277">
        <v>8.6430000000000007</v>
      </c>
      <c r="U204" s="278">
        <v>2.23</v>
      </c>
      <c r="V204" s="278">
        <v>2.601</v>
      </c>
      <c r="W204" s="278">
        <v>2.1669999999999998</v>
      </c>
      <c r="X204" s="278">
        <v>1.446</v>
      </c>
      <c r="Y204" s="277">
        <v>8.4439999999999991</v>
      </c>
      <c r="Z204" s="278">
        <v>2.2999999999999998</v>
      </c>
      <c r="AA204" s="278">
        <v>2.9</v>
      </c>
      <c r="AB204" s="278">
        <v>1.8</v>
      </c>
      <c r="AC204" s="280">
        <f>AC205*AC158</f>
        <v>0.82026862479155083</v>
      </c>
      <c r="AD204" s="320">
        <f>SUM(Z204:AC204)</f>
        <v>7.8202686247915496</v>
      </c>
      <c r="AE204" s="280">
        <f>AE205*AE158</f>
        <v>0.788004311589242</v>
      </c>
      <c r="AF204" s="280">
        <f>AF205*AF158</f>
        <v>0.80648794066136453</v>
      </c>
      <c r="AG204" s="280">
        <f>AG205*AG158</f>
        <v>1.212059861579933</v>
      </c>
      <c r="AH204" s="280">
        <f>AH205*AH158</f>
        <v>1.4222596049106335</v>
      </c>
      <c r="AI204" s="320">
        <f>SUM(AE204:AH204)</f>
        <v>4.2288117187411736</v>
      </c>
      <c r="AJ204" s="280">
        <f>AJ205*AJ158</f>
        <v>1.3945021732832412</v>
      </c>
      <c r="AK204" s="280">
        <f>AK205*AK158</f>
        <v>1.706477631486818</v>
      </c>
      <c r="AL204" s="280">
        <f>AL205*AL158</f>
        <v>1.6515481999621062</v>
      </c>
      <c r="AM204" s="280">
        <f>AM205*AM158</f>
        <v>1.8039313214993826</v>
      </c>
      <c r="AN204" s="320">
        <f>SUM(AJ204:AM204)</f>
        <v>6.5564593262315487</v>
      </c>
      <c r="AO204" s="280">
        <f>AO205*AO158</f>
        <v>1.6346650564847973</v>
      </c>
      <c r="AP204" s="280">
        <f>AP205*AP158</f>
        <v>1.9437458189595449</v>
      </c>
      <c r="AQ204" s="280">
        <f>AQ205*AQ158</f>
        <v>1.8291785718241522</v>
      </c>
      <c r="AR204" s="280">
        <f>AR205*AR158</f>
        <v>2.1338423436195462</v>
      </c>
      <c r="AS204" s="320">
        <f>SUM(AO204:AR204)</f>
        <v>7.5414317908880406</v>
      </c>
      <c r="AT204" s="462"/>
      <c r="AU204" s="508"/>
      <c r="AV204" s="143"/>
      <c r="AW204" s="143"/>
      <c r="AX204" s="143"/>
      <c r="AY204" s="143"/>
      <c r="AZ204" s="143"/>
      <c r="BA204" s="143"/>
      <c r="BB204" s="143"/>
      <c r="BC204" s="143"/>
      <c r="BD204" s="143"/>
      <c r="BE204" s="143"/>
      <c r="BF204" s="143"/>
      <c r="BG204" s="143"/>
      <c r="BH204" s="143"/>
      <c r="BI204" s="143"/>
      <c r="BJ204" s="143"/>
      <c r="BK204" s="143"/>
      <c r="BL204" s="143"/>
      <c r="BM204" s="143"/>
      <c r="BN204" s="143"/>
      <c r="BO204" s="143"/>
      <c r="BP204" s="143"/>
      <c r="BQ204" s="143"/>
    </row>
    <row r="205" spans="1:269">
      <c r="A205" s="426" t="s">
        <v>509</v>
      </c>
      <c r="B205" s="278"/>
      <c r="C205" s="277"/>
      <c r="D205" s="277"/>
      <c r="E205" s="277"/>
      <c r="F205" s="414">
        <f>F204/F158</f>
        <v>0</v>
      </c>
      <c r="G205" s="414">
        <f>G204/G158</f>
        <v>0</v>
      </c>
      <c r="H205" s="414">
        <f>H204/H158</f>
        <v>1.4424999999999999E-2</v>
      </c>
      <c r="I205" s="414">
        <f>I204/I158</f>
        <v>0</v>
      </c>
      <c r="J205" s="417">
        <f>J204/J158</f>
        <v>2.7544910179640718E-2</v>
      </c>
      <c r="K205" s="414">
        <f>K204/K158</f>
        <v>0</v>
      </c>
      <c r="L205" s="414">
        <f>L204/L158</f>
        <v>0</v>
      </c>
      <c r="M205" s="414">
        <f>M204/M158</f>
        <v>1.6724637681159418E-2</v>
      </c>
      <c r="N205" s="414">
        <f>N204/N158</f>
        <v>0</v>
      </c>
      <c r="O205" s="417">
        <f>O204/O158</f>
        <v>2.8549356799785038E-2</v>
      </c>
      <c r="P205" s="414">
        <f>P204/P158</f>
        <v>0.04</v>
      </c>
      <c r="Q205" s="414">
        <f>Q204/Q158</f>
        <v>4.4932330827067671E-2</v>
      </c>
      <c r="R205" s="414">
        <f>R204/R158</f>
        <v>2.7587421309815542E-2</v>
      </c>
      <c r="S205" s="414">
        <f>S204/S158</f>
        <v>2.4069319640564826E-2</v>
      </c>
      <c r="T205" s="417">
        <f>T204/T158</f>
        <v>3.323629959199683E-2</v>
      </c>
      <c r="U205" s="414">
        <f>U204/U158</f>
        <v>2.9569714247828685E-2</v>
      </c>
      <c r="V205" s="414">
        <f>V204/V158</f>
        <v>2.5121696801112654E-2</v>
      </c>
      <c r="W205" s="414">
        <f>W204/W158</f>
        <v>2.4405351833498512E-2</v>
      </c>
      <c r="X205" s="414">
        <f>X204/X158</f>
        <v>1.4735104399131791E-2</v>
      </c>
      <c r="Y205" s="417">
        <f>Y204/Y158</f>
        <v>2.3078857317779793E-2</v>
      </c>
      <c r="Z205" s="414">
        <f>Z204/Z158</f>
        <v>2.665121668597914E-2</v>
      </c>
      <c r="AA205" s="414">
        <f>AA204/AA158</f>
        <v>2.4680851063829785E-2</v>
      </c>
      <c r="AB205" s="414">
        <f>AB204/AB158</f>
        <v>1.8480492813141684E-2</v>
      </c>
      <c r="AC205" s="359">
        <v>1.7999999999999999E-2</v>
      </c>
      <c r="AD205" s="422">
        <f>AD204/AD158</f>
        <v>2.2555421392467745E-2</v>
      </c>
      <c r="AE205" s="359">
        <v>1.7999999999999999E-2</v>
      </c>
      <c r="AF205" s="359">
        <v>1.7999999999999999E-2</v>
      </c>
      <c r="AG205" s="359">
        <v>1.7999999999999999E-2</v>
      </c>
      <c r="AH205" s="359">
        <v>1.7999999999999999E-2</v>
      </c>
      <c r="AI205" s="422">
        <f>AI204/AI158</f>
        <v>1.8000000000000002E-2</v>
      </c>
      <c r="AJ205" s="359">
        <v>1.7999999999999999E-2</v>
      </c>
      <c r="AK205" s="359">
        <v>1.7999999999999999E-2</v>
      </c>
      <c r="AL205" s="359">
        <v>1.7999999999999999E-2</v>
      </c>
      <c r="AM205" s="359">
        <v>1.7999999999999999E-2</v>
      </c>
      <c r="AN205" s="422">
        <f>AN204/AN158</f>
        <v>1.8000000000000002E-2</v>
      </c>
      <c r="AO205" s="359">
        <v>1.7999999999999999E-2</v>
      </c>
      <c r="AP205" s="359">
        <v>1.7999999999999999E-2</v>
      </c>
      <c r="AQ205" s="359">
        <v>1.7999999999999999E-2</v>
      </c>
      <c r="AR205" s="359">
        <v>1.7999999999999999E-2</v>
      </c>
      <c r="AS205" s="422">
        <f>AS204/AS158</f>
        <v>1.7999999999999999E-2</v>
      </c>
      <c r="AT205" s="462"/>
      <c r="AU205" s="508"/>
      <c r="AV205" s="143"/>
      <c r="AW205" s="143"/>
      <c r="AX205" s="143"/>
      <c r="AY205" s="143"/>
      <c r="AZ205" s="143"/>
      <c r="BA205" s="143"/>
      <c r="BB205" s="143"/>
      <c r="BC205" s="143"/>
      <c r="BD205" s="143"/>
      <c r="BE205" s="143"/>
      <c r="BF205" s="143"/>
      <c r="BG205" s="143"/>
      <c r="BH205" s="143"/>
      <c r="BI205" s="143"/>
      <c r="BJ205" s="143"/>
      <c r="BK205" s="143"/>
      <c r="BL205" s="143"/>
      <c r="BM205" s="143"/>
      <c r="BN205" s="143"/>
      <c r="BO205" s="143"/>
      <c r="BP205" s="143"/>
      <c r="BQ205" s="143"/>
    </row>
    <row r="206" spans="1:269">
      <c r="A206" s="319" t="s">
        <v>209</v>
      </c>
      <c r="B206" s="278"/>
      <c r="C206" s="277"/>
      <c r="D206" s="277"/>
      <c r="E206" s="277"/>
      <c r="F206" s="278">
        <v>1.4000000000000021</v>
      </c>
      <c r="G206" s="278"/>
      <c r="H206" s="278">
        <v>0</v>
      </c>
      <c r="I206" s="278"/>
      <c r="J206" s="277"/>
      <c r="K206" s="278">
        <v>1.4000000000000021</v>
      </c>
      <c r="L206" s="278"/>
      <c r="M206" s="278">
        <v>0</v>
      </c>
      <c r="N206" s="278"/>
      <c r="O206" s="277"/>
      <c r="P206" s="278">
        <v>1.5</v>
      </c>
      <c r="Q206" s="278">
        <v>0</v>
      </c>
      <c r="R206" s="278">
        <v>0</v>
      </c>
      <c r="S206" s="278">
        <v>0</v>
      </c>
      <c r="T206" s="277">
        <v>1.5</v>
      </c>
      <c r="U206" s="278">
        <v>0</v>
      </c>
      <c r="V206" s="278">
        <v>0</v>
      </c>
      <c r="W206" s="278">
        <v>0</v>
      </c>
      <c r="X206" s="278">
        <v>0</v>
      </c>
      <c r="Y206" s="277">
        <v>0</v>
      </c>
      <c r="Z206" s="278">
        <v>0</v>
      </c>
      <c r="AA206" s="278">
        <v>0</v>
      </c>
      <c r="AB206" s="278">
        <v>0</v>
      </c>
      <c r="AC206" s="287">
        <v>0</v>
      </c>
      <c r="AD206" s="320">
        <f>SUM(Z206:AC206)</f>
        <v>0</v>
      </c>
      <c r="AE206" s="287">
        <v>0</v>
      </c>
      <c r="AF206" s="287">
        <v>0</v>
      </c>
      <c r="AG206" s="287">
        <v>0</v>
      </c>
      <c r="AH206" s="287">
        <v>0</v>
      </c>
      <c r="AI206" s="320">
        <f>SUM(AE206:AH206)</f>
        <v>0</v>
      </c>
      <c r="AJ206" s="287">
        <v>0</v>
      </c>
      <c r="AK206" s="287">
        <v>0</v>
      </c>
      <c r="AL206" s="287">
        <v>0</v>
      </c>
      <c r="AM206" s="287">
        <v>0</v>
      </c>
      <c r="AN206" s="320">
        <f>SUM(AJ206:AM206)</f>
        <v>0</v>
      </c>
      <c r="AO206" s="287">
        <v>0</v>
      </c>
      <c r="AP206" s="287">
        <v>0</v>
      </c>
      <c r="AQ206" s="287">
        <v>0</v>
      </c>
      <c r="AR206" s="287">
        <v>0</v>
      </c>
      <c r="AS206" s="320">
        <f>SUM(AO206:AR206)</f>
        <v>0</v>
      </c>
      <c r="AU206" s="508"/>
      <c r="AV206" s="143"/>
      <c r="AW206" s="143"/>
      <c r="AX206" s="143"/>
      <c r="AY206" s="143"/>
      <c r="AZ206" s="143"/>
      <c r="BA206" s="143"/>
      <c r="BB206" s="143"/>
      <c r="BC206" s="143"/>
      <c r="BD206" s="143"/>
      <c r="BE206" s="143"/>
      <c r="BF206" s="143"/>
      <c r="BG206" s="143"/>
      <c r="BH206" s="143"/>
      <c r="BI206" s="143"/>
      <c r="BJ206" s="143"/>
      <c r="BK206" s="143"/>
      <c r="BL206" s="143"/>
      <c r="BM206" s="143"/>
      <c r="BN206" s="143"/>
      <c r="BO206" s="143"/>
      <c r="BP206" s="143"/>
      <c r="BQ206" s="143"/>
    </row>
    <row r="207" spans="1:269">
      <c r="A207" s="426" t="s">
        <v>509</v>
      </c>
      <c r="B207" s="278"/>
      <c r="C207" s="277"/>
      <c r="D207" s="277"/>
      <c r="E207" s="277"/>
      <c r="F207" s="414">
        <f>F206/F$158</f>
        <v>4.0000000000000063E-2</v>
      </c>
      <c r="G207" s="414">
        <f t="shared" ref="G207" si="493">G206/G$158</f>
        <v>0</v>
      </c>
      <c r="H207" s="414">
        <f t="shared" ref="H207" si="494">H206/H$158</f>
        <v>0</v>
      </c>
      <c r="I207" s="414">
        <f t="shared" ref="I207" si="495">I206/I$158</f>
        <v>0</v>
      </c>
      <c r="J207" s="417">
        <f t="shared" ref="J207" si="496">J206/J$158</f>
        <v>0</v>
      </c>
      <c r="K207" s="414">
        <f>K206/K$158</f>
        <v>4.3076923076923145E-2</v>
      </c>
      <c r="L207" s="414">
        <f t="shared" ref="L207:AA207" si="497">L206/L$158</f>
        <v>0</v>
      </c>
      <c r="M207" s="414">
        <f t="shared" si="497"/>
        <v>0</v>
      </c>
      <c r="N207" s="414">
        <f t="shared" si="497"/>
        <v>0</v>
      </c>
      <c r="O207" s="417">
        <f t="shared" si="497"/>
        <v>0</v>
      </c>
      <c r="P207" s="414">
        <f t="shared" si="497"/>
        <v>3.1578947368421054E-2</v>
      </c>
      <c r="Q207" s="414">
        <f t="shared" si="497"/>
        <v>0</v>
      </c>
      <c r="R207" s="414">
        <f t="shared" si="497"/>
        <v>0</v>
      </c>
      <c r="S207" s="414">
        <f t="shared" si="497"/>
        <v>0</v>
      </c>
      <c r="T207" s="417">
        <f t="shared" si="497"/>
        <v>5.768188058312535E-3</v>
      </c>
      <c r="U207" s="414">
        <f t="shared" si="497"/>
        <v>0</v>
      </c>
      <c r="V207" s="414">
        <f t="shared" si="497"/>
        <v>0</v>
      </c>
      <c r="W207" s="414">
        <f t="shared" si="497"/>
        <v>0</v>
      </c>
      <c r="X207" s="414">
        <f t="shared" si="497"/>
        <v>0</v>
      </c>
      <c r="Y207" s="417">
        <f t="shared" si="497"/>
        <v>0</v>
      </c>
      <c r="Z207" s="414">
        <f t="shared" si="497"/>
        <v>0</v>
      </c>
      <c r="AA207" s="414">
        <f t="shared" si="497"/>
        <v>0</v>
      </c>
      <c r="AB207" s="414">
        <f t="shared" ref="AB207" si="498">AB206/AB$158</f>
        <v>0</v>
      </c>
      <c r="AC207" s="414">
        <f t="shared" ref="AC207" si="499">AC206/AC$158</f>
        <v>0</v>
      </c>
      <c r="AD207" s="422">
        <f t="shared" ref="AD207" si="500">AD206/AD$158</f>
        <v>0</v>
      </c>
      <c r="AE207" s="414">
        <f t="shared" ref="AE207" si="501">AE206/AE$158</f>
        <v>0</v>
      </c>
      <c r="AF207" s="414">
        <f t="shared" ref="AF207" si="502">AF206/AF$158</f>
        <v>0</v>
      </c>
      <c r="AG207" s="414">
        <f t="shared" ref="AG207" si="503">AG206/AG$158</f>
        <v>0</v>
      </c>
      <c r="AH207" s="414">
        <f t="shared" ref="AH207" si="504">AH206/AH$158</f>
        <v>0</v>
      </c>
      <c r="AI207" s="422">
        <f t="shared" ref="AI207" si="505">AI206/AI$158</f>
        <v>0</v>
      </c>
      <c r="AJ207" s="414">
        <f t="shared" ref="AJ207" si="506">AJ206/AJ$158</f>
        <v>0</v>
      </c>
      <c r="AK207" s="414">
        <f t="shared" ref="AK207" si="507">AK206/AK$158</f>
        <v>0</v>
      </c>
      <c r="AL207" s="414">
        <f t="shared" ref="AL207" si="508">AL206/AL$158</f>
        <v>0</v>
      </c>
      <c r="AM207" s="414">
        <f t="shared" ref="AM207" si="509">AM206/AM$158</f>
        <v>0</v>
      </c>
      <c r="AN207" s="422">
        <f t="shared" ref="AN207" si="510">AN206/AN$158</f>
        <v>0</v>
      </c>
      <c r="AO207" s="414">
        <f t="shared" ref="AO207" si="511">AO206/AO$158</f>
        <v>0</v>
      </c>
      <c r="AP207" s="414">
        <f t="shared" ref="AP207" si="512">AP206/AP$158</f>
        <v>0</v>
      </c>
      <c r="AQ207" s="414">
        <f t="shared" ref="AQ207" si="513">AQ206/AQ$158</f>
        <v>0</v>
      </c>
      <c r="AR207" s="414">
        <f t="shared" ref="AR207" si="514">AR206/AR$158</f>
        <v>0</v>
      </c>
      <c r="AS207" s="422">
        <f t="shared" ref="AS207" si="515">AS206/AS$158</f>
        <v>0</v>
      </c>
      <c r="AU207" s="508"/>
      <c r="AV207" s="143"/>
      <c r="AW207" s="143"/>
      <c r="AX207" s="143"/>
      <c r="AY207" s="143"/>
      <c r="AZ207" s="143"/>
      <c r="BA207" s="143"/>
      <c r="BB207" s="143"/>
      <c r="BC207" s="143"/>
      <c r="BD207" s="143"/>
      <c r="BE207" s="143"/>
      <c r="BF207" s="143"/>
      <c r="BG207" s="143"/>
      <c r="BH207" s="143"/>
      <c r="BI207" s="143"/>
      <c r="BJ207" s="143"/>
      <c r="BK207" s="143"/>
      <c r="BL207" s="143"/>
      <c r="BM207" s="143"/>
      <c r="BN207" s="143"/>
      <c r="BO207" s="143"/>
      <c r="BP207" s="143"/>
      <c r="BQ207" s="143"/>
    </row>
    <row r="208" spans="1:269">
      <c r="A208" s="426"/>
      <c r="B208" s="278"/>
      <c r="C208" s="277"/>
      <c r="D208" s="277"/>
      <c r="E208" s="277"/>
      <c r="F208" s="278"/>
      <c r="G208" s="278"/>
      <c r="H208" s="278"/>
      <c r="I208" s="278"/>
      <c r="J208" s="277"/>
      <c r="K208" s="278"/>
      <c r="L208" s="278"/>
      <c r="M208" s="278"/>
      <c r="N208" s="278"/>
      <c r="O208" s="277"/>
      <c r="P208" s="278"/>
      <c r="Q208" s="278"/>
      <c r="R208" s="278"/>
      <c r="S208" s="278"/>
      <c r="T208" s="277"/>
      <c r="U208" s="278"/>
      <c r="V208" s="278"/>
      <c r="W208" s="278"/>
      <c r="X208" s="278"/>
      <c r="Y208" s="277"/>
      <c r="Z208" s="278"/>
      <c r="AA208" s="278"/>
      <c r="AB208" s="278"/>
      <c r="AC208" s="278"/>
      <c r="AD208" s="536"/>
      <c r="AE208" s="287"/>
      <c r="AF208" s="287"/>
      <c r="AG208" s="287"/>
      <c r="AH208" s="287"/>
      <c r="AI208" s="279"/>
      <c r="AJ208" s="287"/>
      <c r="AK208" s="287"/>
      <c r="AL208" s="287"/>
      <c r="AM208" s="287"/>
      <c r="AN208" s="279"/>
      <c r="AO208" s="287"/>
      <c r="AP208" s="287"/>
      <c r="AQ208" s="287"/>
      <c r="AR208" s="287"/>
      <c r="AS208" s="279"/>
      <c r="AU208" s="508"/>
      <c r="AV208" s="143"/>
      <c r="AW208" s="143"/>
      <c r="AX208" s="143"/>
      <c r="AY208" s="143"/>
      <c r="AZ208" s="143"/>
      <c r="BA208" s="143"/>
      <c r="BB208" s="143"/>
      <c r="BC208" s="143"/>
      <c r="BD208" s="143"/>
      <c r="BE208" s="143"/>
      <c r="BF208" s="143"/>
      <c r="BG208" s="143"/>
      <c r="BH208" s="143"/>
      <c r="BI208" s="143"/>
      <c r="BJ208" s="143"/>
      <c r="BK208" s="143"/>
      <c r="BL208" s="143"/>
      <c r="BM208" s="143"/>
      <c r="BN208" s="143"/>
      <c r="BO208" s="143"/>
      <c r="BP208" s="143"/>
      <c r="BQ208" s="143"/>
    </row>
    <row r="209" spans="1:269" s="81" customFormat="1" ht="15" thickBot="1">
      <c r="A209" s="576" t="s">
        <v>411</v>
      </c>
      <c r="B209" s="314"/>
      <c r="C209" s="577"/>
      <c r="D209" s="577"/>
      <c r="E209" s="577"/>
      <c r="F209" s="314">
        <v>-7.3</v>
      </c>
      <c r="G209" s="314">
        <v>-7.9</v>
      </c>
      <c r="H209" s="314">
        <v>2.7850000000000001</v>
      </c>
      <c r="I209" s="314"/>
      <c r="J209" s="577">
        <v>13.462</v>
      </c>
      <c r="K209" s="314">
        <v>-7.3</v>
      </c>
      <c r="L209" s="314">
        <v>-7.9</v>
      </c>
      <c r="M209" s="314">
        <v>2.7850000000000001</v>
      </c>
      <c r="N209" s="314"/>
      <c r="O209" s="578">
        <f t="shared" ref="O209:AA209" si="516">O210+O211</f>
        <v>-17.182000000000002</v>
      </c>
      <c r="P209" s="579">
        <f t="shared" si="516"/>
        <v>4.9897500000000017</v>
      </c>
      <c r="Q209" s="579">
        <f t="shared" si="516"/>
        <v>-23.822000000000003</v>
      </c>
      <c r="R209" s="579">
        <f t="shared" si="516"/>
        <v>-2.7970000000000006</v>
      </c>
      <c r="S209" s="579">
        <f t="shared" si="516"/>
        <v>-7.2009999999999934</v>
      </c>
      <c r="T209" s="578">
        <f t="shared" si="516"/>
        <v>-28.830249999999999</v>
      </c>
      <c r="U209" s="579">
        <f t="shared" si="516"/>
        <v>-12.961000000000006</v>
      </c>
      <c r="V209" s="579">
        <f t="shared" si="516"/>
        <v>-0.2370000000000041</v>
      </c>
      <c r="W209" s="579">
        <f t="shared" si="516"/>
        <v>0.93099999999999827</v>
      </c>
      <c r="X209" s="579">
        <f t="shared" si="516"/>
        <v>10.252999999999988</v>
      </c>
      <c r="Y209" s="578">
        <f t="shared" si="516"/>
        <v>-2.0140000000000242</v>
      </c>
      <c r="Z209" s="579">
        <f t="shared" si="516"/>
        <v>-0.40000000000000924</v>
      </c>
      <c r="AA209" s="579">
        <f t="shared" si="516"/>
        <v>9.600000000000005</v>
      </c>
      <c r="AB209" s="579">
        <f>AB210+AB211</f>
        <v>1.1000000000000085</v>
      </c>
      <c r="AC209" s="579">
        <f>AC164-AC196</f>
        <v>-7.9321690806867906</v>
      </c>
      <c r="AD209" s="581">
        <f>AD164-AD196</f>
        <v>-26.586369080686808</v>
      </c>
      <c r="AE209" s="579">
        <f>AE164-AE196</f>
        <v>-15.241294435385512</v>
      </c>
      <c r="AF209" s="579">
        <f>AF164-AF196</f>
        <v>-16.062069841572445</v>
      </c>
      <c r="AG209" s="579">
        <f>AG164-AG196</f>
        <v>-4.8611547879570978</v>
      </c>
      <c r="AH209" s="579">
        <f>AH164-AH196</f>
        <v>9.1388493092599177</v>
      </c>
      <c r="AI209" s="581">
        <f>AI164-AI196</f>
        <v>-27.025669755655144</v>
      </c>
      <c r="AJ209" s="579">
        <f>AJ164-AJ196</f>
        <v>-2.8478777335563521</v>
      </c>
      <c r="AK209" s="579">
        <f>AK164-AK196</f>
        <v>6.0595374739048111</v>
      </c>
      <c r="AL209" s="579">
        <f>AL164-AL196</f>
        <v>5.4669461565923143</v>
      </c>
      <c r="AM209" s="579">
        <f>AM164-AM196</f>
        <v>18.567950452018863</v>
      </c>
      <c r="AN209" s="581">
        <f>AN164-AN196</f>
        <v>27.246556348959587</v>
      </c>
      <c r="AO209" s="579">
        <f>AO164-AO196</f>
        <v>3.2063519052156195</v>
      </c>
      <c r="AP209" s="579">
        <f>AP164-AP196</f>
        <v>13.808825025603255</v>
      </c>
      <c r="AQ209" s="579">
        <f>AQ164-AQ196</f>
        <v>12.32223955560579</v>
      </c>
      <c r="AR209" s="579">
        <f>AR164-AR196</f>
        <v>28.795236840235376</v>
      </c>
      <c r="AS209" s="581">
        <f>AS164-AS196</f>
        <v>58.13265332666009</v>
      </c>
      <c r="AT209" s="463"/>
      <c r="AU209" s="508"/>
      <c r="BR209" s="438"/>
      <c r="BS209" s="438"/>
      <c r="BT209" s="438"/>
      <c r="BU209" s="438"/>
      <c r="BV209" s="438"/>
      <c r="BW209" s="438"/>
      <c r="BX209" s="438"/>
      <c r="BY209" s="438"/>
      <c r="BZ209" s="438"/>
      <c r="CA209" s="438"/>
      <c r="CB209" s="438"/>
      <c r="CC209" s="438"/>
      <c r="CD209" s="438"/>
      <c r="CE209" s="438"/>
      <c r="CF209" s="438"/>
      <c r="CG209" s="438"/>
      <c r="CH209" s="438"/>
      <c r="CI209" s="438"/>
      <c r="CJ209" s="438"/>
      <c r="CK209" s="438"/>
      <c r="CL209" s="438"/>
      <c r="CM209" s="438"/>
      <c r="CN209" s="438"/>
      <c r="CO209" s="438"/>
      <c r="CP209" s="438"/>
      <c r="CQ209" s="438"/>
      <c r="CR209" s="438"/>
      <c r="CS209" s="438"/>
      <c r="CT209" s="438"/>
      <c r="CU209" s="438"/>
      <c r="CV209" s="438"/>
      <c r="CW209" s="438"/>
      <c r="CX209" s="438"/>
      <c r="CY209" s="438"/>
      <c r="CZ209" s="438"/>
      <c r="DA209" s="438"/>
      <c r="DB209" s="438"/>
      <c r="DC209" s="438"/>
      <c r="DD209" s="438"/>
      <c r="DE209" s="438"/>
      <c r="DF209" s="438"/>
      <c r="DG209" s="438"/>
      <c r="DH209" s="438"/>
      <c r="DI209" s="438"/>
      <c r="DJ209" s="438"/>
      <c r="DK209" s="438"/>
      <c r="DL209" s="438"/>
      <c r="DM209" s="438"/>
      <c r="DN209" s="438"/>
      <c r="DO209" s="438"/>
      <c r="DP209" s="438"/>
      <c r="DQ209" s="438"/>
      <c r="DR209" s="438"/>
      <c r="DS209" s="438"/>
      <c r="DT209" s="438"/>
      <c r="DU209" s="438"/>
      <c r="DV209" s="438"/>
      <c r="DW209" s="438"/>
      <c r="DX209" s="438"/>
      <c r="DY209" s="438"/>
      <c r="DZ209" s="438"/>
      <c r="EA209" s="438"/>
      <c r="EB209" s="438"/>
      <c r="EC209" s="438"/>
      <c r="ED209" s="438"/>
      <c r="EE209" s="438"/>
      <c r="EF209" s="438"/>
      <c r="EG209" s="438"/>
      <c r="EH209" s="438"/>
      <c r="EI209" s="438"/>
      <c r="EJ209" s="438"/>
      <c r="EK209" s="438"/>
      <c r="EL209" s="438"/>
      <c r="EM209" s="438"/>
      <c r="EN209" s="438"/>
      <c r="EO209" s="438"/>
      <c r="EP209" s="438"/>
      <c r="EQ209" s="438"/>
      <c r="ER209" s="438"/>
      <c r="ES209" s="438"/>
      <c r="ET209" s="438"/>
      <c r="EU209" s="438"/>
      <c r="EV209" s="438"/>
      <c r="EW209" s="438"/>
      <c r="EX209" s="438"/>
      <c r="EY209" s="438"/>
      <c r="EZ209" s="438"/>
      <c r="FA209" s="438"/>
      <c r="FB209" s="438"/>
      <c r="FC209" s="438"/>
      <c r="FD209" s="438"/>
      <c r="FE209" s="438"/>
      <c r="FF209" s="438"/>
      <c r="FG209" s="438"/>
      <c r="FH209" s="438"/>
      <c r="FI209" s="438"/>
      <c r="FJ209" s="438"/>
      <c r="FK209" s="438"/>
      <c r="FL209" s="438"/>
      <c r="FM209" s="438"/>
      <c r="FN209" s="438"/>
      <c r="FO209" s="438"/>
      <c r="FP209" s="438"/>
      <c r="FQ209" s="438"/>
      <c r="FR209" s="438"/>
      <c r="FS209" s="438"/>
      <c r="FT209" s="438"/>
      <c r="FU209" s="438"/>
      <c r="FV209" s="438"/>
      <c r="FW209" s="438"/>
      <c r="FX209" s="438"/>
      <c r="FY209" s="438"/>
      <c r="FZ209" s="438"/>
      <c r="GA209" s="438"/>
      <c r="GB209" s="438"/>
      <c r="GC209" s="438"/>
      <c r="GD209" s="438"/>
      <c r="GE209" s="438"/>
      <c r="GF209" s="438"/>
      <c r="GG209" s="438"/>
      <c r="GH209" s="438"/>
      <c r="GI209" s="438"/>
      <c r="GJ209" s="438"/>
      <c r="GK209" s="438"/>
      <c r="GL209" s="438"/>
      <c r="GM209" s="438"/>
      <c r="GN209" s="438"/>
      <c r="GO209" s="438"/>
      <c r="GP209" s="438"/>
      <c r="GQ209" s="438"/>
      <c r="GR209" s="438"/>
      <c r="GS209" s="438"/>
      <c r="GT209" s="438"/>
      <c r="GU209" s="438"/>
      <c r="GV209" s="438"/>
      <c r="GW209" s="438"/>
      <c r="GX209" s="438"/>
      <c r="GY209" s="438"/>
      <c r="GZ209" s="438"/>
      <c r="HA209" s="438"/>
      <c r="HB209" s="438"/>
      <c r="HC209" s="438"/>
      <c r="HD209" s="438"/>
      <c r="HE209" s="438"/>
      <c r="HF209" s="438"/>
      <c r="HG209" s="438"/>
      <c r="HH209" s="438"/>
      <c r="HI209" s="438"/>
      <c r="HJ209" s="438"/>
      <c r="HK209" s="438"/>
      <c r="HL209" s="438"/>
      <c r="HM209" s="438"/>
      <c r="HN209" s="438"/>
      <c r="HO209" s="438"/>
      <c r="HP209" s="438"/>
      <c r="HQ209" s="438"/>
      <c r="HR209" s="438"/>
      <c r="HS209" s="438"/>
      <c r="HT209" s="438"/>
      <c r="HU209" s="438"/>
      <c r="HV209" s="438"/>
      <c r="HW209" s="438"/>
      <c r="HX209" s="438"/>
      <c r="HY209" s="438"/>
      <c r="HZ209" s="438"/>
      <c r="IA209" s="438"/>
      <c r="IB209" s="438"/>
      <c r="IC209" s="438"/>
      <c r="ID209" s="438"/>
      <c r="IE209" s="438"/>
      <c r="IF209" s="438"/>
      <c r="IG209" s="438"/>
      <c r="IH209" s="438"/>
      <c r="II209" s="438"/>
      <c r="IJ209" s="438"/>
      <c r="IK209" s="438"/>
      <c r="IL209" s="438"/>
      <c r="IM209" s="438"/>
      <c r="IN209" s="438"/>
      <c r="IO209" s="438"/>
      <c r="IP209" s="438"/>
      <c r="IQ209" s="438"/>
      <c r="IR209" s="438"/>
      <c r="IS209" s="438"/>
      <c r="IT209" s="438"/>
      <c r="IU209" s="438"/>
      <c r="IV209" s="438"/>
      <c r="IW209" s="438"/>
      <c r="IX209" s="438"/>
      <c r="IY209" s="438"/>
      <c r="IZ209" s="438"/>
      <c r="JA209" s="438"/>
      <c r="JB209" s="438"/>
      <c r="JC209" s="438"/>
      <c r="JD209" s="438"/>
      <c r="JE209" s="438"/>
      <c r="JF209" s="438"/>
      <c r="JG209" s="438"/>
      <c r="JH209" s="438"/>
      <c r="JI209" s="438"/>
    </row>
    <row r="210" spans="1:269" ht="15" hidden="1" outlineLevel="1" thickTop="1">
      <c r="A210" s="319" t="s">
        <v>409</v>
      </c>
      <c r="B210" s="278"/>
      <c r="C210" s="277"/>
      <c r="D210" s="277"/>
      <c r="E210" s="277"/>
      <c r="F210" s="278"/>
      <c r="G210" s="278"/>
      <c r="H210" s="278">
        <v>2.7850000000000001</v>
      </c>
      <c r="I210" s="278"/>
      <c r="J210" s="277"/>
      <c r="K210" s="278"/>
      <c r="L210" s="278"/>
      <c r="M210" s="278">
        <v>2.7850000000000001</v>
      </c>
      <c r="N210" s="278"/>
      <c r="O210" s="277">
        <v>-6.4430000000000014</v>
      </c>
      <c r="P210" s="278">
        <v>2.3987500000000015</v>
      </c>
      <c r="Q210" s="278">
        <v>-26.389000000000003</v>
      </c>
      <c r="R210" s="278">
        <v>-5.4560000000000004</v>
      </c>
      <c r="S210" s="278">
        <v>-7.2009999999999934</v>
      </c>
      <c r="T210" s="277">
        <v>-36.64725</v>
      </c>
      <c r="U210" s="278">
        <v>-12.961000000000006</v>
      </c>
      <c r="V210" s="278">
        <v>-3.4130000000000038</v>
      </c>
      <c r="W210" s="278">
        <v>-4.1410000000000018</v>
      </c>
      <c r="X210" s="278">
        <v>-3.7650000000000112</v>
      </c>
      <c r="Y210" s="277">
        <v>-24.280000000000022</v>
      </c>
      <c r="Z210" s="278">
        <v>-17.300000000000008</v>
      </c>
      <c r="AA210" s="278">
        <v>-13.099999999999994</v>
      </c>
      <c r="AB210" s="278">
        <f>AB162-AB196</f>
        <v>-82.1</v>
      </c>
      <c r="AC210" s="278"/>
      <c r="AD210" s="422"/>
      <c r="AE210" s="414"/>
      <c r="AF210" s="414"/>
      <c r="AG210" s="289"/>
      <c r="AH210" s="289"/>
      <c r="AI210" s="339"/>
      <c r="AJ210" s="289"/>
      <c r="AK210" s="289"/>
      <c r="AL210" s="289"/>
      <c r="AM210" s="289"/>
      <c r="AN210" s="339"/>
      <c r="AO210" s="289"/>
      <c r="AP210" s="289"/>
      <c r="AQ210" s="289"/>
      <c r="AR210" s="289"/>
      <c r="AS210" s="339"/>
      <c r="AT210" s="458"/>
      <c r="AU210" s="508"/>
      <c r="AV210" s="143"/>
      <c r="AW210" s="143"/>
      <c r="AX210" s="143"/>
      <c r="AY210" s="143"/>
      <c r="AZ210" s="143"/>
      <c r="BA210" s="143"/>
      <c r="BB210" s="143"/>
      <c r="BC210" s="143"/>
      <c r="BD210" s="143"/>
      <c r="BE210" s="143"/>
      <c r="BF210" s="143"/>
      <c r="BG210" s="143"/>
      <c r="BH210" s="143"/>
      <c r="BI210" s="143"/>
      <c r="BJ210" s="143"/>
      <c r="BK210" s="143"/>
      <c r="BL210" s="143"/>
      <c r="BM210" s="143"/>
      <c r="BN210" s="143"/>
      <c r="BO210" s="143"/>
      <c r="BP210" s="143"/>
      <c r="BQ210" s="143"/>
    </row>
    <row r="211" spans="1:269" hidden="1" outlineLevel="1">
      <c r="A211" s="319" t="s">
        <v>410</v>
      </c>
      <c r="B211" s="278"/>
      <c r="C211" s="277"/>
      <c r="D211" s="277"/>
      <c r="E211" s="277"/>
      <c r="F211" s="278"/>
      <c r="G211" s="278"/>
      <c r="H211" s="278">
        <v>0</v>
      </c>
      <c r="I211" s="278"/>
      <c r="J211" s="277"/>
      <c r="K211" s="278"/>
      <c r="L211" s="278"/>
      <c r="M211" s="278">
        <v>0</v>
      </c>
      <c r="N211" s="278"/>
      <c r="O211" s="277">
        <v>-10.739000000000001</v>
      </c>
      <c r="P211" s="278">
        <v>2.5910000000000002</v>
      </c>
      <c r="Q211" s="278">
        <v>2.5670000000000002</v>
      </c>
      <c r="R211" s="278">
        <v>2.6589999999999998</v>
      </c>
      <c r="S211" s="278">
        <v>0</v>
      </c>
      <c r="T211" s="277">
        <v>7.8170000000000002</v>
      </c>
      <c r="U211" s="278">
        <v>0</v>
      </c>
      <c r="V211" s="278">
        <v>3.1759999999999997</v>
      </c>
      <c r="W211" s="278">
        <v>5.0720000000000001</v>
      </c>
      <c r="X211" s="278">
        <v>14.017999999999999</v>
      </c>
      <c r="Y211" s="277">
        <v>22.265999999999998</v>
      </c>
      <c r="Z211" s="278">
        <v>16.899999999999999</v>
      </c>
      <c r="AA211" s="278">
        <v>22.7</v>
      </c>
      <c r="AB211" s="278">
        <v>83.2</v>
      </c>
      <c r="AC211" s="278"/>
      <c r="AD211" s="320"/>
      <c r="AE211" s="280"/>
      <c r="AF211" s="280"/>
      <c r="AG211" s="287"/>
      <c r="AH211" s="287"/>
      <c r="AI211" s="288"/>
      <c r="AJ211" s="287"/>
      <c r="AK211" s="287"/>
      <c r="AL211" s="287"/>
      <c r="AM211" s="287"/>
      <c r="AN211" s="288"/>
      <c r="AO211" s="287"/>
      <c r="AP211" s="287"/>
      <c r="AQ211" s="287"/>
      <c r="AR211" s="287"/>
      <c r="AS211" s="288"/>
      <c r="AT211" s="462"/>
      <c r="AU211" s="508"/>
      <c r="AV211" s="143"/>
      <c r="AW211" s="143"/>
      <c r="AX211" s="143"/>
      <c r="AY211" s="143"/>
      <c r="AZ211" s="143"/>
      <c r="BA211" s="143"/>
      <c r="BB211" s="143"/>
      <c r="BC211" s="143"/>
      <c r="BD211" s="143"/>
      <c r="BE211" s="143"/>
      <c r="BF211" s="143"/>
      <c r="BG211" s="143"/>
      <c r="BH211" s="143"/>
      <c r="BI211" s="143"/>
      <c r="BJ211" s="143"/>
      <c r="BK211" s="143"/>
      <c r="BL211" s="143"/>
      <c r="BM211" s="143"/>
      <c r="BN211" s="143"/>
      <c r="BO211" s="143"/>
      <c r="BP211" s="143"/>
      <c r="BQ211" s="143"/>
    </row>
    <row r="212" spans="1:269" ht="15" hidden="1" outlineLevel="1" thickTop="1">
      <c r="A212" s="319" t="s">
        <v>700</v>
      </c>
      <c r="B212" s="278"/>
      <c r="C212" s="277"/>
      <c r="D212" s="277"/>
      <c r="E212" s="277"/>
      <c r="F212" s="414">
        <f>F209/F158</f>
        <v>-0.20857142857142857</v>
      </c>
      <c r="G212" s="414">
        <f>G209/G158</f>
        <v>-0.18372093023255814</v>
      </c>
      <c r="H212" s="414">
        <f>H209/H158</f>
        <v>6.9625000000000006E-2</v>
      </c>
      <c r="I212" s="414">
        <f>I209/I158</f>
        <v>0</v>
      </c>
      <c r="J212" s="417">
        <f>J209/J158</f>
        <v>8.0610778443113776E-2</v>
      </c>
      <c r="K212" s="414">
        <f>K209/K158</f>
        <v>-0.22461538461538461</v>
      </c>
      <c r="L212" s="414">
        <f>L209/L158</f>
        <v>-0.56028368794326244</v>
      </c>
      <c r="M212" s="414">
        <f>M209/M158</f>
        <v>8.0724637681159422E-2</v>
      </c>
      <c r="N212" s="414">
        <f>N209/N158</f>
        <v>0</v>
      </c>
      <c r="O212" s="417">
        <f>O209/O158</f>
        <v>-0.14427501427467843</v>
      </c>
      <c r="P212" s="414">
        <f>P209/P158</f>
        <v>0.10504736842105267</v>
      </c>
      <c r="Q212" s="414">
        <f>Q209/Q158</f>
        <v>-0.3582255639097745</v>
      </c>
      <c r="R212" s="414">
        <f>R209/R158</f>
        <v>-4.104362627848622E-2</v>
      </c>
      <c r="S212" s="414">
        <f>S209/S158</f>
        <v>-9.2439024390243804E-2</v>
      </c>
      <c r="T212" s="417">
        <f>T209/T158</f>
        <v>-0.11086553584544331</v>
      </c>
      <c r="U212" s="414">
        <f>U209/U158</f>
        <v>-0.17186236159915144</v>
      </c>
      <c r="V212" s="414">
        <f>V209/V158</f>
        <v>-2.2890588780714351E-3</v>
      </c>
      <c r="W212" s="414">
        <f>W209/W158</f>
        <v>1.0485178844940966E-2</v>
      </c>
      <c r="X212" s="414">
        <f>X209/X158</f>
        <v>0.10448065380656851</v>
      </c>
      <c r="Y212" s="417">
        <f>Y209/Y158</f>
        <v>-5.5045971859319122E-3</v>
      </c>
      <c r="Z212" s="414">
        <f>Z209/Z158</f>
        <v>-4.6349942062573497E-3</v>
      </c>
      <c r="AA212" s="414">
        <f>AA209/AA158</f>
        <v>8.1702127659574506E-2</v>
      </c>
      <c r="AB212" s="414">
        <f>AB209/AB158</f>
        <v>1.1293634496920005E-2</v>
      </c>
      <c r="AC212" s="414">
        <f>AC209/AC158</f>
        <v>-0.17406376293942202</v>
      </c>
      <c r="AD212" s="422">
        <f>AD209/AD158</f>
        <v>-7.668109456106445E-2</v>
      </c>
      <c r="AE212" s="414">
        <f>AE209/AE158</f>
        <v>-0.34814949081134522</v>
      </c>
      <c r="AF212" s="414">
        <f>AF209/AF158</f>
        <v>-0.35848925020653366</v>
      </c>
      <c r="AG212" s="414">
        <f>AG209/AG158</f>
        <v>-7.2191802531245894E-2</v>
      </c>
      <c r="AH212" s="414">
        <f>AH209/AH158</f>
        <v>0.11566052146788959</v>
      </c>
      <c r="AI212" s="422">
        <f>AI209/AI158</f>
        <v>-0.11503516542150567</v>
      </c>
      <c r="AJ212" s="414">
        <f>AJ209/AJ158</f>
        <v>-3.6759927797977272E-2</v>
      </c>
      <c r="AK212" s="414">
        <f>AK209/AK158</f>
        <v>6.3916263839482471E-2</v>
      </c>
      <c r="AL212" s="414">
        <f>AL209/AL158</f>
        <v>5.9583505235220796E-2</v>
      </c>
      <c r="AM212" s="414">
        <f>AM209/AM158</f>
        <v>0.18527485173800387</v>
      </c>
      <c r="AN212" s="422">
        <f>AN209/AN158</f>
        <v>7.4802265960698222E-2</v>
      </c>
      <c r="AO212" s="414">
        <f>AO209/AO158</f>
        <v>3.5306519867740201E-2</v>
      </c>
      <c r="AP212" s="414">
        <f>AP209/AP158</f>
        <v>0.12787621099239613</v>
      </c>
      <c r="AQ212" s="414">
        <f>AQ209/AQ158</f>
        <v>0.121256784557515</v>
      </c>
      <c r="AR212" s="414">
        <f>AR209/AR158</f>
        <v>0.24290185480387566</v>
      </c>
      <c r="AS212" s="422">
        <f>AS209/AS158</f>
        <v>0.13875186952485377</v>
      </c>
      <c r="AT212" s="462"/>
      <c r="AU212" s="508"/>
      <c r="AV212" s="143"/>
      <c r="AW212" s="143"/>
      <c r="AX212" s="143"/>
      <c r="AY212" s="143"/>
      <c r="AZ212" s="143"/>
      <c r="BA212" s="143"/>
      <c r="BB212" s="143"/>
      <c r="BC212" s="143"/>
      <c r="BD212" s="143"/>
      <c r="BE212" s="143"/>
      <c r="BF212" s="143"/>
      <c r="BG212" s="143"/>
      <c r="BH212" s="143"/>
      <c r="BI212" s="143"/>
      <c r="BJ212" s="143"/>
      <c r="BK212" s="143"/>
      <c r="BL212" s="143"/>
      <c r="BM212" s="143"/>
      <c r="BN212" s="143"/>
      <c r="BO212" s="143"/>
      <c r="BP212" s="143"/>
      <c r="BQ212" s="143"/>
    </row>
    <row r="213" spans="1:269" ht="15" collapsed="1" thickTop="1">
      <c r="A213" s="319" t="s">
        <v>596</v>
      </c>
      <c r="B213" s="278" t="s">
        <v>597</v>
      </c>
      <c r="C213" s="277"/>
      <c r="D213" s="277"/>
      <c r="E213" s="277"/>
      <c r="F213" s="591" t="str" cm="1">
        <f t="array" ref="F213">_xll.VAData("SKIN_US", F$4, $B213, "consensus", "CD", "IMPL","", "")</f>
        <v>-</v>
      </c>
      <c r="G213" s="591" t="str" cm="1">
        <f t="array" ref="G213">_xll.VAData("SKIN_US", G$4, $B213, "consensus", "CD", "IMPL","", "")</f>
        <v>-</v>
      </c>
      <c r="H213" s="591" t="str" cm="1">
        <f t="array" ref="H213">_xll.VAData("SKIN_US", H$4, $B213, "consensus", "CD", "IMPL","", "")</f>
        <v>-</v>
      </c>
      <c r="I213" s="591" cm="1">
        <f t="array" ref="I213">_xll.VAData("SKIN_US", I$4, $B213, "consensus", "CD", "IMPL","", "")</f>
        <v>22.472000000000001</v>
      </c>
      <c r="J213" s="590" cm="1">
        <f t="array" ref="J213">_xll.VAData("SKIN_US", J$4, $B213, "consensus", "CD", "IMPL","", "")</f>
        <v>88.249032753096827</v>
      </c>
      <c r="K213" s="591" cm="1">
        <f t="array" ref="K213">_xll.VAData("SKIN_US", K$4, $B213, "consensus", "CD", "IMPL","", "")</f>
        <v>25.663416666666667</v>
      </c>
      <c r="L213" s="591" cm="1">
        <f t="array" ref="L213">_xll.VAData("SKIN_US", L$4, $B213, "consensus", "CD", "IMPL","", "")</f>
        <v>10.489333333333335</v>
      </c>
      <c r="M213" s="591" cm="1">
        <f t="array" ref="M213">_xll.VAData("SKIN_US", M$4, $B213, "consensus", "CD", "IMPL","", "")</f>
        <v>17.865833333333331</v>
      </c>
      <c r="N213" s="591" cm="1">
        <f t="array" ref="N213">_xll.VAData("SKIN_US", N$4, $B213, "consensus", "CD", "IMPL","", "")</f>
        <v>25.109416666666668</v>
      </c>
      <c r="O213" s="592" cm="1">
        <f t="array" ref="O213">_xll.VAData("SKIN_US", O$4, $B213, "consensus", "CD", "IMPL","", "")</f>
        <v>75.915800000000004</v>
      </c>
      <c r="P213" s="591" cm="1">
        <f t="array" ref="P213">_xll.VAData("SKIN_US", P$4, $B213, "consensus", "CD", "IMPL","", "")</f>
        <v>29.266500000000001</v>
      </c>
      <c r="Q213" s="591" cm="1">
        <f t="array" ref="Q213">_xll.VAData("SKIN_US", Q$4, $B213, "consensus", "CD", "IMPL","", "")</f>
        <v>39.895000000000003</v>
      </c>
      <c r="R213" s="591" cm="1">
        <f t="array" ref="R213">_xll.VAData("SKIN_US", R$4, $B213, "consensus", "CD", "IMPL","", "")</f>
        <v>46.771728666666661</v>
      </c>
      <c r="S213" s="591" cm="1">
        <f t="array" ref="S213">_xll.VAData("SKIN_US", S$4, $B213, "consensus", "CD", "IMPL","", "")</f>
        <v>54.488666666666667</v>
      </c>
      <c r="T213" s="592" cm="1">
        <f t="array" ref="T213">_xll.VAData("SKIN_US", T$4, $B213, "consensus", "CD", "IMPL","", "")</f>
        <v>167.63616666666667</v>
      </c>
      <c r="U213" s="591" cm="1">
        <f t="array" ref="U213">_xll.VAData("SKIN_US", U$4, $B213, "consensus", "CD", "IMPL","", "")</f>
        <v>56.457999999999998</v>
      </c>
      <c r="V213" s="591" cm="1">
        <f t="array" ref="V213">_xll.VAData("SKIN_US", V$4, $B213, "consensus", "CD", "IMPL","", "")</f>
        <v>63.733285714285714</v>
      </c>
      <c r="W213" s="591" cm="1">
        <f t="array" ref="W213">_xll.VAData("SKIN_US", W$4, $B213, "consensus", "CD", "IMPL","", "")</f>
        <v>52.408666666666662</v>
      </c>
      <c r="X213" s="591" cm="1">
        <f t="array" ref="X213">_xll.VAData("SKIN_US", X$4, $B213, "consensus", "CD", "IMPL","", "")</f>
        <v>57.948</v>
      </c>
      <c r="Y213" s="592" cm="1">
        <f t="array" ref="Y213">_xll.VAData("SKIN_US", Y$4, $B213, "consensus", "CD", "IMPL","", "")</f>
        <v>232.44900000000001</v>
      </c>
      <c r="Z213" s="591" cm="1">
        <f t="array" ref="Z213">_xll.VAData("SKIN_US", Z$4, $B213, "consensus", "CD", "IMPL","", "")</f>
        <v>62.680428571428571</v>
      </c>
      <c r="AA213" s="591" cm="1">
        <f t="array" ref="AA213">_xll.VAData("SKIN_US", AA$4, $B213, "consensus", "CD", "IMPL","", "")</f>
        <v>61.3855</v>
      </c>
      <c r="AB213" s="591" cm="1">
        <f t="array" ref="AB213">_xll.VAData("SKIN_US", AB$4, $B213, "consensus", "CD", "IMPL","", "")</f>
        <v>57.213999999999999</v>
      </c>
      <c r="AC213" s="591" cm="1">
        <f t="array" ref="AC213">_xll.VAData("SKIN_US", AC$4, $B213, "consensus", "CD", "IMPL","", "")</f>
        <v>61.083310604283177</v>
      </c>
      <c r="AD213" s="593" cm="1">
        <f t="array" ref="AD213">_xll.VAData("SKIN_US", AD$4, $B213, "consensus", "CD", "IMPL","", "")</f>
        <v>243.45448177756074</v>
      </c>
      <c r="AE213" s="591" cm="1">
        <f t="array" ref="AE213">_xll.VAData("SKIN_US", AE$4, $B213, "consensus", "CD", "IMPL","", "")</f>
        <v>64.769807900241418</v>
      </c>
      <c r="AF213" s="591" cm="1">
        <f t="array" ref="AF213">_xll.VAData("SKIN_US", AF$4, $B213, "consensus", "CD", "IMPL","", "")</f>
        <v>64.611814678095456</v>
      </c>
      <c r="AG213" s="591" cm="1">
        <f t="array" ref="AG213">_xll.VAData("SKIN_US", AG$4, $B213, "consensus", "CD", "IMPL","", "")</f>
        <v>54.365777892347857</v>
      </c>
      <c r="AH213" s="591" cm="1">
        <f t="array" ref="AH213">_xll.VAData("SKIN_US", AH$4, $B213, "consensus", "CD", "IMPL","", "")</f>
        <v>63.78132268563396</v>
      </c>
      <c r="AI213" s="593" cm="1">
        <f t="array" ref="AI213">_xll.VAData("SKIN_US", AI$4, $B213, "consensus", "CD", "IMPL","", "")</f>
        <v>242.06934270685719</v>
      </c>
      <c r="AJ213" s="591" cm="1">
        <f t="array" ref="AJ213">_xll.VAData("SKIN_US", AJ$4, $B213, "consensus", "CD", "IMPL","", "")</f>
        <v>64.331157222601007</v>
      </c>
      <c r="AK213" s="591" cm="1">
        <f t="array" ref="AK213">_xll.VAData("SKIN_US", AK$4, $B213, "consensus", "CD", "IMPL","", "")</f>
        <v>66.065897148549098</v>
      </c>
      <c r="AL213" s="591" cm="1">
        <f t="array" ref="AL213">_xll.VAData("SKIN_US", AL$4, $B213, "consensus", "CD", "IMPL","", "")</f>
        <v>64.614700149118775</v>
      </c>
      <c r="AM213" s="591" cm="1">
        <f t="array" ref="AM213">_xll.VAData("SKIN_US", AM$4, $B213, "consensus", "CD", "IMPL","", "")</f>
        <v>62.676494382568826</v>
      </c>
      <c r="AN213" s="593" cm="1">
        <f t="array" ref="AN213">_xll.VAData("SKIN_US", AN$4, $B213, "consensus", "CD", "IMPL","", "")</f>
        <v>265.74742483186338</v>
      </c>
      <c r="AO213" s="591" cm="1">
        <f t="array" ref="AO213">_xll.VAData("SKIN_US", AO$4, $B213, "consensus", "CD", "IMPL","", "")</f>
        <v>66.741106213291033</v>
      </c>
      <c r="AP213" s="591" cm="1">
        <f t="array" ref="AP213">_xll.VAData("SKIN_US", AP$4, $B213, "consensus", "CD", "IMPL","", "")</f>
        <v>68.643248039482188</v>
      </c>
      <c r="AQ213" s="591" cm="1">
        <f t="array" ref="AQ213">_xll.VAData("SKIN_US", AQ$4, $B213, "consensus", "CD", "IMPL","", "")</f>
        <v>67.082595981273357</v>
      </c>
      <c r="AR213" s="591" cm="1">
        <f t="array" ref="AR213">_xll.VAData("SKIN_US", AR$4, $B213, "consensus", "CD", "IMPL","", "")</f>
        <v>64.484343428951462</v>
      </c>
      <c r="AS213" s="593" cm="1">
        <f t="array" ref="AS213">_xll.VAData("SKIN_US", AS$4, $B213, "consensus", "CD", "IMPL","", "")</f>
        <v>244.07727432394168</v>
      </c>
      <c r="AT213" s="458"/>
      <c r="AU213" s="508"/>
      <c r="AV213" s="143"/>
      <c r="AW213" s="143"/>
      <c r="AX213" s="143"/>
      <c r="AY213" s="143"/>
      <c r="AZ213" s="143"/>
      <c r="BA213" s="143"/>
      <c r="BB213" s="143"/>
      <c r="BC213" s="143"/>
      <c r="BD213" s="143"/>
      <c r="BE213" s="143"/>
      <c r="BF213" s="143"/>
      <c r="BG213" s="143"/>
      <c r="BH213" s="143"/>
      <c r="BI213" s="143"/>
      <c r="BJ213" s="143"/>
      <c r="BK213" s="143"/>
      <c r="BL213" s="143"/>
      <c r="BM213" s="143"/>
      <c r="BN213" s="143"/>
      <c r="BO213" s="143"/>
      <c r="BP213" s="143"/>
      <c r="BQ213" s="143"/>
    </row>
    <row r="214" spans="1:269">
      <c r="A214" s="281" t="s">
        <v>412</v>
      </c>
      <c r="B214" s="278"/>
      <c r="C214" s="277"/>
      <c r="D214" s="277"/>
      <c r="E214" s="277"/>
      <c r="F214" s="278"/>
      <c r="G214" s="278"/>
      <c r="H214" s="278">
        <v>5.6289999999999996</v>
      </c>
      <c r="I214" s="278">
        <v>61</v>
      </c>
      <c r="J214" s="277">
        <v>17.091999999999999</v>
      </c>
      <c r="K214" s="278"/>
      <c r="L214" s="278"/>
      <c r="M214" s="278">
        <v>5.6289999999999996</v>
      </c>
      <c r="N214" s="278">
        <v>61</v>
      </c>
      <c r="O214" s="277">
        <v>21.274999999999999</v>
      </c>
      <c r="P214" s="278">
        <v>5.6989999999999998</v>
      </c>
      <c r="Q214" s="278">
        <v>2.06</v>
      </c>
      <c r="R214" s="278">
        <v>0.53</v>
      </c>
      <c r="S214" s="278">
        <v>3.488</v>
      </c>
      <c r="T214" s="277">
        <v>11.776999999999999</v>
      </c>
      <c r="U214" s="278">
        <v>3.4</v>
      </c>
      <c r="V214" s="278">
        <v>3.2170000000000001</v>
      </c>
      <c r="W214" s="278">
        <v>3.38</v>
      </c>
      <c r="X214" s="278">
        <v>3.395</v>
      </c>
      <c r="Y214" s="277">
        <v>13.391999999999999</v>
      </c>
      <c r="Z214" s="278">
        <v>3.4</v>
      </c>
      <c r="AA214" s="278">
        <v>3.4</v>
      </c>
      <c r="AB214" s="278">
        <v>-3.4</v>
      </c>
      <c r="AC214" s="280">
        <f>AC215*(AB472-AB439)</f>
        <v>-3.4</v>
      </c>
      <c r="AD214" s="320">
        <f>SUM(Z214:AC214)</f>
        <v>0</v>
      </c>
      <c r="AE214" s="280">
        <f>AE215*(AD472-AD439)</f>
        <v>-1.7581589915125819</v>
      </c>
      <c r="AF214" s="280">
        <f>AF215*(AE472-AE439)</f>
        <v>-1.7350916328113182</v>
      </c>
      <c r="AG214" s="280">
        <f>AG215*(AF472-AF439)</f>
        <v>-1.6893152418841249</v>
      </c>
      <c r="AH214" s="280">
        <f>AH215*(AG472-AG439)</f>
        <v>-1.719108244841459</v>
      </c>
      <c r="AI214" s="288">
        <v>0</v>
      </c>
      <c r="AJ214" s="280">
        <f>AJ215*(AI472-AI439)</f>
        <v>-1.3297947409378914</v>
      </c>
      <c r="AK214" s="280">
        <f>AK215*(AJ472-AJ439)</f>
        <v>-1.0329839663469063</v>
      </c>
      <c r="AL214" s="280">
        <f>AL215*(AK472-AK439)</f>
        <v>-0.82028039110868789</v>
      </c>
      <c r="AM214" s="280">
        <f>AM215*(AL472-AL439)</f>
        <v>-0.36351585859061819</v>
      </c>
      <c r="AN214" s="288">
        <v>0</v>
      </c>
      <c r="AO214" s="280">
        <f>AO215*(AN472-AN439)</f>
        <v>0.14391175053858982</v>
      </c>
      <c r="AP214" s="280">
        <f>AP215*(AO472-AO439)</f>
        <v>0.62085825877607415</v>
      </c>
      <c r="AQ214" s="280">
        <f>AQ215*(AP472-AP439)</f>
        <v>0.92863232172854882</v>
      </c>
      <c r="AR214" s="280">
        <f>AR215*(AQ472-AQ439)</f>
        <v>1.5028656723241964</v>
      </c>
      <c r="AS214" s="288">
        <v>0</v>
      </c>
      <c r="AT214" s="462"/>
      <c r="AU214" s="508"/>
      <c r="AV214" s="143"/>
      <c r="AW214" s="143"/>
      <c r="AX214" s="143"/>
      <c r="AY214" s="143"/>
      <c r="AZ214" s="143"/>
      <c r="BA214" s="143"/>
      <c r="BB214" s="143"/>
      <c r="BC214" s="143"/>
      <c r="BD214" s="143"/>
      <c r="BE214" s="143"/>
      <c r="BF214" s="143"/>
      <c r="BG214" s="143"/>
      <c r="BH214" s="143"/>
      <c r="BI214" s="143"/>
      <c r="BJ214" s="143"/>
      <c r="BK214" s="143"/>
      <c r="BL214" s="143"/>
      <c r="BM214" s="143"/>
      <c r="BN214" s="143"/>
      <c r="BO214" s="143"/>
      <c r="BP214" s="143"/>
      <c r="BQ214" s="143"/>
    </row>
    <row r="215" spans="1:269">
      <c r="A215" s="319" t="s">
        <v>521</v>
      </c>
      <c r="B215" s="278"/>
      <c r="C215" s="277"/>
      <c r="D215" s="277"/>
      <c r="E215" s="277"/>
      <c r="F215" s="278"/>
      <c r="G215" s="278"/>
      <c r="H215" s="414" t="e">
        <f>H214/(H472-H439)</f>
        <v>#DIV/0!</v>
      </c>
      <c r="I215" s="414">
        <f>I214/(I472-I439)</f>
        <v>-6.4305292009276833E-3</v>
      </c>
      <c r="J215" s="417" t="e">
        <f>J214/(J472-J439)</f>
        <v>#DIV/0!</v>
      </c>
      <c r="K215" s="278"/>
      <c r="L215" s="278"/>
      <c r="M215" s="414" t="e">
        <f>M214/(M472-M439)</f>
        <v>#DIV/0!</v>
      </c>
      <c r="N215" s="414">
        <f>N214/(N472-N439)</f>
        <v>-6.4305292009276833E-3</v>
      </c>
      <c r="O215" s="417">
        <f>O214/(O472-O439)</f>
        <v>-2.2427788319628926E-3</v>
      </c>
      <c r="P215" s="414" t="e">
        <f>P214/(P472-P439)</f>
        <v>#DIV/0!</v>
      </c>
      <c r="Q215" s="414">
        <f>Q214/(Q472-Q439)</f>
        <v>-2.0302167207072251E-5</v>
      </c>
      <c r="R215" s="414">
        <f>R214/(R472-R439)</f>
        <v>5.1778038296209456E-5</v>
      </c>
      <c r="S215" s="414">
        <f>S214/(S472-S439)</f>
        <v>-2.0282371548856792E-5</v>
      </c>
      <c r="T215" s="417">
        <f>T214/(T472-T439)</f>
        <v>-6.8482078477891746E-5</v>
      </c>
      <c r="U215" s="414">
        <f>U214/(U472-U439)</f>
        <v>-2.6507414279699998E-5</v>
      </c>
      <c r="V215" s="414">
        <f>V214/(V472-V439)</f>
        <v>-3.6169638640912058E-5</v>
      </c>
      <c r="W215" s="414">
        <f>W214/(W472-W439)</f>
        <v>6.9151765620524569E-5</v>
      </c>
      <c r="X215" s="414">
        <f>X214/(X472-X439)</f>
        <v>2.0458462391380328E-5</v>
      </c>
      <c r="Y215" s="417">
        <f>Y214/(Y472-Y439)</f>
        <v>8.070095091174237E-5</v>
      </c>
      <c r="Z215" s="414">
        <f>Z214/(Z472-Z439)</f>
        <v>1.6755454146728499E-5</v>
      </c>
      <c r="AA215" s="414">
        <f>AA214/(AA472-AA439)</f>
        <v>1.8227728664175544E-5</v>
      </c>
      <c r="AB215" s="414">
        <f>AB214/(AB472-AB439)</f>
        <v>-1.9114976584153684E-5</v>
      </c>
      <c r="AC215" s="359">
        <f>AB215</f>
        <v>-1.9114976584153684E-5</v>
      </c>
      <c r="AD215" s="422">
        <f>AD214/(AD472-AD439)</f>
        <v>0</v>
      </c>
      <c r="AE215" s="359">
        <f>AC215</f>
        <v>-1.9114976584153684E-5</v>
      </c>
      <c r="AF215" s="359">
        <f>AE215</f>
        <v>-1.9114976584153684E-5</v>
      </c>
      <c r="AG215" s="359">
        <f t="shared" ref="AG215:AH215" si="517">AF215</f>
        <v>-1.9114976584153684E-5</v>
      </c>
      <c r="AH215" s="359">
        <f t="shared" si="517"/>
        <v>-1.9114976584153684E-5</v>
      </c>
      <c r="AI215" s="339">
        <f>AI214/(AI472-AI439)</f>
        <v>0</v>
      </c>
      <c r="AJ215" s="359">
        <f>AH215</f>
        <v>-1.9114976584153684E-5</v>
      </c>
      <c r="AK215" s="359">
        <f>AJ215</f>
        <v>-1.9114976584153684E-5</v>
      </c>
      <c r="AL215" s="359">
        <f t="shared" ref="AL215:AM215" si="518">AK215</f>
        <v>-1.9114976584153684E-5</v>
      </c>
      <c r="AM215" s="359">
        <f t="shared" si="518"/>
        <v>-1.9114976584153684E-5</v>
      </c>
      <c r="AN215" s="339">
        <f>AN214/(AN472-AN439)</f>
        <v>0</v>
      </c>
      <c r="AO215" s="359">
        <f>AM215</f>
        <v>-1.9114976584153684E-5</v>
      </c>
      <c r="AP215" s="359">
        <f>AO215</f>
        <v>-1.9114976584153684E-5</v>
      </c>
      <c r="AQ215" s="359">
        <f t="shared" ref="AQ215:AR215" si="519">AP215</f>
        <v>-1.9114976584153684E-5</v>
      </c>
      <c r="AR215" s="359">
        <f t="shared" si="519"/>
        <v>-1.9114976584153684E-5</v>
      </c>
      <c r="AS215" s="339">
        <f>AS214/(AS472-AS439)</f>
        <v>0</v>
      </c>
      <c r="AT215" s="462"/>
      <c r="AU215" s="508"/>
      <c r="AV215" s="143"/>
      <c r="AW215" s="143"/>
      <c r="AX215" s="143"/>
      <c r="AY215" s="143"/>
      <c r="AZ215" s="143"/>
      <c r="BA215" s="143"/>
      <c r="BB215" s="143"/>
      <c r="BC215" s="143"/>
      <c r="BD215" s="143"/>
      <c r="BE215" s="143"/>
      <c r="BF215" s="143"/>
      <c r="BG215" s="143"/>
      <c r="BH215" s="143"/>
      <c r="BI215" s="143"/>
      <c r="BJ215" s="143"/>
      <c r="BK215" s="143"/>
      <c r="BL215" s="143"/>
      <c r="BM215" s="143"/>
      <c r="BN215" s="143"/>
      <c r="BO215" s="143"/>
      <c r="BP215" s="143"/>
      <c r="BQ215" s="143"/>
    </row>
    <row r="216" spans="1:269">
      <c r="A216" s="281" t="s">
        <v>413</v>
      </c>
      <c r="B216" s="278"/>
      <c r="C216" s="277"/>
      <c r="D216" s="277"/>
      <c r="E216" s="277"/>
      <c r="F216" s="278"/>
      <c r="G216" s="278"/>
      <c r="H216" s="278">
        <v>-3.6999999999999922E-2</v>
      </c>
      <c r="I216" s="278">
        <v>5</v>
      </c>
      <c r="J216" s="277">
        <v>-0.69500000000000006</v>
      </c>
      <c r="K216" s="278"/>
      <c r="L216" s="278"/>
      <c r="M216" s="278">
        <v>-3.6999999999999922E-2</v>
      </c>
      <c r="N216" s="278">
        <v>5</v>
      </c>
      <c r="O216" s="310">
        <v>4.7E-2</v>
      </c>
      <c r="P216" s="278">
        <v>0.19900000000000001</v>
      </c>
      <c r="Q216" s="278">
        <v>112.83499999999999</v>
      </c>
      <c r="R216" s="278">
        <v>210.28800000000001</v>
      </c>
      <c r="S216" s="278">
        <v>5.548</v>
      </c>
      <c r="T216" s="277">
        <v>328.87</v>
      </c>
      <c r="U216" s="278">
        <v>-51.483000000000004</v>
      </c>
      <c r="V216" s="278">
        <v>-14.637</v>
      </c>
      <c r="W216" s="278">
        <v>-6.8309999999999995</v>
      </c>
      <c r="X216" s="278">
        <v>-9.7530000000000001</v>
      </c>
      <c r="Y216" s="277">
        <v>-82.704000000000008</v>
      </c>
      <c r="Z216" s="278">
        <v>5.3</v>
      </c>
      <c r="AA216" s="278">
        <v>-17.7</v>
      </c>
      <c r="AB216" s="278">
        <v>-8.5</v>
      </c>
      <c r="AC216" s="280">
        <f>AC217*AC158</f>
        <v>-2.2785239577543082</v>
      </c>
      <c r="AD216" s="320">
        <f>SUM(Z216:AC216)</f>
        <v>-23.178523957754308</v>
      </c>
      <c r="AE216" s="280">
        <f>AE217*AE158</f>
        <v>-2.1889008655256723</v>
      </c>
      <c r="AF216" s="280">
        <f>AF217*AF158</f>
        <v>-2.240244279614902</v>
      </c>
      <c r="AG216" s="280">
        <f>AG217*AG158</f>
        <v>-3.3668329488331477</v>
      </c>
      <c r="AH216" s="280">
        <f>AH217*AH158</f>
        <v>-3.9507211247517606</v>
      </c>
      <c r="AI216" s="320">
        <f>SUM(AE216:AH216)</f>
        <v>-11.746699218725482</v>
      </c>
      <c r="AJ216" s="280">
        <f>AJ217*AJ158</f>
        <v>-3.8736171480090036</v>
      </c>
      <c r="AK216" s="280">
        <f>AK217*AK158</f>
        <v>-4.7402156430189395</v>
      </c>
      <c r="AL216" s="280">
        <f>AL217*AL158</f>
        <v>-4.5876338887836292</v>
      </c>
      <c r="AM216" s="280">
        <f>AM217*AM158</f>
        <v>-5.0109203374982858</v>
      </c>
      <c r="AN216" s="320">
        <f>SUM(AJ216:AM216)</f>
        <v>-18.212387017309858</v>
      </c>
      <c r="AO216" s="280">
        <f>AO217*AO158</f>
        <v>-4.5407362680133261</v>
      </c>
      <c r="AP216" s="280">
        <f>AP217*AP158</f>
        <v>-5.3992939415542924</v>
      </c>
      <c r="AQ216" s="280">
        <f>AQ217*AQ158</f>
        <v>-5.0810515884004239</v>
      </c>
      <c r="AR216" s="280">
        <f>AR217*AR158</f>
        <v>-5.9273398433876281</v>
      </c>
      <c r="AS216" s="320">
        <f>SUM(AO216:AR216)</f>
        <v>-20.948421641355672</v>
      </c>
      <c r="AT216" s="462"/>
      <c r="AU216" s="508"/>
      <c r="AV216" s="143"/>
      <c r="AW216" s="143"/>
      <c r="AX216" s="143"/>
      <c r="AY216" s="143"/>
      <c r="AZ216" s="143"/>
      <c r="BA216" s="143"/>
      <c r="BB216" s="143"/>
      <c r="BC216" s="143"/>
      <c r="BD216" s="143"/>
      <c r="BE216" s="143"/>
      <c r="BF216" s="143"/>
      <c r="BG216" s="143"/>
      <c r="BH216" s="143"/>
      <c r="BI216" s="143"/>
      <c r="BJ216" s="143"/>
      <c r="BK216" s="143"/>
      <c r="BL216" s="143"/>
      <c r="BM216" s="143"/>
      <c r="BN216" s="143"/>
      <c r="BO216" s="143"/>
      <c r="BP216" s="143"/>
      <c r="BQ216" s="143"/>
    </row>
    <row r="217" spans="1:269">
      <c r="A217" s="319" t="s">
        <v>519</v>
      </c>
      <c r="B217" s="278"/>
      <c r="C217" s="277"/>
      <c r="D217" s="277"/>
      <c r="E217" s="277"/>
      <c r="F217" s="278"/>
      <c r="G217" s="278"/>
      <c r="H217" s="414">
        <f>H216/H158</f>
        <v>-9.2499999999999809E-4</v>
      </c>
      <c r="I217" s="414">
        <f>I216/I158</f>
        <v>0.1</v>
      </c>
      <c r="J217" s="417">
        <f>J216/J158</f>
        <v>-4.1616766467065872E-3</v>
      </c>
      <c r="K217" s="278"/>
      <c r="L217" s="278"/>
      <c r="M217" s="414">
        <f>M216/M158</f>
        <v>-1.0724637681159398E-3</v>
      </c>
      <c r="N217" s="414">
        <f>N216/N158</f>
        <v>0.13192612137203166</v>
      </c>
      <c r="O217" s="417">
        <f>O216/O158</f>
        <v>3.9465287340879321E-4</v>
      </c>
      <c r="P217" s="414">
        <f>P216/P158</f>
        <v>4.1894736842105268E-3</v>
      </c>
      <c r="Q217" s="414">
        <f>Q216/Q158</f>
        <v>1.6967669172932329</v>
      </c>
      <c r="R217" s="414">
        <f>R216/R158</f>
        <v>3.0857998151055805</v>
      </c>
      <c r="S217" s="414">
        <f>S216/S158</f>
        <v>7.1219512195121945E-2</v>
      </c>
      <c r="T217" s="417">
        <f>T216/T158</f>
        <v>1.2646560044914956</v>
      </c>
      <c r="U217" s="414">
        <f>U216/U158</f>
        <v>-0.68266260027845926</v>
      </c>
      <c r="V217" s="414">
        <f>V216/V158</f>
        <v>-0.14137111729253593</v>
      </c>
      <c r="W217" s="414">
        <f>W216/W158</f>
        <v>-7.6932606541129822E-2</v>
      </c>
      <c r="X217" s="414">
        <f>X216/X158</f>
        <v>-9.9385527804102605E-2</v>
      </c>
      <c r="Y217" s="417">
        <f>Y216/Y158</f>
        <v>-0.22604379625884183</v>
      </c>
      <c r="Z217" s="414">
        <f>Z216/Z158</f>
        <v>6.1413673232908458E-2</v>
      </c>
      <c r="AA217" s="414">
        <f>AA216/AA158</f>
        <v>-0.15063829787234043</v>
      </c>
      <c r="AB217" s="414">
        <f>AB216/AB158</f>
        <v>-8.7268993839835718E-2</v>
      </c>
      <c r="AC217" s="359">
        <v>-0.05</v>
      </c>
      <c r="AD217" s="422">
        <f>AD216/AD158</f>
        <v>-6.6852099359501607E-2</v>
      </c>
      <c r="AE217" s="359">
        <v>-0.05</v>
      </c>
      <c r="AF217" s="359">
        <v>-0.05</v>
      </c>
      <c r="AG217" s="359">
        <v>-0.05</v>
      </c>
      <c r="AH217" s="359">
        <v>-0.05</v>
      </c>
      <c r="AI217" s="422">
        <f>AI216/AI158</f>
        <v>-0.05</v>
      </c>
      <c r="AJ217" s="359">
        <v>-0.05</v>
      </c>
      <c r="AK217" s="359">
        <v>-0.05</v>
      </c>
      <c r="AL217" s="359">
        <v>-0.05</v>
      </c>
      <c r="AM217" s="359">
        <v>-0.05</v>
      </c>
      <c r="AN217" s="422">
        <f>AN216/AN158</f>
        <v>-0.05</v>
      </c>
      <c r="AO217" s="359">
        <v>-0.05</v>
      </c>
      <c r="AP217" s="359">
        <v>-0.05</v>
      </c>
      <c r="AQ217" s="359">
        <v>-0.05</v>
      </c>
      <c r="AR217" s="359">
        <v>-0.05</v>
      </c>
      <c r="AS217" s="422">
        <f>AS216/AS158</f>
        <v>-5.000000000000001E-2</v>
      </c>
      <c r="AT217" s="462"/>
      <c r="AU217" s="508"/>
      <c r="AV217" s="143"/>
      <c r="AW217" s="143"/>
      <c r="AX217" s="143"/>
      <c r="AY217" s="143"/>
      <c r="AZ217" s="143"/>
      <c r="BA217" s="143"/>
      <c r="BB217" s="143"/>
      <c r="BC217" s="143"/>
      <c r="BD217" s="143"/>
      <c r="BE217" s="143"/>
      <c r="BF217" s="143"/>
      <c r="BG217" s="143"/>
      <c r="BH217" s="143"/>
      <c r="BI217" s="143"/>
      <c r="BJ217" s="143"/>
      <c r="BK217" s="143"/>
      <c r="BL217" s="143"/>
      <c r="BM217" s="143"/>
      <c r="BN217" s="143"/>
      <c r="BO217" s="143"/>
      <c r="BP217" s="143"/>
      <c r="BQ217" s="143"/>
    </row>
    <row r="218" spans="1:269" s="81" customFormat="1">
      <c r="A218" s="416"/>
      <c r="B218" s="312"/>
      <c r="C218" s="310"/>
      <c r="D218" s="310"/>
      <c r="E218" s="310"/>
      <c r="F218" s="312"/>
      <c r="G218" s="312"/>
      <c r="H218" s="312"/>
      <c r="I218" s="312"/>
      <c r="J218" s="310"/>
      <c r="K218" s="312"/>
      <c r="L218" s="312"/>
      <c r="M218" s="312"/>
      <c r="N218" s="312"/>
      <c r="O218" s="277"/>
      <c r="P218" s="312"/>
      <c r="Q218" s="312"/>
      <c r="R218" s="312"/>
      <c r="S218" s="312"/>
      <c r="T218" s="310"/>
      <c r="U218" s="312"/>
      <c r="V218" s="312"/>
      <c r="W218" s="312"/>
      <c r="X218" s="312"/>
      <c r="Y218" s="310"/>
      <c r="Z218" s="312"/>
      <c r="AA218" s="312"/>
      <c r="AB218" s="312"/>
      <c r="AC218" s="312"/>
      <c r="AD218" s="321"/>
      <c r="AE218" s="311"/>
      <c r="AF218" s="311"/>
      <c r="AG218" s="82"/>
      <c r="AH218" s="82"/>
      <c r="AI218" s="331"/>
      <c r="AJ218" s="82"/>
      <c r="AK218" s="82"/>
      <c r="AL218" s="82"/>
      <c r="AM218" s="82"/>
      <c r="AN218" s="331"/>
      <c r="AO218" s="82"/>
      <c r="AP218" s="82"/>
      <c r="AQ218" s="82"/>
      <c r="AR218" s="82"/>
      <c r="AS218" s="331"/>
      <c r="AT218" s="454"/>
      <c r="AU218" s="508"/>
      <c r="BR218" s="438"/>
      <c r="BS218" s="438"/>
      <c r="BT218" s="438"/>
      <c r="BU218" s="438"/>
      <c r="BV218" s="438"/>
      <c r="BW218" s="438"/>
      <c r="BX218" s="438"/>
      <c r="BY218" s="438"/>
      <c r="BZ218" s="438"/>
      <c r="CA218" s="438"/>
      <c r="CB218" s="438"/>
      <c r="CC218" s="438"/>
      <c r="CD218" s="438"/>
      <c r="CE218" s="438"/>
      <c r="CF218" s="438"/>
      <c r="CG218" s="438"/>
      <c r="CH218" s="438"/>
      <c r="CI218" s="438"/>
      <c r="CJ218" s="438"/>
      <c r="CK218" s="438"/>
      <c r="CL218" s="438"/>
      <c r="CM218" s="438"/>
      <c r="CN218" s="438"/>
      <c r="CO218" s="438"/>
      <c r="CP218" s="438"/>
      <c r="CQ218" s="438"/>
      <c r="CR218" s="438"/>
      <c r="CS218" s="438"/>
      <c r="CT218" s="438"/>
      <c r="CU218" s="438"/>
      <c r="CV218" s="438"/>
      <c r="CW218" s="438"/>
      <c r="CX218" s="438"/>
      <c r="CY218" s="438"/>
      <c r="CZ218" s="438"/>
      <c r="DA218" s="438"/>
      <c r="DB218" s="438"/>
      <c r="DC218" s="438"/>
      <c r="DD218" s="438"/>
      <c r="DE218" s="438"/>
      <c r="DF218" s="438"/>
      <c r="DG218" s="438"/>
      <c r="DH218" s="438"/>
      <c r="DI218" s="438"/>
      <c r="DJ218" s="438"/>
      <c r="DK218" s="438"/>
      <c r="DL218" s="438"/>
      <c r="DM218" s="438"/>
      <c r="DN218" s="438"/>
      <c r="DO218" s="438"/>
      <c r="DP218" s="438"/>
      <c r="DQ218" s="438"/>
      <c r="DR218" s="438"/>
      <c r="DS218" s="438"/>
      <c r="DT218" s="438"/>
      <c r="DU218" s="438"/>
      <c r="DV218" s="438"/>
      <c r="DW218" s="438"/>
      <c r="DX218" s="438"/>
      <c r="DY218" s="438"/>
      <c r="DZ218" s="438"/>
      <c r="EA218" s="438"/>
      <c r="EB218" s="438"/>
      <c r="EC218" s="438"/>
      <c r="ED218" s="438"/>
      <c r="EE218" s="438"/>
      <c r="EF218" s="438"/>
      <c r="EG218" s="438"/>
      <c r="EH218" s="438"/>
      <c r="EI218" s="438"/>
      <c r="EJ218" s="438"/>
      <c r="EK218" s="438"/>
      <c r="EL218" s="438"/>
      <c r="EM218" s="438"/>
      <c r="EN218" s="438"/>
      <c r="EO218" s="438"/>
      <c r="EP218" s="438"/>
      <c r="EQ218" s="438"/>
      <c r="ER218" s="438"/>
      <c r="ES218" s="438"/>
      <c r="ET218" s="438"/>
      <c r="EU218" s="438"/>
      <c r="EV218" s="438"/>
      <c r="EW218" s="438"/>
      <c r="EX218" s="438"/>
      <c r="EY218" s="438"/>
      <c r="EZ218" s="438"/>
      <c r="FA218" s="438"/>
      <c r="FB218" s="438"/>
      <c r="FC218" s="438"/>
      <c r="FD218" s="438"/>
      <c r="FE218" s="438"/>
      <c r="FF218" s="438"/>
      <c r="FG218" s="438"/>
      <c r="FH218" s="438"/>
      <c r="FI218" s="438"/>
      <c r="FJ218" s="438"/>
      <c r="FK218" s="438"/>
      <c r="FL218" s="438"/>
      <c r="FM218" s="438"/>
      <c r="FN218" s="438"/>
      <c r="FO218" s="438"/>
      <c r="FP218" s="438"/>
      <c r="FQ218" s="438"/>
      <c r="FR218" s="438"/>
      <c r="FS218" s="438"/>
      <c r="FT218" s="438"/>
      <c r="FU218" s="438"/>
      <c r="FV218" s="438"/>
      <c r="FW218" s="438"/>
      <c r="FX218" s="438"/>
      <c r="FY218" s="438"/>
      <c r="FZ218" s="438"/>
      <c r="GA218" s="438"/>
      <c r="GB218" s="438"/>
      <c r="GC218" s="438"/>
      <c r="GD218" s="438"/>
      <c r="GE218" s="438"/>
      <c r="GF218" s="438"/>
      <c r="GG218" s="438"/>
      <c r="GH218" s="438"/>
      <c r="GI218" s="438"/>
      <c r="GJ218" s="438"/>
      <c r="GK218" s="438"/>
      <c r="GL218" s="438"/>
      <c r="GM218" s="438"/>
      <c r="GN218" s="438"/>
      <c r="GO218" s="438"/>
      <c r="GP218" s="438"/>
      <c r="GQ218" s="438"/>
      <c r="GR218" s="438"/>
      <c r="GS218" s="438"/>
      <c r="GT218" s="438"/>
      <c r="GU218" s="438"/>
      <c r="GV218" s="438"/>
      <c r="GW218" s="438"/>
      <c r="GX218" s="438"/>
      <c r="GY218" s="438"/>
      <c r="GZ218" s="438"/>
      <c r="HA218" s="438"/>
      <c r="HB218" s="438"/>
      <c r="HC218" s="438"/>
      <c r="HD218" s="438"/>
      <c r="HE218" s="438"/>
      <c r="HF218" s="438"/>
      <c r="HG218" s="438"/>
      <c r="HH218" s="438"/>
      <c r="HI218" s="438"/>
      <c r="HJ218" s="438"/>
      <c r="HK218" s="438"/>
      <c r="HL218" s="438"/>
      <c r="HM218" s="438"/>
      <c r="HN218" s="438"/>
      <c r="HO218" s="438"/>
      <c r="HP218" s="438"/>
      <c r="HQ218" s="438"/>
      <c r="HR218" s="438"/>
      <c r="HS218" s="438"/>
      <c r="HT218" s="438"/>
      <c r="HU218" s="438"/>
      <c r="HV218" s="438"/>
      <c r="HW218" s="438"/>
      <c r="HX218" s="438"/>
      <c r="HY218" s="438"/>
      <c r="HZ218" s="438"/>
      <c r="IA218" s="438"/>
      <c r="IB218" s="438"/>
      <c r="IC218" s="438"/>
      <c r="ID218" s="438"/>
      <c r="IE218" s="438"/>
      <c r="IF218" s="438"/>
      <c r="IG218" s="438"/>
      <c r="IH218" s="438"/>
      <c r="II218" s="438"/>
      <c r="IJ218" s="438"/>
      <c r="IK218" s="438"/>
      <c r="IL218" s="438"/>
      <c r="IM218" s="438"/>
      <c r="IN218" s="438"/>
      <c r="IO218" s="438"/>
      <c r="IP218" s="438"/>
      <c r="IQ218" s="438"/>
      <c r="IR218" s="438"/>
      <c r="IS218" s="438"/>
      <c r="IT218" s="438"/>
      <c r="IU218" s="438"/>
      <c r="IV218" s="438"/>
      <c r="IW218" s="438"/>
      <c r="IX218" s="438"/>
      <c r="IY218" s="438"/>
      <c r="IZ218" s="438"/>
      <c r="JA218" s="438"/>
      <c r="JB218" s="438"/>
      <c r="JC218" s="438"/>
      <c r="JD218" s="438"/>
      <c r="JE218" s="438"/>
      <c r="JF218" s="438"/>
      <c r="JG218" s="438"/>
      <c r="JH218" s="438"/>
      <c r="JI218" s="438"/>
    </row>
    <row r="219" spans="1:269">
      <c r="A219" s="435" t="s">
        <v>419</v>
      </c>
      <c r="B219" s="278"/>
      <c r="C219" s="277"/>
      <c r="D219" s="277"/>
      <c r="E219" s="277"/>
      <c r="F219" s="278"/>
      <c r="G219" s="278"/>
      <c r="H219" s="278">
        <v>-2.8069999999999995</v>
      </c>
      <c r="I219" s="278">
        <v>-66</v>
      </c>
      <c r="J219" s="277">
        <v>-2.9349999999999987</v>
      </c>
      <c r="K219" s="278"/>
      <c r="L219" s="278"/>
      <c r="M219" s="278">
        <v>-2.8069999999999995</v>
      </c>
      <c r="N219" s="278">
        <v>-66</v>
      </c>
      <c r="O219" s="310">
        <v>-38.503999999999998</v>
      </c>
      <c r="P219" s="278">
        <v>-3.4979999999999998</v>
      </c>
      <c r="Q219" s="278">
        <v>-138.71699999999998</v>
      </c>
      <c r="R219" s="278">
        <v>-213.61500000000001</v>
      </c>
      <c r="S219" s="278">
        <v>-16.236999999999995</v>
      </c>
      <c r="T219" s="277">
        <v>-372.06700000000001</v>
      </c>
      <c r="U219" s="278">
        <v>35.122</v>
      </c>
      <c r="V219" s="278">
        <v>8.0069999999999961</v>
      </c>
      <c r="W219" s="278">
        <v>4.3819999999999979</v>
      </c>
      <c r="X219" s="278">
        <v>16.61099999999999</v>
      </c>
      <c r="Y219" s="277">
        <v>64.121999999999986</v>
      </c>
      <c r="Z219" s="278">
        <v>-9.1000000000000085</v>
      </c>
      <c r="AA219" s="278">
        <v>23.900000000000006</v>
      </c>
      <c r="AB219" s="278">
        <v>12.900000000000009</v>
      </c>
      <c r="AC219" s="280">
        <f>AC209-AC214-AC216</f>
        <v>-2.2536451229324821</v>
      </c>
      <c r="AD219" s="320">
        <f>SUM(Z219:AC219)</f>
        <v>25.446354877067524</v>
      </c>
      <c r="AE219" s="280">
        <f t="shared" ref="AE219:AH219" si="520">AE209-AE214-AE216</f>
        <v>-11.294234578347258</v>
      </c>
      <c r="AF219" s="280">
        <f t="shared" si="520"/>
        <v>-12.086733929146224</v>
      </c>
      <c r="AG219" s="280">
        <f t="shared" si="520"/>
        <v>0.19499340276017474</v>
      </c>
      <c r="AH219" s="280">
        <f t="shared" si="520"/>
        <v>14.808678678853138</v>
      </c>
      <c r="AI219" s="320">
        <f>SUM(AE219:AH219)</f>
        <v>-8.3772964258801679</v>
      </c>
      <c r="AJ219" s="280">
        <f t="shared" ref="AJ219:AM219" si="521">AJ209-AJ214-AJ216</f>
        <v>2.3555341553905427</v>
      </c>
      <c r="AK219" s="280">
        <f t="shared" si="521"/>
        <v>11.832737083270658</v>
      </c>
      <c r="AL219" s="280">
        <f t="shared" si="521"/>
        <v>10.874860436484632</v>
      </c>
      <c r="AM219" s="280">
        <f t="shared" si="521"/>
        <v>23.942386648107764</v>
      </c>
      <c r="AN219" s="320">
        <f>SUM(AJ219:AM219)</f>
        <v>49.005518323253597</v>
      </c>
      <c r="AO219" s="280">
        <f t="shared" ref="AO219:AR219" si="522">AO209-AO214-AO216</f>
        <v>7.603176422690356</v>
      </c>
      <c r="AP219" s="280">
        <f t="shared" si="522"/>
        <v>18.587260708381471</v>
      </c>
      <c r="AQ219" s="280">
        <f t="shared" si="522"/>
        <v>16.474658822277668</v>
      </c>
      <c r="AR219" s="280">
        <f t="shared" si="522"/>
        <v>33.219711011298806</v>
      </c>
      <c r="AS219" s="320">
        <f>SUM(AO219:AR219)</f>
        <v>75.884806964648305</v>
      </c>
      <c r="AU219" s="508"/>
      <c r="AV219" s="143"/>
      <c r="AW219" s="143"/>
      <c r="AX219" s="143"/>
      <c r="AY219" s="143"/>
      <c r="AZ219" s="143"/>
      <c r="BA219" s="143"/>
      <c r="BB219" s="143"/>
      <c r="BC219" s="143"/>
      <c r="BD219" s="143"/>
      <c r="BE219" s="143"/>
      <c r="BF219" s="143"/>
      <c r="BG219" s="143"/>
      <c r="BH219" s="143"/>
      <c r="BI219" s="143"/>
      <c r="BJ219" s="143"/>
      <c r="BK219" s="143"/>
      <c r="BL219" s="143"/>
      <c r="BM219" s="143"/>
      <c r="BN219" s="143"/>
      <c r="BO219" s="143"/>
      <c r="BP219" s="143"/>
      <c r="BQ219" s="143"/>
    </row>
    <row r="220" spans="1:269" s="313" customFormat="1">
      <c r="A220" s="418" t="s">
        <v>414</v>
      </c>
      <c r="B220" s="278"/>
      <c r="C220" s="277"/>
      <c r="D220" s="277"/>
      <c r="E220" s="277"/>
      <c r="F220" s="278"/>
      <c r="G220" s="278"/>
      <c r="H220" s="278">
        <v>-0.59299999999999997</v>
      </c>
      <c r="I220" s="278">
        <v>-19.8</v>
      </c>
      <c r="J220" s="277">
        <v>-1.2969999999999999</v>
      </c>
      <c r="K220" s="278"/>
      <c r="L220" s="278"/>
      <c r="M220" s="278">
        <v>-0.59299999999999997</v>
      </c>
      <c r="N220" s="278">
        <v>-19.8</v>
      </c>
      <c r="O220" s="277">
        <v>-9.3079999999999998</v>
      </c>
      <c r="P220" s="278">
        <v>-0.30599999999999999</v>
      </c>
      <c r="Q220" s="278">
        <v>-1.87</v>
      </c>
      <c r="R220" s="278">
        <v>-1.129</v>
      </c>
      <c r="S220" s="278">
        <v>1.0629999999999999</v>
      </c>
      <c r="T220" s="277">
        <v>-2.242</v>
      </c>
      <c r="U220" s="278">
        <v>2.6150000000000002</v>
      </c>
      <c r="V220" s="278">
        <v>7.5999999999999998E-2</v>
      </c>
      <c r="W220" s="278">
        <v>-0.82099999999999995</v>
      </c>
      <c r="X220" s="278">
        <v>-1.222</v>
      </c>
      <c r="Y220" s="277">
        <v>0.64800000000000035</v>
      </c>
      <c r="Z220" s="278">
        <v>-3.7</v>
      </c>
      <c r="AA220" s="278">
        <v>-2.2000000000000002</v>
      </c>
      <c r="AB220" s="278">
        <v>3.5</v>
      </c>
      <c r="AC220" s="280">
        <f>AC221*AC219</f>
        <v>0</v>
      </c>
      <c r="AD220" s="320">
        <f>SUM(Z220:AC220)</f>
        <v>-2.4000000000000004</v>
      </c>
      <c r="AE220" s="280">
        <f t="shared" ref="AE220:AH220" si="523">AE221*AE219</f>
        <v>0</v>
      </c>
      <c r="AF220" s="280">
        <f t="shared" si="523"/>
        <v>0</v>
      </c>
      <c r="AG220" s="280">
        <f t="shared" si="523"/>
        <v>0</v>
      </c>
      <c r="AH220" s="280">
        <f t="shared" si="523"/>
        <v>0</v>
      </c>
      <c r="AI220" s="320">
        <f>SUM(AE220:AH220)</f>
        <v>0</v>
      </c>
      <c r="AJ220" s="280">
        <f t="shared" ref="AJ220" si="524">AJ221*AJ219</f>
        <v>0.47110683107810858</v>
      </c>
      <c r="AK220" s="280">
        <f t="shared" ref="AK220" si="525">AK221*AK219</f>
        <v>2.3665474166541318</v>
      </c>
      <c r="AL220" s="280">
        <f t="shared" ref="AL220" si="526">AL221*AL219</f>
        <v>2.1749720872969265</v>
      </c>
      <c r="AM220" s="280">
        <f t="shared" ref="AM220" si="527">AM221*AM219</f>
        <v>4.7884773296215526</v>
      </c>
      <c r="AN220" s="320">
        <f>SUM(AJ220:AM220)</f>
        <v>9.8011036646507197</v>
      </c>
      <c r="AO220" s="280">
        <f t="shared" ref="AO220" si="528">AO221*AO219</f>
        <v>1.5206352845380713</v>
      </c>
      <c r="AP220" s="280">
        <f t="shared" ref="AP220" si="529">AP221*AP219</f>
        <v>3.7174521416762945</v>
      </c>
      <c r="AQ220" s="280">
        <f t="shared" ref="AQ220" si="530">AQ221*AQ219</f>
        <v>3.2949317644555336</v>
      </c>
      <c r="AR220" s="280">
        <f t="shared" ref="AR220" si="531">AR221*AR219</f>
        <v>6.6439422022597618</v>
      </c>
      <c r="AS220" s="320">
        <f>SUM(AO220:AR220)</f>
        <v>15.176961392929661</v>
      </c>
      <c r="AT220" s="461"/>
      <c r="AU220" s="547"/>
      <c r="BR220" s="531"/>
      <c r="BS220" s="531"/>
      <c r="BT220" s="531"/>
      <c r="BU220" s="531"/>
      <c r="BV220" s="531"/>
      <c r="BW220" s="531"/>
      <c r="BX220" s="531"/>
      <c r="BY220" s="531"/>
      <c r="BZ220" s="531"/>
      <c r="CA220" s="531"/>
      <c r="CB220" s="531"/>
      <c r="CC220" s="531"/>
      <c r="CD220" s="531"/>
      <c r="CE220" s="531"/>
      <c r="CF220" s="531"/>
      <c r="CG220" s="531"/>
      <c r="CH220" s="531"/>
      <c r="CI220" s="531"/>
      <c r="CJ220" s="531"/>
      <c r="CK220" s="531"/>
      <c r="CL220" s="531"/>
      <c r="CM220" s="531"/>
      <c r="CN220" s="531"/>
      <c r="CO220" s="531"/>
      <c r="CP220" s="531"/>
      <c r="CQ220" s="531"/>
      <c r="CR220" s="531"/>
      <c r="CS220" s="531"/>
      <c r="CT220" s="531"/>
      <c r="CU220" s="531"/>
      <c r="CV220" s="531"/>
      <c r="CW220" s="531"/>
      <c r="CX220" s="531"/>
      <c r="CY220" s="531"/>
      <c r="CZ220" s="531"/>
      <c r="DA220" s="531"/>
      <c r="DB220" s="531"/>
      <c r="DC220" s="531"/>
      <c r="DD220" s="531"/>
      <c r="DE220" s="531"/>
      <c r="DF220" s="531"/>
      <c r="DG220" s="531"/>
      <c r="DH220" s="531"/>
      <c r="DI220" s="531"/>
      <c r="DJ220" s="531"/>
      <c r="DK220" s="531"/>
      <c r="DL220" s="531"/>
      <c r="DM220" s="531"/>
      <c r="DN220" s="531"/>
      <c r="DO220" s="531"/>
      <c r="DP220" s="531"/>
      <c r="DQ220" s="531"/>
      <c r="DR220" s="531"/>
      <c r="DS220" s="531"/>
      <c r="DT220" s="531"/>
      <c r="DU220" s="531"/>
      <c r="DV220" s="531"/>
      <c r="DW220" s="531"/>
      <c r="DX220" s="531"/>
      <c r="DY220" s="531"/>
      <c r="DZ220" s="531"/>
      <c r="EA220" s="531"/>
      <c r="EB220" s="531"/>
      <c r="EC220" s="531"/>
      <c r="ED220" s="531"/>
      <c r="EE220" s="531"/>
      <c r="EF220" s="531"/>
      <c r="EG220" s="531"/>
      <c r="EH220" s="531"/>
      <c r="EI220" s="531"/>
      <c r="EJ220" s="531"/>
      <c r="EK220" s="531"/>
      <c r="EL220" s="531"/>
      <c r="EM220" s="531"/>
      <c r="EN220" s="531"/>
      <c r="EO220" s="531"/>
      <c r="EP220" s="531"/>
      <c r="EQ220" s="531"/>
      <c r="ER220" s="531"/>
      <c r="ES220" s="531"/>
      <c r="ET220" s="531"/>
      <c r="EU220" s="531"/>
      <c r="EV220" s="531"/>
      <c r="EW220" s="531"/>
      <c r="EX220" s="531"/>
      <c r="EY220" s="531"/>
      <c r="EZ220" s="531"/>
      <c r="FA220" s="531"/>
      <c r="FB220" s="531"/>
      <c r="FC220" s="531"/>
      <c r="FD220" s="531"/>
      <c r="FE220" s="531"/>
      <c r="FF220" s="531"/>
      <c r="FG220" s="531"/>
      <c r="FH220" s="531"/>
      <c r="FI220" s="531"/>
      <c r="FJ220" s="531"/>
      <c r="FK220" s="531"/>
      <c r="FL220" s="531"/>
      <c r="FM220" s="531"/>
      <c r="FN220" s="531"/>
      <c r="FO220" s="531"/>
      <c r="FP220" s="531"/>
      <c r="FQ220" s="531"/>
      <c r="FR220" s="531"/>
      <c r="FS220" s="531"/>
      <c r="FT220" s="531"/>
      <c r="FU220" s="531"/>
      <c r="FV220" s="531"/>
      <c r="FW220" s="531"/>
      <c r="FX220" s="531"/>
      <c r="FY220" s="531"/>
      <c r="FZ220" s="531"/>
      <c r="GA220" s="531"/>
      <c r="GB220" s="531"/>
      <c r="GC220" s="531"/>
      <c r="GD220" s="531"/>
      <c r="GE220" s="531"/>
      <c r="GF220" s="531"/>
      <c r="GG220" s="531"/>
      <c r="GH220" s="531"/>
      <c r="GI220" s="531"/>
      <c r="GJ220" s="531"/>
      <c r="GK220" s="531"/>
      <c r="GL220" s="531"/>
      <c r="GM220" s="531"/>
      <c r="GN220" s="531"/>
      <c r="GO220" s="531"/>
      <c r="GP220" s="531"/>
      <c r="GQ220" s="531"/>
      <c r="GR220" s="531"/>
      <c r="GS220" s="531"/>
      <c r="GT220" s="531"/>
      <c r="GU220" s="531"/>
      <c r="GV220" s="531"/>
      <c r="GW220" s="531"/>
      <c r="GX220" s="531"/>
      <c r="GY220" s="531"/>
      <c r="GZ220" s="531"/>
      <c r="HA220" s="531"/>
      <c r="HB220" s="531"/>
      <c r="HC220" s="531"/>
      <c r="HD220" s="531"/>
      <c r="HE220" s="531"/>
      <c r="HF220" s="531"/>
      <c r="HG220" s="531"/>
      <c r="HH220" s="531"/>
      <c r="HI220" s="531"/>
      <c r="HJ220" s="531"/>
      <c r="HK220" s="531"/>
      <c r="HL220" s="531"/>
      <c r="HM220" s="531"/>
      <c r="HN220" s="531"/>
      <c r="HO220" s="531"/>
      <c r="HP220" s="531"/>
      <c r="HQ220" s="531"/>
      <c r="HR220" s="531"/>
      <c r="HS220" s="531"/>
      <c r="HT220" s="531"/>
      <c r="HU220" s="531"/>
      <c r="HV220" s="531"/>
      <c r="HW220" s="531"/>
      <c r="HX220" s="531"/>
      <c r="HY220" s="531"/>
      <c r="HZ220" s="531"/>
      <c r="IA220" s="531"/>
      <c r="IB220" s="531"/>
      <c r="IC220" s="531"/>
      <c r="ID220" s="531"/>
      <c r="IE220" s="531"/>
      <c r="IF220" s="531"/>
      <c r="IG220" s="531"/>
      <c r="IH220" s="531"/>
      <c r="II220" s="531"/>
      <c r="IJ220" s="531"/>
      <c r="IK220" s="531"/>
      <c r="IL220" s="531"/>
      <c r="IM220" s="531"/>
      <c r="IN220" s="531"/>
      <c r="IO220" s="531"/>
      <c r="IP220" s="531"/>
      <c r="IQ220" s="531"/>
      <c r="IR220" s="531"/>
      <c r="IS220" s="531"/>
      <c r="IT220" s="531"/>
      <c r="IU220" s="531"/>
      <c r="IV220" s="531"/>
      <c r="IW220" s="531"/>
      <c r="IX220" s="531"/>
      <c r="IY220" s="531"/>
      <c r="IZ220" s="531"/>
      <c r="JA220" s="531"/>
      <c r="JB220" s="531"/>
      <c r="JC220" s="531"/>
      <c r="JD220" s="531"/>
      <c r="JE220" s="531"/>
      <c r="JF220" s="531"/>
      <c r="JG220" s="531"/>
      <c r="JH220" s="531"/>
      <c r="JI220" s="531"/>
    </row>
    <row r="221" spans="1:269" s="313" customFormat="1">
      <c r="A221" s="419" t="s">
        <v>516</v>
      </c>
      <c r="B221" s="278"/>
      <c r="C221" s="277"/>
      <c r="D221" s="277"/>
      <c r="E221" s="277"/>
      <c r="F221" s="280" t="e">
        <f t="shared" ref="F221" si="532">F220/F219</f>
        <v>#DIV/0!</v>
      </c>
      <c r="G221" s="280" t="e">
        <f t="shared" ref="G221" si="533">G220/G219</f>
        <v>#DIV/0!</v>
      </c>
      <c r="H221" s="414">
        <f t="shared" ref="H221" si="534">H220/H219</f>
        <v>0.21125757035981477</v>
      </c>
      <c r="I221" s="414">
        <f t="shared" ref="I221" si="535">I220/I219</f>
        <v>0.3</v>
      </c>
      <c r="J221" s="417">
        <f>J220/J219</f>
        <v>0.44190800681431019</v>
      </c>
      <c r="K221" s="280" t="e">
        <f t="shared" ref="K221:AD221" si="536">K220/K219</f>
        <v>#DIV/0!</v>
      </c>
      <c r="L221" s="280" t="e">
        <f t="shared" si="536"/>
        <v>#DIV/0!</v>
      </c>
      <c r="M221" s="414">
        <f t="shared" si="536"/>
        <v>0.21125757035981477</v>
      </c>
      <c r="N221" s="414">
        <f t="shared" si="536"/>
        <v>0.3</v>
      </c>
      <c r="O221" s="417">
        <f t="shared" si="536"/>
        <v>0.24174111780594226</v>
      </c>
      <c r="P221" s="414">
        <f t="shared" si="536"/>
        <v>8.7478559176672382E-2</v>
      </c>
      <c r="Q221" s="414">
        <f t="shared" si="536"/>
        <v>1.3480683694139869E-2</v>
      </c>
      <c r="R221" s="414">
        <f t="shared" si="536"/>
        <v>5.2852093720010297E-3</v>
      </c>
      <c r="S221" s="414">
        <f t="shared" si="536"/>
        <v>-6.5467758822442587E-2</v>
      </c>
      <c r="T221" s="417">
        <f t="shared" si="536"/>
        <v>6.0257964291377626E-3</v>
      </c>
      <c r="U221" s="414">
        <f t="shared" si="536"/>
        <v>7.4454757701725424E-2</v>
      </c>
      <c r="V221" s="414">
        <f t="shared" si="536"/>
        <v>9.4916947670788104E-3</v>
      </c>
      <c r="W221" s="414">
        <f t="shared" si="536"/>
        <v>-0.18735737106344144</v>
      </c>
      <c r="X221" s="414">
        <f t="shared" si="536"/>
        <v>-7.3565709469628607E-2</v>
      </c>
      <c r="Y221" s="417">
        <f t="shared" si="536"/>
        <v>1.0105735940862738E-2</v>
      </c>
      <c r="Z221" s="414">
        <f t="shared" si="536"/>
        <v>0.40659340659340626</v>
      </c>
      <c r="AA221" s="414">
        <f t="shared" si="536"/>
        <v>-9.2050209205020911E-2</v>
      </c>
      <c r="AB221" s="414">
        <f t="shared" si="536"/>
        <v>0.27131782945736416</v>
      </c>
      <c r="AC221" s="359">
        <v>0</v>
      </c>
      <c r="AD221" s="420">
        <f t="shared" si="536"/>
        <v>-9.4316062618575724E-2</v>
      </c>
      <c r="AE221" s="359">
        <v>0</v>
      </c>
      <c r="AF221" s="359">
        <v>0</v>
      </c>
      <c r="AG221" s="359">
        <v>0</v>
      </c>
      <c r="AH221" s="359">
        <v>0</v>
      </c>
      <c r="AI221" s="420">
        <f t="shared" ref="AI221" si="537">AI220/AI219</f>
        <v>0</v>
      </c>
      <c r="AJ221" s="359">
        <v>0.2</v>
      </c>
      <c r="AK221" s="359">
        <v>0.2</v>
      </c>
      <c r="AL221" s="359">
        <v>0.2</v>
      </c>
      <c r="AM221" s="359">
        <v>0.2</v>
      </c>
      <c r="AN221" s="420">
        <f t="shared" ref="AN221" si="538">AN220/AN219</f>
        <v>0.2</v>
      </c>
      <c r="AO221" s="359">
        <v>0.2</v>
      </c>
      <c r="AP221" s="359">
        <v>0.2</v>
      </c>
      <c r="AQ221" s="359">
        <v>0.2</v>
      </c>
      <c r="AR221" s="359">
        <v>0.2</v>
      </c>
      <c r="AS221" s="420">
        <f t="shared" ref="AS221" si="539">AS220/AS219</f>
        <v>0.19999999999999998</v>
      </c>
      <c r="AT221" s="461"/>
      <c r="AU221" s="547"/>
      <c r="BR221" s="531"/>
      <c r="BS221" s="531"/>
      <c r="BT221" s="531"/>
      <c r="BU221" s="531"/>
      <c r="BV221" s="531"/>
      <c r="BW221" s="531"/>
      <c r="BX221" s="531"/>
      <c r="BY221" s="531"/>
      <c r="BZ221" s="531"/>
      <c r="CA221" s="531"/>
      <c r="CB221" s="531"/>
      <c r="CC221" s="531"/>
      <c r="CD221" s="531"/>
      <c r="CE221" s="531"/>
      <c r="CF221" s="531"/>
      <c r="CG221" s="531"/>
      <c r="CH221" s="531"/>
      <c r="CI221" s="531"/>
      <c r="CJ221" s="531"/>
      <c r="CK221" s="531"/>
      <c r="CL221" s="531"/>
      <c r="CM221" s="531"/>
      <c r="CN221" s="531"/>
      <c r="CO221" s="531"/>
      <c r="CP221" s="531"/>
      <c r="CQ221" s="531"/>
      <c r="CR221" s="531"/>
      <c r="CS221" s="531"/>
      <c r="CT221" s="531"/>
      <c r="CU221" s="531"/>
      <c r="CV221" s="531"/>
      <c r="CW221" s="531"/>
      <c r="CX221" s="531"/>
      <c r="CY221" s="531"/>
      <c r="CZ221" s="531"/>
      <c r="DA221" s="531"/>
      <c r="DB221" s="531"/>
      <c r="DC221" s="531"/>
      <c r="DD221" s="531"/>
      <c r="DE221" s="531"/>
      <c r="DF221" s="531"/>
      <c r="DG221" s="531"/>
      <c r="DH221" s="531"/>
      <c r="DI221" s="531"/>
      <c r="DJ221" s="531"/>
      <c r="DK221" s="531"/>
      <c r="DL221" s="531"/>
      <c r="DM221" s="531"/>
      <c r="DN221" s="531"/>
      <c r="DO221" s="531"/>
      <c r="DP221" s="531"/>
      <c r="DQ221" s="531"/>
      <c r="DR221" s="531"/>
      <c r="DS221" s="531"/>
      <c r="DT221" s="531"/>
      <c r="DU221" s="531"/>
      <c r="DV221" s="531"/>
      <c r="DW221" s="531"/>
      <c r="DX221" s="531"/>
      <c r="DY221" s="531"/>
      <c r="DZ221" s="531"/>
      <c r="EA221" s="531"/>
      <c r="EB221" s="531"/>
      <c r="EC221" s="531"/>
      <c r="ED221" s="531"/>
      <c r="EE221" s="531"/>
      <c r="EF221" s="531"/>
      <c r="EG221" s="531"/>
      <c r="EH221" s="531"/>
      <c r="EI221" s="531"/>
      <c r="EJ221" s="531"/>
      <c r="EK221" s="531"/>
      <c r="EL221" s="531"/>
      <c r="EM221" s="531"/>
      <c r="EN221" s="531"/>
      <c r="EO221" s="531"/>
      <c r="EP221" s="531"/>
      <c r="EQ221" s="531"/>
      <c r="ER221" s="531"/>
      <c r="ES221" s="531"/>
      <c r="ET221" s="531"/>
      <c r="EU221" s="531"/>
      <c r="EV221" s="531"/>
      <c r="EW221" s="531"/>
      <c r="EX221" s="531"/>
      <c r="EY221" s="531"/>
      <c r="EZ221" s="531"/>
      <c r="FA221" s="531"/>
      <c r="FB221" s="531"/>
      <c r="FC221" s="531"/>
      <c r="FD221" s="531"/>
      <c r="FE221" s="531"/>
      <c r="FF221" s="531"/>
      <c r="FG221" s="531"/>
      <c r="FH221" s="531"/>
      <c r="FI221" s="531"/>
      <c r="FJ221" s="531"/>
      <c r="FK221" s="531"/>
      <c r="FL221" s="531"/>
      <c r="FM221" s="531"/>
      <c r="FN221" s="531"/>
      <c r="FO221" s="531"/>
      <c r="FP221" s="531"/>
      <c r="FQ221" s="531"/>
      <c r="FR221" s="531"/>
      <c r="FS221" s="531"/>
      <c r="FT221" s="531"/>
      <c r="FU221" s="531"/>
      <c r="FV221" s="531"/>
      <c r="FW221" s="531"/>
      <c r="FX221" s="531"/>
      <c r="FY221" s="531"/>
      <c r="FZ221" s="531"/>
      <c r="GA221" s="531"/>
      <c r="GB221" s="531"/>
      <c r="GC221" s="531"/>
      <c r="GD221" s="531"/>
      <c r="GE221" s="531"/>
      <c r="GF221" s="531"/>
      <c r="GG221" s="531"/>
      <c r="GH221" s="531"/>
      <c r="GI221" s="531"/>
      <c r="GJ221" s="531"/>
      <c r="GK221" s="531"/>
      <c r="GL221" s="531"/>
      <c r="GM221" s="531"/>
      <c r="GN221" s="531"/>
      <c r="GO221" s="531"/>
      <c r="GP221" s="531"/>
      <c r="GQ221" s="531"/>
      <c r="GR221" s="531"/>
      <c r="GS221" s="531"/>
      <c r="GT221" s="531"/>
      <c r="GU221" s="531"/>
      <c r="GV221" s="531"/>
      <c r="GW221" s="531"/>
      <c r="GX221" s="531"/>
      <c r="GY221" s="531"/>
      <c r="GZ221" s="531"/>
      <c r="HA221" s="531"/>
      <c r="HB221" s="531"/>
      <c r="HC221" s="531"/>
      <c r="HD221" s="531"/>
      <c r="HE221" s="531"/>
      <c r="HF221" s="531"/>
      <c r="HG221" s="531"/>
      <c r="HH221" s="531"/>
      <c r="HI221" s="531"/>
      <c r="HJ221" s="531"/>
      <c r="HK221" s="531"/>
      <c r="HL221" s="531"/>
      <c r="HM221" s="531"/>
      <c r="HN221" s="531"/>
      <c r="HO221" s="531"/>
      <c r="HP221" s="531"/>
      <c r="HQ221" s="531"/>
      <c r="HR221" s="531"/>
      <c r="HS221" s="531"/>
      <c r="HT221" s="531"/>
      <c r="HU221" s="531"/>
      <c r="HV221" s="531"/>
      <c r="HW221" s="531"/>
      <c r="HX221" s="531"/>
      <c r="HY221" s="531"/>
      <c r="HZ221" s="531"/>
      <c r="IA221" s="531"/>
      <c r="IB221" s="531"/>
      <c r="IC221" s="531"/>
      <c r="ID221" s="531"/>
      <c r="IE221" s="531"/>
      <c r="IF221" s="531"/>
      <c r="IG221" s="531"/>
      <c r="IH221" s="531"/>
      <c r="II221" s="531"/>
      <c r="IJ221" s="531"/>
      <c r="IK221" s="531"/>
      <c r="IL221" s="531"/>
      <c r="IM221" s="531"/>
      <c r="IN221" s="531"/>
      <c r="IO221" s="531"/>
      <c r="IP221" s="531"/>
      <c r="IQ221" s="531"/>
      <c r="IR221" s="531"/>
      <c r="IS221" s="531"/>
      <c r="IT221" s="531"/>
      <c r="IU221" s="531"/>
      <c r="IV221" s="531"/>
      <c r="IW221" s="531"/>
      <c r="IX221" s="531"/>
      <c r="IY221" s="531"/>
      <c r="IZ221" s="531"/>
      <c r="JA221" s="531"/>
      <c r="JB221" s="531"/>
      <c r="JC221" s="531"/>
      <c r="JD221" s="531"/>
      <c r="JE221" s="531"/>
      <c r="JF221" s="531"/>
      <c r="JG221" s="531"/>
      <c r="JH221" s="531"/>
      <c r="JI221" s="531"/>
    </row>
    <row r="222" spans="1:269" hidden="1" outlineLevel="1">
      <c r="A222" s="319" t="s">
        <v>431</v>
      </c>
      <c r="B222" s="278"/>
      <c r="C222" s="277"/>
      <c r="D222" s="277"/>
      <c r="E222" s="277"/>
      <c r="F222" s="278"/>
      <c r="G222" s="278"/>
      <c r="H222" s="278">
        <v>3.54</v>
      </c>
      <c r="I222" s="278">
        <v>3.54</v>
      </c>
      <c r="J222" s="277">
        <v>-0.72099999999999997</v>
      </c>
      <c r="K222" s="278"/>
      <c r="L222" s="278"/>
      <c r="M222" s="278">
        <v>3.54</v>
      </c>
      <c r="N222" s="278">
        <v>3.54</v>
      </c>
      <c r="O222" s="277">
        <v>7.08</v>
      </c>
      <c r="P222" s="278">
        <v>3.54</v>
      </c>
      <c r="Q222" s="278">
        <v>3.54</v>
      </c>
      <c r="R222" s="278">
        <v>3.54</v>
      </c>
      <c r="S222" s="278">
        <v>3.54</v>
      </c>
      <c r="T222" s="277">
        <v>14.16</v>
      </c>
      <c r="U222" s="278">
        <v>3.54</v>
      </c>
      <c r="V222" s="278">
        <v>3.54</v>
      </c>
      <c r="W222" s="278">
        <v>3.54</v>
      </c>
      <c r="X222" s="278">
        <v>3.54</v>
      </c>
      <c r="Y222" s="277">
        <v>14.16</v>
      </c>
      <c r="Z222" s="278">
        <v>3.54</v>
      </c>
      <c r="AA222" s="278">
        <v>3.54</v>
      </c>
      <c r="AB222" s="278">
        <v>3.54</v>
      </c>
      <c r="AC222" s="287">
        <f>AB222</f>
        <v>3.54</v>
      </c>
      <c r="AD222" s="288">
        <f>SUM(Z222:AC222)</f>
        <v>14.16</v>
      </c>
      <c r="AE222" s="287">
        <f>AC222</f>
        <v>3.54</v>
      </c>
      <c r="AF222" s="287">
        <f t="shared" ref="AF222:AH222" si="540">AE222</f>
        <v>3.54</v>
      </c>
      <c r="AG222" s="287">
        <f t="shared" si="540"/>
        <v>3.54</v>
      </c>
      <c r="AH222" s="287">
        <f t="shared" si="540"/>
        <v>3.54</v>
      </c>
      <c r="AI222" s="288">
        <f>SUM(AE222:AH222)</f>
        <v>14.16</v>
      </c>
      <c r="AJ222" s="287">
        <f>AH222</f>
        <v>3.54</v>
      </c>
      <c r="AK222" s="287">
        <f t="shared" ref="AK222:AM222" si="541">AJ222</f>
        <v>3.54</v>
      </c>
      <c r="AL222" s="287">
        <f t="shared" si="541"/>
        <v>3.54</v>
      </c>
      <c r="AM222" s="287">
        <f t="shared" si="541"/>
        <v>3.54</v>
      </c>
      <c r="AN222" s="288">
        <f>SUM(AJ222:AM222)</f>
        <v>14.16</v>
      </c>
      <c r="AO222" s="287">
        <f>AM222</f>
        <v>3.54</v>
      </c>
      <c r="AP222" s="287">
        <f t="shared" ref="AP222:AR222" si="542">AO222</f>
        <v>3.54</v>
      </c>
      <c r="AQ222" s="287">
        <f t="shared" si="542"/>
        <v>3.54</v>
      </c>
      <c r="AR222" s="287">
        <f t="shared" si="542"/>
        <v>3.54</v>
      </c>
      <c r="AS222" s="288">
        <f>SUM(AO222:AR222)</f>
        <v>14.16</v>
      </c>
      <c r="AT222" s="458"/>
      <c r="AU222" s="508"/>
      <c r="AV222" s="143"/>
      <c r="AW222" s="143"/>
      <c r="AX222" s="143"/>
      <c r="AY222" s="143"/>
      <c r="AZ222" s="143"/>
      <c r="BA222" s="143"/>
      <c r="BB222" s="143"/>
      <c r="BC222" s="143"/>
      <c r="BD222" s="143"/>
      <c r="BE222" s="143"/>
      <c r="BF222" s="143"/>
      <c r="BG222" s="143"/>
      <c r="BH222" s="143"/>
      <c r="BI222" s="143"/>
      <c r="BJ222" s="143"/>
      <c r="BK222" s="143"/>
      <c r="BL222" s="143"/>
      <c r="BM222" s="143"/>
      <c r="BN222" s="143"/>
      <c r="BO222" s="143"/>
      <c r="BP222" s="143"/>
      <c r="BQ222" s="143"/>
    </row>
    <row r="223" spans="1:269" collapsed="1">
      <c r="A223" s="319"/>
      <c r="B223" s="278"/>
      <c r="C223" s="277"/>
      <c r="D223" s="277"/>
      <c r="E223" s="277"/>
      <c r="F223" s="278"/>
      <c r="G223" s="278"/>
      <c r="H223" s="278"/>
      <c r="I223" s="278"/>
      <c r="J223" s="277"/>
      <c r="K223" s="278"/>
      <c r="L223" s="278"/>
      <c r="M223" s="278"/>
      <c r="N223" s="278"/>
      <c r="O223" s="277"/>
      <c r="P223" s="278"/>
      <c r="Q223" s="278"/>
      <c r="R223" s="278"/>
      <c r="S223" s="278"/>
      <c r="T223" s="277"/>
      <c r="U223" s="278"/>
      <c r="V223" s="278"/>
      <c r="W223" s="278"/>
      <c r="X223" s="278"/>
      <c r="Y223" s="277"/>
      <c r="Z223" s="278"/>
      <c r="AA223" s="278"/>
      <c r="AB223" s="278"/>
      <c r="AC223" s="278"/>
      <c r="AD223" s="339"/>
      <c r="AE223" s="289"/>
      <c r="AF223" s="289"/>
      <c r="AG223" s="289"/>
      <c r="AH223" s="289"/>
      <c r="AI223" s="339"/>
      <c r="AJ223" s="289"/>
      <c r="AK223" s="289"/>
      <c r="AL223" s="289"/>
      <c r="AM223" s="289"/>
      <c r="AN223" s="339"/>
      <c r="AO223" s="289"/>
      <c r="AP223" s="289"/>
      <c r="AQ223" s="289"/>
      <c r="AR223" s="289"/>
      <c r="AS223" s="339"/>
      <c r="AT223" s="458"/>
      <c r="AU223" s="508"/>
      <c r="AV223" s="143"/>
      <c r="AW223" s="143"/>
      <c r="AX223" s="143"/>
      <c r="AY223" s="143"/>
      <c r="AZ223" s="143"/>
      <c r="BA223" s="143"/>
      <c r="BB223" s="143"/>
      <c r="BC223" s="143"/>
      <c r="BD223" s="143"/>
      <c r="BE223" s="143"/>
      <c r="BF223" s="143"/>
      <c r="BG223" s="143"/>
      <c r="BH223" s="143"/>
      <c r="BI223" s="143"/>
      <c r="BJ223" s="143"/>
      <c r="BK223" s="143"/>
      <c r="BL223" s="143"/>
      <c r="BM223" s="143"/>
      <c r="BN223" s="143"/>
      <c r="BO223" s="143"/>
      <c r="BP223" s="143"/>
      <c r="BQ223" s="143"/>
    </row>
    <row r="224" spans="1:269" hidden="1" outlineLevel="1">
      <c r="A224" s="281" t="s">
        <v>415</v>
      </c>
      <c r="B224" s="278"/>
      <c r="C224" s="277"/>
      <c r="D224" s="277"/>
      <c r="E224" s="277"/>
      <c r="F224" s="278">
        <v>-9.1</v>
      </c>
      <c r="G224" s="278"/>
      <c r="H224" s="278">
        <v>-2.2139999999999995</v>
      </c>
      <c r="I224" s="278">
        <v>-46.2</v>
      </c>
      <c r="J224" s="277">
        <v>-1.6379999999999988</v>
      </c>
      <c r="K224" s="278">
        <v>-9.1</v>
      </c>
      <c r="L224" s="278"/>
      <c r="M224" s="278">
        <v>-2.2139999999999995</v>
      </c>
      <c r="N224" s="278">
        <v>-46.2</v>
      </c>
      <c r="O224" s="277">
        <v>-29.195999999999998</v>
      </c>
      <c r="P224" s="278">
        <v>-3.3</v>
      </c>
      <c r="Q224" s="278">
        <v>-139.37799999999999</v>
      </c>
      <c r="R224" s="278">
        <v>-212.48600000000002</v>
      </c>
      <c r="S224" s="278">
        <v>-17.299999999999994</v>
      </c>
      <c r="T224" s="277">
        <v>-369.82499999999999</v>
      </c>
      <c r="U224" s="278">
        <v>32.506999999999998</v>
      </c>
      <c r="V224" s="278">
        <v>7.9309999999999965</v>
      </c>
      <c r="W224" s="278">
        <v>5.2029999999999976</v>
      </c>
      <c r="X224" s="278">
        <v>3.8149999999999924</v>
      </c>
      <c r="Y224" s="277">
        <v>63.473999999999982</v>
      </c>
      <c r="Z224" s="278">
        <v>-22.300000000000008</v>
      </c>
      <c r="AA224" s="278">
        <v>3.4000000000000057</v>
      </c>
      <c r="AB224" s="278">
        <v>9.4000000000000092</v>
      </c>
      <c r="AD224" s="449"/>
      <c r="AE224" s="448"/>
      <c r="AF224" s="448"/>
      <c r="AG224" s="448"/>
      <c r="AH224" s="448"/>
      <c r="AI224" s="449"/>
      <c r="AJ224" s="448"/>
      <c r="AK224" s="448"/>
      <c r="AL224" s="448"/>
      <c r="AM224" s="448"/>
      <c r="AN224" s="449"/>
      <c r="AO224" s="448"/>
      <c r="AP224" s="448"/>
      <c r="AQ224" s="448"/>
      <c r="AR224" s="448"/>
      <c r="AS224" s="449"/>
      <c r="AT224" s="457"/>
      <c r="AU224" s="508"/>
      <c r="AV224" s="143"/>
      <c r="AW224" s="143"/>
      <c r="AX224" s="143"/>
      <c r="AY224" s="143"/>
      <c r="AZ224" s="143"/>
      <c r="BA224" s="143"/>
      <c r="BB224" s="143"/>
      <c r="BC224" s="143"/>
      <c r="BD224" s="143"/>
      <c r="BE224" s="143"/>
      <c r="BF224" s="143"/>
      <c r="BG224" s="143"/>
      <c r="BH224" s="143"/>
      <c r="BI224" s="143"/>
      <c r="BJ224" s="143"/>
      <c r="BK224" s="143"/>
      <c r="BL224" s="143"/>
      <c r="BM224" s="143"/>
      <c r="BN224" s="143"/>
      <c r="BO224" s="143"/>
      <c r="BP224" s="143"/>
      <c r="BQ224" s="143"/>
    </row>
    <row r="225" spans="1:269" ht="15" collapsed="1" thickBot="1">
      <c r="A225" s="530" t="s">
        <v>416</v>
      </c>
      <c r="B225" s="500"/>
      <c r="C225" s="68"/>
      <c r="D225" s="68"/>
      <c r="E225" s="68"/>
      <c r="F225" s="500">
        <f>F224</f>
        <v>-9.1</v>
      </c>
      <c r="G225" s="500"/>
      <c r="H225" s="500">
        <v>0.9</v>
      </c>
      <c r="I225" s="500"/>
      <c r="J225" s="68">
        <f>J224</f>
        <v>-1.6379999999999988</v>
      </c>
      <c r="K225" s="500">
        <f>K224</f>
        <v>-9.1</v>
      </c>
      <c r="L225" s="500"/>
      <c r="M225" s="500">
        <v>0.9</v>
      </c>
      <c r="N225" s="500"/>
      <c r="O225" s="68">
        <f>O224</f>
        <v>-29.195999999999998</v>
      </c>
      <c r="P225" s="500">
        <v>-3.3</v>
      </c>
      <c r="Q225" s="500">
        <v>7.8E-2</v>
      </c>
      <c r="R225" s="500">
        <v>2.5</v>
      </c>
      <c r="S225" s="500">
        <v>-17.299999999999994</v>
      </c>
      <c r="T225" s="68">
        <v>-18.021999999999995</v>
      </c>
      <c r="U225" s="500">
        <v>32.506999999999998</v>
      </c>
      <c r="V225" s="500">
        <v>2.1899999999999964</v>
      </c>
      <c r="W225" s="500">
        <v>5.2029999999999976</v>
      </c>
      <c r="X225" s="500">
        <v>17.832999999999991</v>
      </c>
      <c r="Y225" s="68">
        <v>57.732999999999983</v>
      </c>
      <c r="Z225" s="500">
        <v>-5.4000000000000083</v>
      </c>
      <c r="AA225" s="500">
        <f>AA219+AA220+AA222</f>
        <v>25.240000000000006</v>
      </c>
      <c r="AB225" s="500">
        <f>AB219-AB220+AB222</f>
        <v>12.940000000000008</v>
      </c>
      <c r="AC225" s="72">
        <f>AC219-AC220+AC222</f>
        <v>1.2863548770675179</v>
      </c>
      <c r="AD225" s="572">
        <f t="shared" ref="AD225:AS225" si="543">AD219-AD220+AD222</f>
        <v>42.006354877067523</v>
      </c>
      <c r="AE225" s="70">
        <f t="shared" si="543"/>
        <v>-7.7542345783472575</v>
      </c>
      <c r="AF225" s="70">
        <f t="shared" si="543"/>
        <v>-8.5467339291462245</v>
      </c>
      <c r="AG225" s="70">
        <f t="shared" si="543"/>
        <v>3.7349934027601748</v>
      </c>
      <c r="AH225" s="70">
        <f t="shared" si="543"/>
        <v>18.348678678853137</v>
      </c>
      <c r="AI225" s="572">
        <f t="shared" si="543"/>
        <v>5.7827035741198323</v>
      </c>
      <c r="AJ225" s="70">
        <f t="shared" si="543"/>
        <v>5.4244273243124344</v>
      </c>
      <c r="AK225" s="70">
        <f t="shared" si="543"/>
        <v>13.006189666616525</v>
      </c>
      <c r="AL225" s="70">
        <f t="shared" si="543"/>
        <v>12.239888349187705</v>
      </c>
      <c r="AM225" s="70">
        <f t="shared" si="543"/>
        <v>22.69390931848621</v>
      </c>
      <c r="AN225" s="572">
        <f t="shared" si="543"/>
        <v>53.364414658602882</v>
      </c>
      <c r="AO225" s="70">
        <f t="shared" si="543"/>
        <v>9.6225411381522861</v>
      </c>
      <c r="AP225" s="70">
        <f t="shared" si="543"/>
        <v>18.409808566705177</v>
      </c>
      <c r="AQ225" s="70">
        <f t="shared" si="543"/>
        <v>16.719727057822134</v>
      </c>
      <c r="AR225" s="70">
        <f t="shared" si="543"/>
        <v>30.115768809039043</v>
      </c>
      <c r="AS225" s="572">
        <f t="shared" si="543"/>
        <v>74.867845571718647</v>
      </c>
      <c r="AT225" s="458"/>
      <c r="AU225" s="508"/>
      <c r="AV225" s="143"/>
      <c r="AW225" s="143"/>
      <c r="AX225" s="143"/>
      <c r="AY225" s="143"/>
      <c r="AZ225" s="143"/>
      <c r="BA225" s="143"/>
      <c r="BB225" s="143"/>
      <c r="BC225" s="143"/>
      <c r="BD225" s="143"/>
      <c r="BE225" s="143"/>
      <c r="BF225" s="143"/>
      <c r="BG225" s="143"/>
      <c r="BH225" s="143"/>
      <c r="BI225" s="143"/>
      <c r="BJ225" s="143"/>
      <c r="BK225" s="143"/>
      <c r="BL225" s="143"/>
      <c r="BM225" s="143"/>
      <c r="BN225" s="143"/>
      <c r="BO225" s="143"/>
      <c r="BP225" s="143"/>
      <c r="BQ225" s="143"/>
    </row>
    <row r="226" spans="1:269" ht="15" thickTop="1">
      <c r="A226" s="143"/>
      <c r="B226" s="278"/>
      <c r="C226" s="412"/>
      <c r="D226" s="412"/>
      <c r="E226" s="412"/>
      <c r="F226" s="278"/>
      <c r="G226" s="278"/>
      <c r="H226" s="278"/>
      <c r="I226" s="278"/>
      <c r="J226" s="412"/>
      <c r="K226" s="278"/>
      <c r="L226" s="278"/>
      <c r="M226" s="278"/>
      <c r="N226" s="278"/>
      <c r="O226" s="61"/>
      <c r="P226" s="278"/>
      <c r="Q226" s="278"/>
      <c r="R226" s="278"/>
      <c r="S226" s="278"/>
      <c r="T226" s="277"/>
      <c r="U226" s="278"/>
      <c r="V226" s="278"/>
      <c r="W226" s="278"/>
      <c r="X226" s="278"/>
      <c r="Y226" s="277"/>
      <c r="Z226" s="143"/>
      <c r="AA226" s="143"/>
      <c r="AB226" s="143"/>
      <c r="AC226" s="143"/>
      <c r="AD226" s="279"/>
      <c r="AE226" s="143"/>
      <c r="AF226" s="143"/>
      <c r="AG226" s="143"/>
      <c r="AH226" s="143"/>
      <c r="AI226" s="279"/>
      <c r="AJ226" s="143"/>
      <c r="AK226" s="143"/>
      <c r="AL226" s="143"/>
      <c r="AM226" s="143"/>
      <c r="AN226" s="279"/>
      <c r="AO226" s="143"/>
      <c r="AP226" s="143"/>
      <c r="AQ226" s="143"/>
      <c r="AR226" s="143"/>
      <c r="AS226" s="279"/>
      <c r="AU226" s="508"/>
      <c r="AV226" s="143"/>
      <c r="AW226" s="143"/>
      <c r="AX226" s="143"/>
      <c r="AY226" s="143"/>
      <c r="AZ226" s="143"/>
      <c r="BA226" s="143"/>
      <c r="BB226" s="143"/>
      <c r="BC226" s="143"/>
      <c r="BD226" s="143"/>
      <c r="BE226" s="143"/>
      <c r="BF226" s="143"/>
      <c r="BG226" s="143"/>
      <c r="BH226" s="143"/>
      <c r="BI226" s="143"/>
      <c r="BJ226" s="143"/>
      <c r="BK226" s="143"/>
      <c r="BL226" s="143"/>
      <c r="BM226" s="143"/>
      <c r="BN226" s="143"/>
      <c r="BO226" s="143"/>
      <c r="BP226" s="143"/>
      <c r="BQ226" s="143"/>
    </row>
    <row r="227" spans="1:269">
      <c r="A227" s="281" t="s">
        <v>420</v>
      </c>
      <c r="B227" s="278"/>
      <c r="C227" s="548"/>
      <c r="D227" s="548"/>
      <c r="E227" s="548"/>
      <c r="F227" s="549" t="e">
        <f t="shared" ref="F227:I227" si="544">F225/F231</f>
        <v>#DIV/0!</v>
      </c>
      <c r="G227" s="549" t="e">
        <f t="shared" si="544"/>
        <v>#DIV/0!</v>
      </c>
      <c r="H227" s="549">
        <f t="shared" si="544"/>
        <v>2.5429248540841463E-2</v>
      </c>
      <c r="I227" s="549" t="e">
        <f t="shared" si="544"/>
        <v>#DIV/0!</v>
      </c>
      <c r="J227" s="548">
        <f t="shared" ref="J227:AS227" si="545">J225/J231</f>
        <v>-3.328929986789958E-2</v>
      </c>
      <c r="K227" s="549" t="e">
        <f t="shared" si="545"/>
        <v>#DIV/0!</v>
      </c>
      <c r="L227" s="549" t="e">
        <f t="shared" si="545"/>
        <v>#DIV/0!</v>
      </c>
      <c r="M227" s="549">
        <f t="shared" si="545"/>
        <v>2.5429248540841463E-2</v>
      </c>
      <c r="N227" s="549" t="e">
        <f t="shared" si="545"/>
        <v>#DIV/0!</v>
      </c>
      <c r="O227" s="548">
        <f t="shared" si="545"/>
        <v>-0.55617784889701671</v>
      </c>
      <c r="P227" s="549">
        <f t="shared" si="545"/>
        <v>-9.2953182608527141E-2</v>
      </c>
      <c r="Q227" s="549">
        <f t="shared" si="545"/>
        <v>8.4968396712912597E-4</v>
      </c>
      <c r="R227" s="549">
        <f t="shared" si="545"/>
        <v>1.8895541110325882E-2</v>
      </c>
      <c r="S227" s="549">
        <f t="shared" si="545"/>
        <v>-0.11823822906307148</v>
      </c>
      <c r="T227" s="548">
        <f t="shared" si="545"/>
        <v>-0.17759089904486058</v>
      </c>
      <c r="U227" s="549">
        <f t="shared" si="545"/>
        <v>0.21286478345953866</v>
      </c>
      <c r="V227" s="549">
        <f t="shared" si="545"/>
        <v>1.434074814622254E-2</v>
      </c>
      <c r="W227" s="549">
        <f t="shared" si="545"/>
        <v>3.4361898618067842E-2</v>
      </c>
      <c r="X227" s="549">
        <f t="shared" si="545"/>
        <v>0.1290387648209429</v>
      </c>
      <c r="Y227" s="548">
        <f t="shared" si="545"/>
        <v>0.38809481559073988</v>
      </c>
      <c r="Z227" s="550">
        <f t="shared" si="545"/>
        <v>-4.0779103808510089E-2</v>
      </c>
      <c r="AA227" s="550">
        <f>AA225/AA231</f>
        <v>0.19018050148940571</v>
      </c>
      <c r="AB227" s="550">
        <f>AB225/AB231</f>
        <v>9.7368912887224157E-2</v>
      </c>
      <c r="AC227" s="550">
        <f>AC225/AC231</f>
        <v>9.6793644487823041E-3</v>
      </c>
      <c r="AD227" s="584">
        <f t="shared" si="545"/>
        <v>0.31608292957766682</v>
      </c>
      <c r="AE227" s="550">
        <f t="shared" si="545"/>
        <v>-5.8347866396151075E-2</v>
      </c>
      <c r="AF227" s="550">
        <f t="shared" si="545"/>
        <v>-6.4311143077072738E-2</v>
      </c>
      <c r="AG227" s="550">
        <f t="shared" si="545"/>
        <v>2.8104501334444525E-2</v>
      </c>
      <c r="AH227" s="550">
        <f t="shared" si="545"/>
        <v>0.13806730261799977</v>
      </c>
      <c r="AI227" s="584">
        <f t="shared" si="545"/>
        <v>4.3512794479220504E-2</v>
      </c>
      <c r="AJ227" s="550">
        <f t="shared" si="545"/>
        <v>4.0816892705104753E-2</v>
      </c>
      <c r="AK227" s="550">
        <f t="shared" si="545"/>
        <v>9.7866966664876237E-2</v>
      </c>
      <c r="AL227" s="550">
        <f t="shared" si="545"/>
        <v>9.2100820898099442E-2</v>
      </c>
      <c r="AM227" s="550">
        <f t="shared" si="545"/>
        <v>0.17076362283634056</v>
      </c>
      <c r="AN227" s="584">
        <f t="shared" si="545"/>
        <v>0.40154830310442108</v>
      </c>
      <c r="AO227" s="550">
        <f t="shared" si="545"/>
        <v>7.2406210960933554E-2</v>
      </c>
      <c r="AP227" s="550">
        <f t="shared" si="545"/>
        <v>0.13852728335409492</v>
      </c>
      <c r="AQ227" s="550">
        <f t="shared" si="545"/>
        <v>0.12581001911833439</v>
      </c>
      <c r="AR227" s="550">
        <f t="shared" si="545"/>
        <v>0.22661048452079621</v>
      </c>
      <c r="AS227" s="584">
        <f t="shared" si="545"/>
        <v>0.56335399795415908</v>
      </c>
      <c r="AT227" s="462"/>
      <c r="AU227" s="508"/>
      <c r="AV227" s="143"/>
      <c r="AW227" s="143"/>
      <c r="AX227" s="143"/>
      <c r="AY227" s="143"/>
      <c r="AZ227" s="143"/>
      <c r="BA227" s="143"/>
      <c r="BB227" s="143"/>
      <c r="BC227" s="143"/>
      <c r="BD227" s="143"/>
      <c r="BE227" s="143"/>
      <c r="BF227" s="143"/>
      <c r="BG227" s="143"/>
      <c r="BH227" s="143"/>
      <c r="BI227" s="143"/>
      <c r="BJ227" s="143"/>
      <c r="BK227" s="143"/>
      <c r="BL227" s="143"/>
      <c r="BM227" s="143"/>
      <c r="BN227" s="143"/>
      <c r="BO227" s="143"/>
      <c r="BP227" s="143"/>
      <c r="BQ227" s="143"/>
    </row>
    <row r="228" spans="1:269">
      <c r="A228" s="319" t="s">
        <v>525</v>
      </c>
      <c r="B228" s="447" t="s">
        <v>528</v>
      </c>
      <c r="C228" s="277"/>
      <c r="D228" s="277"/>
      <c r="E228" s="277"/>
      <c r="F228" s="591" t="str" cm="1">
        <f t="array" ref="F228">_xll.VAData("SKIN_US", F$4, $B228, "consensus", "CD", "IMPL","", "")</f>
        <v>-</v>
      </c>
      <c r="G228" s="591" t="str" cm="1">
        <f t="array" ref="G228">_xll.VAData("SKIN_US", G$4, $B228, "consensus", "CD", "IMPL","", "")</f>
        <v>-</v>
      </c>
      <c r="H228" s="591" t="str" cm="1">
        <f t="array" ref="H228">_xll.VAData("SKIN_US", H$4, $B228, "consensus", "CD", "IMPL","", "")</f>
        <v>-</v>
      </c>
      <c r="I228" s="591" cm="1">
        <f t="array" ref="I228">_xll.VAData("SKIN_US", I$4, $B228, "consensus", "CD", "IMPL","", "")</f>
        <v>0.18788740981607599</v>
      </c>
      <c r="J228" s="590" cm="1">
        <f t="array" ref="J228">_xll.VAData("SKIN_US", J$4, $B228, "consensus", "CD", "IMPL","", "")</f>
        <v>0.31528868626975398</v>
      </c>
      <c r="K228" s="591" cm="1">
        <f t="array" ref="K228">_xll.VAData("SKIN_US", K$4, $B228, "consensus", "CD", "IMPL","", "")</f>
        <v>-0.102266773304453</v>
      </c>
      <c r="L228" s="591" cm="1">
        <f t="array" ref="L228">_xll.VAData("SKIN_US", L$4, $B228, "consensus", "CD", "IMPL","", "")</f>
        <v>-0.155087707115311</v>
      </c>
      <c r="M228" s="591" cm="1">
        <f t="array" ref="M228">_xll.VAData("SKIN_US", M$4, $B228, "consensus", "CD", "IMPL","", "")</f>
        <v>1.2985062286899E-2</v>
      </c>
      <c r="N228" s="591" cm="1">
        <f t="array" ref="N228">_xll.VAData("SKIN_US", N$4, $B228, "consensus", "CD", "IMPL","", "")</f>
        <v>-4.8917064777842002E-2</v>
      </c>
      <c r="O228" s="592" cm="1">
        <f t="array" ref="O228">_xll.VAData("SKIN_US", O$4, $B228, "consensus", "CD", "IMPL","", "")</f>
        <v>-0.35421348563870397</v>
      </c>
      <c r="P228" s="591" cm="1">
        <f t="array" ref="P228">_xll.VAData("SKIN_US", P$4, $B228, "consensus", "CD", "IMPL","", "")</f>
        <v>-3.5437405878577001E-2</v>
      </c>
      <c r="Q228" s="591" cm="1">
        <f t="array" ref="Q228">_xll.VAData("SKIN_US", Q$4, $B228, "consensus", "CD", "IMPL","", "")</f>
        <v>7.7196500948954E-2</v>
      </c>
      <c r="R228" s="591" cm="1">
        <f t="array" ref="R228">_xll.VAData("SKIN_US", R$4, $B228, "consensus", "CD", "IMPL","", "")</f>
        <v>1.8209214285014E-2</v>
      </c>
      <c r="S228" s="591" cm="1">
        <f t="array" ref="S228">_xll.VAData("SKIN_US", S$4, $B228, "consensus", "CD", "IMPL","", "")</f>
        <v>1.0753540317569E-2</v>
      </c>
      <c r="T228" s="592" cm="1">
        <f t="array" ref="T228">_xll.VAData("SKIN_US", T$4, $B228, "consensus", "CD", "IMPL","", "")</f>
        <v>6.262614172E-2</v>
      </c>
      <c r="U228" s="591" cm="1">
        <f t="array" ref="U228">_xll.VAData("SKIN_US", U$4, $B228, "consensus", "CD", "IMPL","", "")</f>
        <v>-4.9053558331778997E-2</v>
      </c>
      <c r="V228" s="591" cm="1">
        <f t="array" ref="V228">_xll.VAData("SKIN_US", V$4, $B228, "consensus", "CD", "IMPL","", "")</f>
        <v>1.2434609183715001E-2</v>
      </c>
      <c r="W228" s="591" cm="1">
        <f t="array" ref="W228">_xll.VAData("SKIN_US", W$4, $B228, "consensus", "CD", "IMPL","", "")</f>
        <v>5.4697587464569E-2</v>
      </c>
      <c r="X228" s="591" cm="1">
        <f t="array" ref="X228">_xll.VAData("SKIN_US", X$4, $B228, "consensus", "CD", "IMPL","", "")</f>
        <v>5.1494248875656998E-2</v>
      </c>
      <c r="Y228" s="592" cm="1">
        <f t="array" ref="Y228">_xll.VAData("SKIN_US", Y$4, $B228, "consensus", "CD", "IMPL","", "")</f>
        <v>9.7010659785174994E-2</v>
      </c>
      <c r="Z228" s="591" cm="1">
        <f t="array" ref="Z228">_xll.VAData("SKIN_US", Z$4, $B228, "consensus", "CD", "IMPL","", "")</f>
        <v>-3.0100382206595E-2</v>
      </c>
      <c r="AA228" s="591" cm="1">
        <f t="array" ref="AA228">_xll.VAData("SKIN_US", AA$4, $B228, "consensus", "CD", "IMPL","", "")</f>
        <v>7.4207457895036993E-2</v>
      </c>
      <c r="AB228" s="591" cm="1">
        <f t="array" ref="AB228">_xll.VAData("SKIN_US", AB$4, $B228, "consensus", "CD", "IMPL","", "")</f>
        <v>-0.14376062734329101</v>
      </c>
      <c r="AC228" s="591" cm="1">
        <f t="array" ref="AC228">_xll.VAData("SKIN_US", AC$4, $B228, "consensus", "CD", "IMPL","", "")</f>
        <v>-4.0727172060474E-2</v>
      </c>
      <c r="AD228" s="593" cm="1">
        <f t="array" ref="AD228">_xll.VAData("SKIN_US", AD$4, $B228, "consensus", "CD", "IMPL","", "")</f>
        <v>-0.12748178772749799</v>
      </c>
      <c r="AE228" s="591" cm="1">
        <f t="array" ref="AE228">_xll.VAData("SKIN_US", AE$4, $B228, "consensus", "CD", "IMPL","", "")</f>
        <v>-4.1353874872216E-2</v>
      </c>
      <c r="AF228" s="591" cm="1">
        <f t="array" ref="AF228">_xll.VAData("SKIN_US", AF$4, $B228, "consensus", "CD", "IMPL","", "")</f>
        <v>3.860827320074E-2</v>
      </c>
      <c r="AG228" s="591" cm="1">
        <f t="array" ref="AG228">_xll.VAData("SKIN_US", AG$4, $B228, "consensus", "CD", "IMPL","", "")</f>
        <v>7.8104742467463004E-2</v>
      </c>
      <c r="AH228" s="591" cm="1">
        <f t="array" ref="AH228">_xll.VAData("SKIN_US", AH$4, $B228, "consensus", "CD", "IMPL","", "")</f>
        <v>3.4721651376672998E-2</v>
      </c>
      <c r="AI228" s="593" cm="1">
        <f t="array" ref="AI228">_xll.VAData("SKIN_US", AI$4, $B228, "consensus", "CD", "IMPL","", "")</f>
        <v>8.3883754904171007E-2</v>
      </c>
      <c r="AJ228" s="591" cm="1">
        <f t="array" ref="AJ228">_xll.VAData("SKIN_US", AJ$4, $B228, "consensus", "CD", "IMPL","", "")</f>
        <v>-2.1955828448237E-2</v>
      </c>
      <c r="AK228" s="591" cm="1">
        <f t="array" ref="AK228">_xll.VAData("SKIN_US", AK$4, $B228, "consensus", "CD", "IMPL","", "")</f>
        <v>2.6834290317971E-2</v>
      </c>
      <c r="AL228" s="591" cm="1">
        <f t="array" ref="AL228">_xll.VAData("SKIN_US", AL$4, $B228, "consensus", "CD", "IMPL","", "")</f>
        <v>5.7941418392577E-2</v>
      </c>
      <c r="AM228" s="591" cm="1">
        <f t="array" ref="AM228">_xll.VAData("SKIN_US", AM$4, $B228, "consensus", "CD", "IMPL","", "")</f>
        <v>6.6126820073185003E-2</v>
      </c>
      <c r="AN228" s="593" cm="1">
        <f t="array" ref="AN228">_xll.VAData("SKIN_US", AN$4, $B228, "consensus", "CD", "IMPL","", "")</f>
        <v>0.167906613720811</v>
      </c>
      <c r="AO228" s="591" cm="1">
        <f t="array" ref="AO228">_xll.VAData("SKIN_US", AO$4, $B228, "consensus", "CD", "IMPL","", "")</f>
        <v>1.6876699549999999E-2</v>
      </c>
      <c r="AP228" s="591" cm="1">
        <f t="array" ref="AP228">_xll.VAData("SKIN_US", AP$4, $B228, "consensus", "CD", "IMPL","", "")</f>
        <v>7.1730706434371003E-2</v>
      </c>
      <c r="AQ228" s="591" cm="1">
        <f t="array" ref="AQ228">_xll.VAData("SKIN_US", AQ$4, $B228, "consensus", "CD", "IMPL","", "")</f>
        <v>0.115208526422026</v>
      </c>
      <c r="AR228" s="591" cm="1">
        <f t="array" ref="AR228">_xll.VAData("SKIN_US", AR$4, $B228, "consensus", "CD", "IMPL","", "")</f>
        <v>0.119523490861613</v>
      </c>
      <c r="AS228" s="593" cm="1">
        <f t="array" ref="AS228">_xll.VAData("SKIN_US", AS$4, $B228, "consensus", "CD", "IMPL","", "")</f>
        <v>0.32952674591590198</v>
      </c>
      <c r="AT228" s="462"/>
      <c r="AU228" s="508"/>
      <c r="AV228" s="143"/>
      <c r="AW228" s="143"/>
      <c r="AX228" s="143"/>
      <c r="AY228" s="143"/>
      <c r="AZ228" s="143"/>
      <c r="BA228" s="143"/>
      <c r="BB228" s="143"/>
      <c r="BC228" s="143"/>
      <c r="BD228" s="143"/>
      <c r="BE228" s="143"/>
      <c r="BF228" s="143"/>
      <c r="BG228" s="143"/>
      <c r="BH228" s="143"/>
      <c r="BI228" s="143"/>
      <c r="BJ228" s="143"/>
      <c r="BK228" s="143"/>
      <c r="BL228" s="143"/>
      <c r="BM228" s="143"/>
      <c r="BN228" s="143"/>
      <c r="BO228" s="143"/>
      <c r="BP228" s="143"/>
      <c r="BQ228" s="143"/>
    </row>
    <row r="229" spans="1:269">
      <c r="A229" s="281"/>
      <c r="B229" s="447"/>
      <c r="C229" s="277"/>
      <c r="D229" s="277"/>
      <c r="E229" s="277"/>
      <c r="F229" s="460"/>
      <c r="G229" s="460"/>
      <c r="H229" s="460"/>
      <c r="I229" s="460"/>
      <c r="J229" s="588"/>
      <c r="K229" s="460"/>
      <c r="L229" s="460"/>
      <c r="M229" s="460"/>
      <c r="N229" s="460"/>
      <c r="O229" s="451"/>
      <c r="P229" s="460"/>
      <c r="Q229" s="460"/>
      <c r="R229" s="460"/>
      <c r="S229" s="460"/>
      <c r="T229" s="451"/>
      <c r="U229" s="460"/>
      <c r="V229" s="460"/>
      <c r="W229" s="460"/>
      <c r="X229" s="460"/>
      <c r="Y229" s="451"/>
      <c r="Z229" s="460"/>
      <c r="AA229" s="460"/>
      <c r="AB229" s="460"/>
      <c r="AC229" s="460"/>
      <c r="AD229" s="449"/>
      <c r="AE229" s="460"/>
      <c r="AF229" s="460"/>
      <c r="AG229" s="460"/>
      <c r="AH229" s="460"/>
      <c r="AI229" s="449"/>
      <c r="AJ229" s="460"/>
      <c r="AK229" s="460"/>
      <c r="AL229" s="460"/>
      <c r="AM229" s="460"/>
      <c r="AN229" s="449"/>
      <c r="AO229" s="460"/>
      <c r="AP229" s="460"/>
      <c r="AQ229" s="460"/>
      <c r="AR229" s="460"/>
      <c r="AS229" s="449"/>
      <c r="AT229" s="462"/>
      <c r="AU229" s="508"/>
      <c r="AV229" s="143"/>
      <c r="AW229" s="143"/>
      <c r="AX229" s="143"/>
      <c r="AY229" s="143"/>
      <c r="AZ229" s="143"/>
      <c r="BA229" s="143"/>
      <c r="BB229" s="143"/>
      <c r="BC229" s="143"/>
      <c r="BD229" s="143"/>
      <c r="BE229" s="143"/>
      <c r="BF229" s="143"/>
      <c r="BG229" s="143"/>
      <c r="BH229" s="143"/>
      <c r="BI229" s="143"/>
      <c r="BJ229" s="143"/>
      <c r="BK229" s="143"/>
      <c r="BL229" s="143"/>
      <c r="BM229" s="143"/>
      <c r="BN229" s="143"/>
      <c r="BO229" s="143"/>
      <c r="BP229" s="143"/>
      <c r="BQ229" s="143"/>
    </row>
    <row r="230" spans="1:269" hidden="1" outlineLevel="1">
      <c r="A230" s="281" t="s">
        <v>417</v>
      </c>
      <c r="B230" s="143"/>
      <c r="C230" s="277"/>
      <c r="D230" s="277"/>
      <c r="E230" s="277"/>
      <c r="F230" s="278"/>
      <c r="G230" s="278"/>
      <c r="H230" s="278">
        <v>35.392316000000001</v>
      </c>
      <c r="I230" s="278"/>
      <c r="J230" s="277">
        <v>49.204999999999998</v>
      </c>
      <c r="K230" s="278"/>
      <c r="L230" s="278"/>
      <c r="M230" s="278">
        <v>35.392316000000001</v>
      </c>
      <c r="N230" s="278"/>
      <c r="O230" s="277">
        <v>52.494</v>
      </c>
      <c r="P230" s="278">
        <v>35.501742999999998</v>
      </c>
      <c r="Q230" s="278">
        <v>91.798837000000006</v>
      </c>
      <c r="R230" s="278">
        <v>132.30634599999999</v>
      </c>
      <c r="S230" s="278">
        <v>146.31477599999999</v>
      </c>
      <c r="T230" s="277">
        <v>101.4804255</v>
      </c>
      <c r="U230" s="278">
        <v>150.598105</v>
      </c>
      <c r="V230" s="278">
        <v>150.598105</v>
      </c>
      <c r="W230" s="278">
        <v>150.78869499999999</v>
      </c>
      <c r="X230" s="278">
        <v>138.198781</v>
      </c>
      <c r="Y230" s="277">
        <v>147.54592150000002</v>
      </c>
      <c r="Z230" s="278">
        <v>132.420762</v>
      </c>
      <c r="AA230" s="278">
        <v>132.716024</v>
      </c>
      <c r="AB230" s="278">
        <v>132.896626</v>
      </c>
      <c r="AC230" s="278"/>
      <c r="AD230" s="536"/>
      <c r="AE230" s="278"/>
      <c r="AF230" s="278"/>
      <c r="AG230" s="143"/>
      <c r="AH230" s="143"/>
      <c r="AI230" s="279"/>
      <c r="AJ230" s="143"/>
      <c r="AK230" s="143"/>
      <c r="AL230" s="143"/>
      <c r="AM230" s="143"/>
      <c r="AN230" s="279"/>
      <c r="AO230" s="143"/>
      <c r="AP230" s="143"/>
      <c r="AQ230" s="143"/>
      <c r="AR230" s="143"/>
      <c r="AS230" s="279"/>
      <c r="AU230" s="508"/>
      <c r="AV230" s="143"/>
      <c r="AW230" s="143"/>
      <c r="AX230" s="143"/>
      <c r="AY230" s="143"/>
      <c r="AZ230" s="143"/>
      <c r="BA230" s="143"/>
      <c r="BB230" s="143"/>
      <c r="BC230" s="143"/>
      <c r="BD230" s="143"/>
      <c r="BE230" s="143"/>
      <c r="BF230" s="143"/>
      <c r="BG230" s="143"/>
      <c r="BH230" s="143"/>
      <c r="BI230" s="143"/>
      <c r="BJ230" s="143"/>
      <c r="BK230" s="143"/>
      <c r="BL230" s="143"/>
      <c r="BM230" s="143"/>
      <c r="BN230" s="143"/>
      <c r="BO230" s="143"/>
      <c r="BP230" s="143"/>
      <c r="BQ230" s="143"/>
    </row>
    <row r="231" spans="1:269" collapsed="1">
      <c r="A231" s="281" t="s">
        <v>418</v>
      </c>
      <c r="B231" s="143"/>
      <c r="C231" s="277"/>
      <c r="D231" s="277"/>
      <c r="E231" s="277"/>
      <c r="F231" s="278"/>
      <c r="G231" s="278"/>
      <c r="H231" s="278">
        <v>35.392316000000001</v>
      </c>
      <c r="I231" s="278"/>
      <c r="J231" s="277">
        <v>49.204999999999998</v>
      </c>
      <c r="K231" s="278"/>
      <c r="L231" s="278"/>
      <c r="M231" s="278">
        <v>35.392316000000001</v>
      </c>
      <c r="N231" s="278"/>
      <c r="O231" s="277">
        <v>52.494</v>
      </c>
      <c r="P231" s="278">
        <v>35.501742999999998</v>
      </c>
      <c r="Q231" s="278">
        <v>91.798837000000006</v>
      </c>
      <c r="R231" s="278">
        <v>132.30634599999999</v>
      </c>
      <c r="S231" s="278">
        <v>146.31477599999999</v>
      </c>
      <c r="T231" s="277">
        <v>101.4804255</v>
      </c>
      <c r="U231" s="278">
        <v>152.71196800000001</v>
      </c>
      <c r="V231" s="278">
        <v>152.71169800000001</v>
      </c>
      <c r="W231" s="278">
        <v>151.41771</v>
      </c>
      <c r="X231" s="278">
        <v>138.198781</v>
      </c>
      <c r="Y231" s="277">
        <v>148.76003925000001</v>
      </c>
      <c r="Z231" s="278">
        <v>132.420762</v>
      </c>
      <c r="AA231" s="278">
        <v>132.716024</v>
      </c>
      <c r="AB231" s="278">
        <v>132.896626</v>
      </c>
      <c r="AC231" s="287">
        <f>AB231</f>
        <v>132.896626</v>
      </c>
      <c r="AD231" s="499">
        <f t="shared" ref="AD231:AS231" si="546">AC231</f>
        <v>132.896626</v>
      </c>
      <c r="AE231" s="287">
        <f t="shared" si="546"/>
        <v>132.896626</v>
      </c>
      <c r="AF231" s="287">
        <f t="shared" si="546"/>
        <v>132.896626</v>
      </c>
      <c r="AG231" s="287">
        <f t="shared" si="546"/>
        <v>132.896626</v>
      </c>
      <c r="AH231" s="287">
        <f t="shared" si="546"/>
        <v>132.896626</v>
      </c>
      <c r="AI231" s="499">
        <f t="shared" si="546"/>
        <v>132.896626</v>
      </c>
      <c r="AJ231" s="287">
        <f t="shared" si="546"/>
        <v>132.896626</v>
      </c>
      <c r="AK231" s="287">
        <f t="shared" si="546"/>
        <v>132.896626</v>
      </c>
      <c r="AL231" s="287">
        <f t="shared" si="546"/>
        <v>132.896626</v>
      </c>
      <c r="AM231" s="287">
        <f t="shared" si="546"/>
        <v>132.896626</v>
      </c>
      <c r="AN231" s="499">
        <f t="shared" si="546"/>
        <v>132.896626</v>
      </c>
      <c r="AO231" s="287">
        <f t="shared" si="546"/>
        <v>132.896626</v>
      </c>
      <c r="AP231" s="287">
        <f t="shared" si="546"/>
        <v>132.896626</v>
      </c>
      <c r="AQ231" s="287">
        <f t="shared" si="546"/>
        <v>132.896626</v>
      </c>
      <c r="AR231" s="287">
        <f t="shared" si="546"/>
        <v>132.896626</v>
      </c>
      <c r="AS231" s="499">
        <f t="shared" si="546"/>
        <v>132.896626</v>
      </c>
      <c r="AU231" s="508"/>
      <c r="AV231" s="143"/>
      <c r="AW231" s="143"/>
      <c r="AX231" s="143"/>
      <c r="AY231" s="143"/>
      <c r="AZ231" s="143"/>
      <c r="BA231" s="143"/>
      <c r="BB231" s="143"/>
      <c r="BC231" s="143"/>
      <c r="BD231" s="143"/>
      <c r="BE231" s="143"/>
      <c r="BF231" s="143"/>
      <c r="BG231" s="143"/>
      <c r="BH231" s="143"/>
      <c r="BI231" s="143"/>
      <c r="BJ231" s="143"/>
      <c r="BK231" s="143"/>
      <c r="BL231" s="143"/>
      <c r="BM231" s="143"/>
      <c r="BN231" s="143"/>
      <c r="BO231" s="143"/>
      <c r="BP231" s="143"/>
      <c r="BQ231" s="143"/>
    </row>
    <row r="232" spans="1:269">
      <c r="A232" s="281"/>
      <c r="B232" s="143"/>
      <c r="C232" s="277"/>
      <c r="D232" s="277"/>
      <c r="E232" s="277"/>
      <c r="F232" s="278"/>
      <c r="G232" s="278"/>
      <c r="H232" s="278"/>
      <c r="I232" s="278"/>
      <c r="J232" s="277"/>
      <c r="K232" s="278"/>
      <c r="L232" s="278"/>
      <c r="M232" s="278"/>
      <c r="N232" s="278"/>
      <c r="O232" s="277"/>
      <c r="P232" s="278"/>
      <c r="Q232" s="278"/>
      <c r="R232" s="278"/>
      <c r="S232" s="278"/>
      <c r="T232" s="277"/>
      <c r="U232" s="278"/>
      <c r="V232" s="278"/>
      <c r="W232" s="278"/>
      <c r="X232" s="278"/>
      <c r="Y232" s="277"/>
      <c r="Z232" s="278"/>
      <c r="AA232" s="278"/>
      <c r="AB232" s="278"/>
      <c r="AC232" s="143"/>
      <c r="AD232" s="279"/>
      <c r="AE232" s="143"/>
      <c r="AF232" s="143"/>
      <c r="AG232" s="143"/>
      <c r="AH232" s="143"/>
      <c r="AI232" s="279"/>
      <c r="AJ232" s="143"/>
      <c r="AK232" s="143"/>
      <c r="AL232" s="143"/>
      <c r="AM232" s="143"/>
      <c r="AN232" s="279"/>
      <c r="AO232" s="143"/>
      <c r="AP232" s="143"/>
      <c r="AQ232" s="143"/>
      <c r="AR232" s="143"/>
      <c r="AS232" s="279"/>
      <c r="AU232" s="508"/>
      <c r="AV232" s="143"/>
      <c r="AW232" s="143"/>
      <c r="AX232" s="143"/>
      <c r="AY232" s="143"/>
      <c r="AZ232" s="143"/>
      <c r="BA232" s="143"/>
      <c r="BB232" s="143"/>
      <c r="BC232" s="143"/>
      <c r="BD232" s="143"/>
      <c r="BE232" s="143"/>
      <c r="BF232" s="143"/>
      <c r="BG232" s="143"/>
      <c r="BH232" s="143"/>
      <c r="BI232" s="143"/>
      <c r="BJ232" s="143"/>
      <c r="BK232" s="143"/>
      <c r="BL232" s="143"/>
      <c r="BM232" s="143"/>
      <c r="BN232" s="143"/>
      <c r="BO232" s="143"/>
      <c r="BP232" s="143"/>
      <c r="BQ232" s="143"/>
    </row>
    <row r="233" spans="1:269" s="429" customFormat="1">
      <c r="A233" s="430" t="s">
        <v>432</v>
      </c>
      <c r="B233" s="431"/>
      <c r="C233" s="432"/>
      <c r="D233" s="432"/>
      <c r="E233" s="432"/>
      <c r="F233" s="432"/>
      <c r="G233" s="432"/>
      <c r="H233" s="432"/>
      <c r="I233" s="432"/>
      <c r="J233" s="432"/>
      <c r="K233" s="432"/>
      <c r="L233" s="432"/>
      <c r="M233" s="432"/>
      <c r="N233" s="432"/>
      <c r="O233" s="432"/>
      <c r="P233" s="432"/>
      <c r="Q233" s="432"/>
      <c r="R233" s="432"/>
      <c r="S233" s="432"/>
      <c r="T233" s="432"/>
      <c r="U233" s="432"/>
      <c r="V233" s="432"/>
      <c r="W233" s="432"/>
      <c r="X233" s="432"/>
      <c r="Y233" s="432"/>
      <c r="Z233" s="432"/>
      <c r="AA233" s="432"/>
      <c r="AB233" s="408"/>
      <c r="AC233" s="55"/>
      <c r="AD233" s="55"/>
      <c r="AE233" s="55"/>
      <c r="AF233" s="55"/>
      <c r="AG233" s="55"/>
      <c r="AH233" s="55"/>
      <c r="AI233" s="55"/>
      <c r="AJ233" s="55"/>
      <c r="AK233" s="55"/>
      <c r="AL233" s="55"/>
      <c r="AM233" s="55"/>
      <c r="AN233" s="55"/>
      <c r="AO233" s="55"/>
      <c r="AP233" s="55"/>
      <c r="AQ233" s="55"/>
      <c r="AR233" s="55"/>
      <c r="AS233" s="55"/>
      <c r="AT233" s="317"/>
      <c r="AU233" s="510"/>
      <c r="BR233" s="317"/>
      <c r="BS233" s="317"/>
      <c r="BT233" s="317"/>
      <c r="BU233" s="317"/>
      <c r="BV233" s="317"/>
      <c r="BW233" s="317"/>
      <c r="BX233" s="317"/>
      <c r="BY233" s="317"/>
      <c r="BZ233" s="317"/>
      <c r="CA233" s="317"/>
      <c r="CB233" s="317"/>
      <c r="CC233" s="317"/>
      <c r="CD233" s="317"/>
      <c r="CE233" s="317"/>
      <c r="CF233" s="317"/>
      <c r="CG233" s="317"/>
      <c r="CH233" s="317"/>
      <c r="CI233" s="317"/>
      <c r="CJ233" s="317"/>
      <c r="CK233" s="317"/>
      <c r="CL233" s="317"/>
      <c r="CM233" s="317"/>
      <c r="CN233" s="317"/>
      <c r="CO233" s="317"/>
      <c r="CP233" s="317"/>
      <c r="CQ233" s="317"/>
      <c r="CR233" s="317"/>
      <c r="CS233" s="317"/>
      <c r="CT233" s="317"/>
      <c r="CU233" s="317"/>
      <c r="CV233" s="317"/>
      <c r="CW233" s="317"/>
      <c r="CX233" s="317"/>
      <c r="CY233" s="317"/>
      <c r="CZ233" s="317"/>
      <c r="DA233" s="317"/>
      <c r="DB233" s="317"/>
      <c r="DC233" s="317"/>
      <c r="DD233" s="317"/>
      <c r="DE233" s="317"/>
      <c r="DF233" s="317"/>
      <c r="DG233" s="317"/>
      <c r="DH233" s="317"/>
      <c r="DI233" s="317"/>
      <c r="DJ233" s="317"/>
      <c r="DK233" s="317"/>
      <c r="DL233" s="317"/>
      <c r="DM233" s="317"/>
      <c r="DN233" s="317"/>
      <c r="DO233" s="317"/>
      <c r="DP233" s="317"/>
      <c r="DQ233" s="317"/>
      <c r="DR233" s="317"/>
      <c r="DS233" s="317"/>
      <c r="DT233" s="317"/>
      <c r="DU233" s="317"/>
      <c r="DV233" s="317"/>
      <c r="DW233" s="317"/>
      <c r="DX233" s="317"/>
      <c r="DY233" s="317"/>
      <c r="DZ233" s="317"/>
      <c r="EA233" s="317"/>
      <c r="EB233" s="317"/>
      <c r="EC233" s="317"/>
      <c r="ED233" s="317"/>
      <c r="EE233" s="317"/>
      <c r="EF233" s="317"/>
      <c r="EG233" s="317"/>
      <c r="EH233" s="317"/>
      <c r="EI233" s="317"/>
      <c r="EJ233" s="317"/>
      <c r="EK233" s="317"/>
      <c r="EL233" s="317"/>
      <c r="EM233" s="317"/>
      <c r="EN233" s="317"/>
      <c r="EO233" s="317"/>
      <c r="EP233" s="317"/>
      <c r="EQ233" s="317"/>
      <c r="ER233" s="317"/>
      <c r="ES233" s="317"/>
      <c r="ET233" s="317"/>
      <c r="EU233" s="317"/>
      <c r="EV233" s="317"/>
      <c r="EW233" s="317"/>
      <c r="EX233" s="317"/>
      <c r="EY233" s="317"/>
      <c r="EZ233" s="317"/>
      <c r="FA233" s="317"/>
      <c r="FB233" s="317"/>
      <c r="FC233" s="317"/>
      <c r="FD233" s="317"/>
      <c r="FE233" s="317"/>
      <c r="FF233" s="317"/>
      <c r="FG233" s="317"/>
      <c r="FH233" s="317"/>
      <c r="FI233" s="317"/>
      <c r="FJ233" s="317"/>
      <c r="FK233" s="317"/>
      <c r="FL233" s="317"/>
      <c r="FM233" s="317"/>
      <c r="FN233" s="317"/>
      <c r="FO233" s="317"/>
      <c r="FP233" s="317"/>
      <c r="FQ233" s="317"/>
      <c r="FR233" s="317"/>
      <c r="FS233" s="317"/>
      <c r="FT233" s="317"/>
      <c r="FU233" s="317"/>
      <c r="FV233" s="317"/>
      <c r="FW233" s="317"/>
      <c r="FX233" s="317"/>
      <c r="FY233" s="317"/>
      <c r="FZ233" s="317"/>
      <c r="GA233" s="317"/>
      <c r="GB233" s="317"/>
      <c r="GC233" s="317"/>
      <c r="GD233" s="317"/>
      <c r="GE233" s="317"/>
      <c r="GF233" s="317"/>
      <c r="GG233" s="317"/>
      <c r="GH233" s="317"/>
      <c r="GI233" s="317"/>
      <c r="GJ233" s="317"/>
      <c r="GK233" s="317"/>
      <c r="GL233" s="317"/>
      <c r="GM233" s="317"/>
      <c r="GN233" s="317"/>
      <c r="GO233" s="317"/>
      <c r="GP233" s="317"/>
      <c r="GQ233" s="317"/>
      <c r="GR233" s="317"/>
      <c r="GS233" s="317"/>
      <c r="GT233" s="317"/>
      <c r="GU233" s="317"/>
      <c r="GV233" s="317"/>
      <c r="GW233" s="317"/>
      <c r="GX233" s="317"/>
      <c r="GY233" s="317"/>
      <c r="GZ233" s="317"/>
      <c r="HA233" s="317"/>
      <c r="HB233" s="317"/>
      <c r="HC233" s="317"/>
      <c r="HD233" s="317"/>
      <c r="HE233" s="317"/>
      <c r="HF233" s="317"/>
      <c r="HG233" s="317"/>
      <c r="HH233" s="317"/>
      <c r="HI233" s="317"/>
      <c r="HJ233" s="317"/>
      <c r="HK233" s="317"/>
      <c r="HL233" s="317"/>
      <c r="HM233" s="317"/>
      <c r="HN233" s="317"/>
      <c r="HO233" s="317"/>
      <c r="HP233" s="317"/>
      <c r="HQ233" s="317"/>
      <c r="HR233" s="317"/>
      <c r="HS233" s="317"/>
      <c r="HT233" s="317"/>
      <c r="HU233" s="317"/>
      <c r="HV233" s="317"/>
      <c r="HW233" s="317"/>
      <c r="HX233" s="317"/>
      <c r="HY233" s="317"/>
      <c r="HZ233" s="317"/>
      <c r="IA233" s="317"/>
      <c r="IB233" s="317"/>
      <c r="IC233" s="317"/>
      <c r="ID233" s="317"/>
      <c r="IE233" s="317"/>
      <c r="IF233" s="317"/>
      <c r="IG233" s="317"/>
      <c r="IH233" s="317"/>
      <c r="II233" s="317"/>
      <c r="IJ233" s="317"/>
      <c r="IK233" s="317"/>
      <c r="IL233" s="317"/>
      <c r="IM233" s="317"/>
      <c r="IN233" s="317"/>
      <c r="IO233" s="317"/>
      <c r="IP233" s="317"/>
      <c r="IQ233" s="317"/>
      <c r="IR233" s="317"/>
      <c r="IS233" s="317"/>
      <c r="IT233" s="317"/>
      <c r="IU233" s="317"/>
      <c r="IV233" s="317"/>
      <c r="IW233" s="317"/>
      <c r="IX233" s="317"/>
      <c r="IY233" s="317"/>
      <c r="IZ233" s="317"/>
      <c r="JA233" s="317"/>
      <c r="JB233" s="317"/>
      <c r="JC233" s="317"/>
      <c r="JD233" s="317"/>
      <c r="JE233" s="317"/>
      <c r="JF233" s="317"/>
      <c r="JG233" s="317"/>
      <c r="JH233" s="317"/>
      <c r="JI233" s="317"/>
    </row>
    <row r="234" spans="1:269">
      <c r="A234" s="281" t="s">
        <v>421</v>
      </c>
      <c r="B234" s="143"/>
      <c r="C234" s="277">
        <v>-14</v>
      </c>
      <c r="D234" s="277">
        <v>8</v>
      </c>
      <c r="E234" s="277">
        <v>-0.3</v>
      </c>
      <c r="F234" s="278"/>
      <c r="G234" s="278"/>
      <c r="H234" s="278">
        <v>-2.2139999999999995</v>
      </c>
      <c r="I234" s="278"/>
      <c r="J234" s="277">
        <v>-1.6</v>
      </c>
      <c r="K234" s="278"/>
      <c r="L234" s="278"/>
      <c r="M234" s="278">
        <v>-2.2139999999999995</v>
      </c>
      <c r="N234" s="278"/>
      <c r="O234" s="277">
        <v>-29.2</v>
      </c>
      <c r="P234" s="278">
        <v>-3.3</v>
      </c>
      <c r="Q234" s="278">
        <v>-139.37799999999999</v>
      </c>
      <c r="R234" s="278">
        <v>-215.14500000000001</v>
      </c>
      <c r="S234" s="278">
        <v>-17.299999999999994</v>
      </c>
      <c r="T234" s="277">
        <v>-375.12299999999999</v>
      </c>
      <c r="U234" s="278">
        <v>32.506999999999998</v>
      </c>
      <c r="V234" s="278">
        <v>7.9309999999999965</v>
      </c>
      <c r="W234" s="278">
        <v>0.13100000000000001</v>
      </c>
      <c r="X234" s="278">
        <v>3.8149999999999999</v>
      </c>
      <c r="Y234" s="277">
        <v>44.383999999999993</v>
      </c>
      <c r="Z234" s="278">
        <v>-22.300000000000008</v>
      </c>
      <c r="AA234" s="278">
        <v>3.4000000000000057</v>
      </c>
      <c r="AB234" s="278">
        <v>-73.8</v>
      </c>
      <c r="AC234" s="280">
        <f>AC225</f>
        <v>1.2863548770675179</v>
      </c>
      <c r="AD234" s="320">
        <f>SUM(Z234:AC234)</f>
        <v>-91.413645122932479</v>
      </c>
      <c r="AE234" s="280">
        <f>AE225</f>
        <v>-7.7542345783472575</v>
      </c>
      <c r="AF234" s="280">
        <f>AF225</f>
        <v>-8.5467339291462245</v>
      </c>
      <c r="AG234" s="280">
        <f>AG225</f>
        <v>3.7349934027601748</v>
      </c>
      <c r="AH234" s="280">
        <f>AH225</f>
        <v>18.348678678853137</v>
      </c>
      <c r="AI234" s="320">
        <f>SUM(AE234:AH234)</f>
        <v>5.7827035741198287</v>
      </c>
      <c r="AJ234" s="280">
        <f>AJ225</f>
        <v>5.4244273243124344</v>
      </c>
      <c r="AK234" s="280">
        <f>AK225</f>
        <v>13.006189666616525</v>
      </c>
      <c r="AL234" s="280">
        <f>AL225</f>
        <v>12.239888349187705</v>
      </c>
      <c r="AM234" s="280">
        <f>AM225</f>
        <v>22.69390931848621</v>
      </c>
      <c r="AN234" s="320">
        <f>SUM(AJ234:AM234)</f>
        <v>53.364414658602875</v>
      </c>
      <c r="AO234" s="280">
        <f>AO225</f>
        <v>9.6225411381522861</v>
      </c>
      <c r="AP234" s="280">
        <f>AP225</f>
        <v>18.409808566705177</v>
      </c>
      <c r="AQ234" s="280">
        <f>AQ225</f>
        <v>16.719727057822134</v>
      </c>
      <c r="AR234" s="280">
        <f>AR225</f>
        <v>30.115768809039043</v>
      </c>
      <c r="AS234" s="320">
        <f>SUM(AO234:AR234)</f>
        <v>74.867845571718632</v>
      </c>
      <c r="AT234" s="458"/>
      <c r="AU234" s="508"/>
      <c r="AV234" s="143"/>
      <c r="AW234" s="143"/>
      <c r="AX234" s="143"/>
      <c r="AY234" s="143"/>
      <c r="AZ234" s="143"/>
      <c r="BA234" s="143"/>
      <c r="BB234" s="143"/>
      <c r="BC234" s="143"/>
      <c r="BD234" s="143"/>
      <c r="BE234" s="143"/>
      <c r="BF234" s="143"/>
      <c r="BG234" s="143"/>
      <c r="BH234" s="143"/>
      <c r="BI234" s="143"/>
      <c r="BJ234" s="143"/>
      <c r="BK234" s="143"/>
      <c r="BL234" s="143"/>
      <c r="BM234" s="143"/>
      <c r="BN234" s="143"/>
      <c r="BO234" s="143"/>
      <c r="BP234" s="143"/>
      <c r="BQ234" s="143"/>
    </row>
    <row r="235" spans="1:269">
      <c r="A235" s="332" t="s">
        <v>57</v>
      </c>
      <c r="B235" s="143"/>
      <c r="C235" s="277"/>
      <c r="D235" s="277"/>
      <c r="E235" s="277"/>
      <c r="F235" s="278"/>
      <c r="G235" s="278"/>
      <c r="H235" s="278"/>
      <c r="I235" s="278"/>
      <c r="J235" s="277">
        <v>13.9</v>
      </c>
      <c r="K235" s="278"/>
      <c r="L235" s="278"/>
      <c r="M235" s="278"/>
      <c r="N235" s="278"/>
      <c r="O235" s="277">
        <v>14.5</v>
      </c>
      <c r="P235" s="278">
        <v>3.6440000000000001</v>
      </c>
      <c r="Q235" s="278">
        <v>3.694</v>
      </c>
      <c r="R235" s="278">
        <v>4.5659999999999998</v>
      </c>
      <c r="S235" s="278">
        <v>5.9830000000000005</v>
      </c>
      <c r="T235" s="277">
        <v>17.887</v>
      </c>
      <c r="U235" s="278">
        <v>5.1289999999999996</v>
      </c>
      <c r="V235" s="278">
        <v>5.79</v>
      </c>
      <c r="W235" s="278">
        <v>5.9379999999999997</v>
      </c>
      <c r="X235" s="278">
        <v>6.016</v>
      </c>
      <c r="Y235" s="277">
        <v>22.872999999999998</v>
      </c>
      <c r="Z235" s="278">
        <v>6.2</v>
      </c>
      <c r="AA235" s="278">
        <v>10.4</v>
      </c>
      <c r="AB235" s="278">
        <v>8</v>
      </c>
      <c r="AC235" s="280">
        <f>AC236*AB495</f>
        <v>7.7296203622780659</v>
      </c>
      <c r="AD235" s="288">
        <f>SUM(Z235:AC235)</f>
        <v>32.329620362278064</v>
      </c>
      <c r="AE235" s="280">
        <f>AE236*AD495</f>
        <v>7.0046810863765669</v>
      </c>
      <c r="AF235" s="280">
        <f>AF236*AE495</f>
        <v>6.3419252263553183</v>
      </c>
      <c r="AG235" s="280">
        <f>AG236*AF495</f>
        <v>5.7360188496504838</v>
      </c>
      <c r="AH235" s="280">
        <f>AH236*AG495</f>
        <v>5.1820855546362212</v>
      </c>
      <c r="AI235" s="288">
        <f>SUM(AE235:AH235)</f>
        <v>24.264710717018591</v>
      </c>
      <c r="AJ235" s="280">
        <f>AJ236*AI495</f>
        <v>4.6756672248043252</v>
      </c>
      <c r="AK235" s="280">
        <f>AK236*AJ495</f>
        <v>4.212688149348816</v>
      </c>
      <c r="AL235" s="280">
        <f>AL236*AK495</f>
        <v>3.7894222213939761</v>
      </c>
      <c r="AM235" s="280">
        <f>AM236*AL495</f>
        <v>3.4024629498735335</v>
      </c>
      <c r="AN235" s="288">
        <f>SUM(AJ235:AM235)</f>
        <v>16.080240545420651</v>
      </c>
      <c r="AO235" s="280">
        <f>AO236*AN495</f>
        <v>3.0486960437132806</v>
      </c>
      <c r="AP235" s="280">
        <f>AP236*AO495</f>
        <v>2.7252743476715948</v>
      </c>
      <c r="AQ235" s="280">
        <f>AQ236*AP495</f>
        <v>2.4295949281187186</v>
      </c>
      <c r="AR235" s="280">
        <f>AR236*AQ495</f>
        <v>2.159278124338623</v>
      </c>
      <c r="AS235" s="288">
        <f>SUM(AO235:AR235)</f>
        <v>10.362843443842216</v>
      </c>
      <c r="AU235" s="508"/>
      <c r="AV235" s="143"/>
      <c r="AW235" s="143"/>
      <c r="AX235" s="143"/>
      <c r="AY235" s="143"/>
      <c r="AZ235" s="143"/>
      <c r="BA235" s="143"/>
      <c r="BB235" s="143"/>
      <c r="BC235" s="143"/>
      <c r="BD235" s="143"/>
      <c r="BE235" s="143"/>
      <c r="BF235" s="143"/>
      <c r="BG235" s="143"/>
      <c r="BH235" s="143"/>
      <c r="BI235" s="143"/>
      <c r="BJ235" s="143"/>
      <c r="BK235" s="143"/>
      <c r="BL235" s="143"/>
      <c r="BM235" s="143"/>
      <c r="BN235" s="143"/>
      <c r="BO235" s="143"/>
      <c r="BP235" s="143"/>
      <c r="BQ235" s="143"/>
    </row>
    <row r="236" spans="1:269">
      <c r="A236" s="333" t="s">
        <v>523</v>
      </c>
      <c r="B236" s="143"/>
      <c r="C236" s="277"/>
      <c r="D236" s="277"/>
      <c r="E236" s="277"/>
      <c r="F236" s="278"/>
      <c r="G236" s="278"/>
      <c r="H236" s="278"/>
      <c r="I236" s="278"/>
      <c r="J236" s="277"/>
      <c r="K236" s="278"/>
      <c r="L236" s="278"/>
      <c r="M236" s="278"/>
      <c r="N236" s="278"/>
      <c r="O236" s="417">
        <f>O235/N495</f>
        <v>2.4116023018328178E-4</v>
      </c>
      <c r="P236" s="414">
        <f>P235/O495</f>
        <v>6.0606060606060611E-5</v>
      </c>
      <c r="Q236" s="414" t="e">
        <f>Q235/P495</f>
        <v>#DIV/0!</v>
      </c>
      <c r="R236" s="414">
        <f>R235/Q495</f>
        <v>7.3648724938303462E-5</v>
      </c>
      <c r="S236" s="414">
        <f>S235/R495</f>
        <v>8.3773225612232048E-5</v>
      </c>
      <c r="T236" s="417">
        <f>T235/S495</f>
        <v>2.4776640394498083E-4</v>
      </c>
      <c r="U236" s="414">
        <f>U235/T495</f>
        <v>7.1045669247710996E-5</v>
      </c>
      <c r="V236" s="414">
        <f>V235/U495</f>
        <v>8.2240813601693109E-5</v>
      </c>
      <c r="W236" s="414">
        <f>W235/V495</f>
        <v>8.5755960891353635E-5</v>
      </c>
      <c r="X236" s="414">
        <f>X235/W495</f>
        <v>9.2948519868982137E-5</v>
      </c>
      <c r="Y236" s="417">
        <f>Y235/X495</f>
        <v>3.5423571317949506E-4</v>
      </c>
      <c r="Z236" s="414">
        <f>Z235/Y495</f>
        <v>9.6019823447421405E-5</v>
      </c>
      <c r="AA236" s="414">
        <f>AA235/Z495</f>
        <v>1.1659846403946411E-4</v>
      </c>
      <c r="AB236" s="414">
        <f>AB235/AA495</f>
        <v>9.5777413291510527E-5</v>
      </c>
      <c r="AC236" s="359">
        <f>AB236</f>
        <v>9.5777413291510527E-5</v>
      </c>
      <c r="AD236" s="339">
        <f>AD235/AC495</f>
        <v>4.4205401685136443E-4</v>
      </c>
      <c r="AE236" s="359">
        <f>AC236</f>
        <v>9.5777413291510527E-5</v>
      </c>
      <c r="AF236" s="359">
        <f>AE236</f>
        <v>9.5777413291510527E-5</v>
      </c>
      <c r="AG236" s="359">
        <f t="shared" ref="AG236:AH236" si="547">AF236</f>
        <v>9.5777413291510527E-5</v>
      </c>
      <c r="AH236" s="359">
        <f t="shared" si="547"/>
        <v>9.5777413291510527E-5</v>
      </c>
      <c r="AI236" s="339">
        <f>AI235/AH495</f>
        <v>4.9704376188579021E-4</v>
      </c>
      <c r="AJ236" s="359">
        <f>AH236</f>
        <v>9.5777413291510527E-5</v>
      </c>
      <c r="AK236" s="359">
        <f>AJ236</f>
        <v>9.5777413291510527E-5</v>
      </c>
      <c r="AL236" s="359">
        <f t="shared" ref="AL236:AM236" si="548">AK236</f>
        <v>9.5777413291510527E-5</v>
      </c>
      <c r="AM236" s="359">
        <f t="shared" si="548"/>
        <v>9.5777413291510527E-5</v>
      </c>
      <c r="AN236" s="339">
        <f>AN235/AM495</f>
        <v>5.0517461316668469E-4</v>
      </c>
      <c r="AO236" s="359">
        <f>AM236</f>
        <v>9.5777413291510527E-5</v>
      </c>
      <c r="AP236" s="359">
        <f>AO236</f>
        <v>9.5777413291510527E-5</v>
      </c>
      <c r="AQ236" s="359">
        <f t="shared" ref="AQ236:AR236" si="549">AP236</f>
        <v>9.5777413291510527E-5</v>
      </c>
      <c r="AR236" s="359">
        <f t="shared" si="549"/>
        <v>9.5777413291510527E-5</v>
      </c>
      <c r="AS236" s="339">
        <f>AS235/AR495</f>
        <v>5.1906344773236795E-4</v>
      </c>
      <c r="AU236" s="508"/>
      <c r="AV236" s="143"/>
      <c r="AW236" s="143"/>
      <c r="AX236" s="143"/>
      <c r="AY236" s="143"/>
      <c r="AZ236" s="143"/>
      <c r="BA236" s="143"/>
      <c r="BB236" s="143"/>
      <c r="BC236" s="143"/>
      <c r="BD236" s="143"/>
      <c r="BE236" s="143"/>
      <c r="BF236" s="143"/>
      <c r="BG236" s="143"/>
      <c r="BH236" s="143"/>
      <c r="BI236" s="143"/>
      <c r="BJ236" s="143"/>
      <c r="BK236" s="143"/>
      <c r="BL236" s="143"/>
      <c r="BM236" s="143"/>
      <c r="BN236" s="143"/>
      <c r="BO236" s="143"/>
      <c r="BP236" s="143"/>
      <c r="BQ236" s="143"/>
    </row>
    <row r="237" spans="1:269" s="81" customFormat="1">
      <c r="A237" s="418" t="s">
        <v>422</v>
      </c>
      <c r="C237" s="277"/>
      <c r="D237" s="277"/>
      <c r="E237" s="277"/>
      <c r="F237" s="278"/>
      <c r="G237" s="278"/>
      <c r="H237" s="278"/>
      <c r="I237" s="278"/>
      <c r="J237" s="277">
        <v>0</v>
      </c>
      <c r="K237" s="278"/>
      <c r="L237" s="278"/>
      <c r="M237" s="278"/>
      <c r="N237" s="278"/>
      <c r="O237" s="277">
        <v>0</v>
      </c>
      <c r="P237" s="278">
        <v>3.5000000000000003E-2</v>
      </c>
      <c r="Q237" s="278">
        <v>3.508</v>
      </c>
      <c r="R237" s="278">
        <v>5.0819999999999999</v>
      </c>
      <c r="S237" s="278">
        <v>3.794</v>
      </c>
      <c r="T237" s="277">
        <v>12.419</v>
      </c>
      <c r="U237" s="278">
        <v>7.0490000000000004</v>
      </c>
      <c r="V237" s="278">
        <v>6.3780000000000001</v>
      </c>
      <c r="W237" s="278">
        <v>7.4489999999999998</v>
      </c>
      <c r="X237" s="278">
        <v>7.6189999999999998</v>
      </c>
      <c r="Y237" s="277">
        <v>28.494999999999997</v>
      </c>
      <c r="Z237" s="278">
        <v>3.6</v>
      </c>
      <c r="AA237" s="278">
        <v>8.5</v>
      </c>
      <c r="AB237" s="278">
        <v>8.1999999999999993</v>
      </c>
      <c r="AC237" s="284">
        <f>AC238*AC158</f>
        <v>3.6456383324068931</v>
      </c>
      <c r="AD237" s="288">
        <f>SUM(Z237:AC237)</f>
        <v>23.94563833240689</v>
      </c>
      <c r="AE237" s="284">
        <f>AE238*AE158</f>
        <v>2.6266810386308066</v>
      </c>
      <c r="AF237" s="284">
        <f>AF238*AF158</f>
        <v>2.6882931355378821</v>
      </c>
      <c r="AG237" s="284">
        <f>AG238*AG158</f>
        <v>4.0401995385997767</v>
      </c>
      <c r="AH237" s="284">
        <f>AH238*AH158</f>
        <v>4.740865349702112</v>
      </c>
      <c r="AI237" s="288">
        <f>SUM(AE237:AH237)</f>
        <v>14.096039062470577</v>
      </c>
      <c r="AJ237" s="284">
        <f>AJ238*AJ158</f>
        <v>4.6483405776108038</v>
      </c>
      <c r="AK237" s="284">
        <f>AK238*AK158</f>
        <v>5.6882587716227269</v>
      </c>
      <c r="AL237" s="284">
        <f>AL238*AL158</f>
        <v>5.5051606665403545</v>
      </c>
      <c r="AM237" s="284">
        <f>AM238*AM158</f>
        <v>6.0131044049979421</v>
      </c>
      <c r="AN237" s="288">
        <f>SUM(AJ237:AM237)</f>
        <v>21.854864420771829</v>
      </c>
      <c r="AO237" s="284">
        <f>AO238*AO158</f>
        <v>5.4488835216159908</v>
      </c>
      <c r="AP237" s="284">
        <f>AP238*AP158</f>
        <v>6.4791527298651506</v>
      </c>
      <c r="AQ237" s="284">
        <f>AQ238*AQ158</f>
        <v>6.097261906080508</v>
      </c>
      <c r="AR237" s="284">
        <f>AR238*AR158</f>
        <v>7.1128078120651539</v>
      </c>
      <c r="AS237" s="288">
        <f>SUM(AO237:AR237)</f>
        <v>25.138105969626803</v>
      </c>
      <c r="AT237" s="454"/>
      <c r="AU237" s="508"/>
      <c r="BR237" s="438"/>
      <c r="BS237" s="438"/>
      <c r="BT237" s="438"/>
      <c r="BU237" s="438"/>
      <c r="BV237" s="438"/>
      <c r="BW237" s="438"/>
      <c r="BX237" s="438"/>
      <c r="BY237" s="438"/>
      <c r="BZ237" s="438"/>
      <c r="CA237" s="438"/>
      <c r="CB237" s="438"/>
      <c r="CC237" s="438"/>
      <c r="CD237" s="438"/>
      <c r="CE237" s="438"/>
      <c r="CF237" s="438"/>
      <c r="CG237" s="438"/>
      <c r="CH237" s="438"/>
      <c r="CI237" s="438"/>
      <c r="CJ237" s="438"/>
      <c r="CK237" s="438"/>
      <c r="CL237" s="438"/>
      <c r="CM237" s="438"/>
      <c r="CN237" s="438"/>
      <c r="CO237" s="438"/>
      <c r="CP237" s="438"/>
      <c r="CQ237" s="438"/>
      <c r="CR237" s="438"/>
      <c r="CS237" s="438"/>
      <c r="CT237" s="438"/>
      <c r="CU237" s="438"/>
      <c r="CV237" s="438"/>
      <c r="CW237" s="438"/>
      <c r="CX237" s="438"/>
      <c r="CY237" s="438"/>
      <c r="CZ237" s="438"/>
      <c r="DA237" s="438"/>
      <c r="DB237" s="438"/>
      <c r="DC237" s="438"/>
      <c r="DD237" s="438"/>
      <c r="DE237" s="438"/>
      <c r="DF237" s="438"/>
      <c r="DG237" s="438"/>
      <c r="DH237" s="438"/>
      <c r="DI237" s="438"/>
      <c r="DJ237" s="438"/>
      <c r="DK237" s="438"/>
      <c r="DL237" s="438"/>
      <c r="DM237" s="438"/>
      <c r="DN237" s="438"/>
      <c r="DO237" s="438"/>
      <c r="DP237" s="438"/>
      <c r="DQ237" s="438"/>
      <c r="DR237" s="438"/>
      <c r="DS237" s="438"/>
      <c r="DT237" s="438"/>
      <c r="DU237" s="438"/>
      <c r="DV237" s="438"/>
      <c r="DW237" s="438"/>
      <c r="DX237" s="438"/>
      <c r="DY237" s="438"/>
      <c r="DZ237" s="438"/>
      <c r="EA237" s="438"/>
      <c r="EB237" s="438"/>
      <c r="EC237" s="438"/>
      <c r="ED237" s="438"/>
      <c r="EE237" s="438"/>
      <c r="EF237" s="438"/>
      <c r="EG237" s="438"/>
      <c r="EH237" s="438"/>
      <c r="EI237" s="438"/>
      <c r="EJ237" s="438"/>
      <c r="EK237" s="438"/>
      <c r="EL237" s="438"/>
      <c r="EM237" s="438"/>
      <c r="EN237" s="438"/>
      <c r="EO237" s="438"/>
      <c r="EP237" s="438"/>
      <c r="EQ237" s="438"/>
      <c r="ER237" s="438"/>
      <c r="ES237" s="438"/>
      <c r="ET237" s="438"/>
      <c r="EU237" s="438"/>
      <c r="EV237" s="438"/>
      <c r="EW237" s="438"/>
      <c r="EX237" s="438"/>
      <c r="EY237" s="438"/>
      <c r="EZ237" s="438"/>
      <c r="FA237" s="438"/>
      <c r="FB237" s="438"/>
      <c r="FC237" s="438"/>
      <c r="FD237" s="438"/>
      <c r="FE237" s="438"/>
      <c r="FF237" s="438"/>
      <c r="FG237" s="438"/>
      <c r="FH237" s="438"/>
      <c r="FI237" s="438"/>
      <c r="FJ237" s="438"/>
      <c r="FK237" s="438"/>
      <c r="FL237" s="438"/>
      <c r="FM237" s="438"/>
      <c r="FN237" s="438"/>
      <c r="FO237" s="438"/>
      <c r="FP237" s="438"/>
      <c r="FQ237" s="438"/>
      <c r="FR237" s="438"/>
      <c r="FS237" s="438"/>
      <c r="FT237" s="438"/>
      <c r="FU237" s="438"/>
      <c r="FV237" s="438"/>
      <c r="FW237" s="438"/>
      <c r="FX237" s="438"/>
      <c r="FY237" s="438"/>
      <c r="FZ237" s="438"/>
      <c r="GA237" s="438"/>
      <c r="GB237" s="438"/>
      <c r="GC237" s="438"/>
      <c r="GD237" s="438"/>
      <c r="GE237" s="438"/>
      <c r="GF237" s="438"/>
      <c r="GG237" s="438"/>
      <c r="GH237" s="438"/>
      <c r="GI237" s="438"/>
      <c r="GJ237" s="438"/>
      <c r="GK237" s="438"/>
      <c r="GL237" s="438"/>
      <c r="GM237" s="438"/>
      <c r="GN237" s="438"/>
      <c r="GO237" s="438"/>
      <c r="GP237" s="438"/>
      <c r="GQ237" s="438"/>
      <c r="GR237" s="438"/>
      <c r="GS237" s="438"/>
      <c r="GT237" s="438"/>
      <c r="GU237" s="438"/>
      <c r="GV237" s="438"/>
      <c r="GW237" s="438"/>
      <c r="GX237" s="438"/>
      <c r="GY237" s="438"/>
      <c r="GZ237" s="438"/>
      <c r="HA237" s="438"/>
      <c r="HB237" s="438"/>
      <c r="HC237" s="438"/>
      <c r="HD237" s="438"/>
      <c r="HE237" s="438"/>
      <c r="HF237" s="438"/>
      <c r="HG237" s="438"/>
      <c r="HH237" s="438"/>
      <c r="HI237" s="438"/>
      <c r="HJ237" s="438"/>
      <c r="HK237" s="438"/>
      <c r="HL237" s="438"/>
      <c r="HM237" s="438"/>
      <c r="HN237" s="438"/>
      <c r="HO237" s="438"/>
      <c r="HP237" s="438"/>
      <c r="HQ237" s="438"/>
      <c r="HR237" s="438"/>
      <c r="HS237" s="438"/>
      <c r="HT237" s="438"/>
      <c r="HU237" s="438"/>
      <c r="HV237" s="438"/>
      <c r="HW237" s="438"/>
      <c r="HX237" s="438"/>
      <c r="HY237" s="438"/>
      <c r="HZ237" s="438"/>
      <c r="IA237" s="438"/>
      <c r="IB237" s="438"/>
      <c r="IC237" s="438"/>
      <c r="ID237" s="438"/>
      <c r="IE237" s="438"/>
      <c r="IF237" s="438"/>
      <c r="IG237" s="438"/>
      <c r="IH237" s="438"/>
      <c r="II237" s="438"/>
      <c r="IJ237" s="438"/>
      <c r="IK237" s="438"/>
      <c r="IL237" s="438"/>
      <c r="IM237" s="438"/>
      <c r="IN237" s="438"/>
      <c r="IO237" s="438"/>
      <c r="IP237" s="438"/>
      <c r="IQ237" s="438"/>
      <c r="IR237" s="438"/>
      <c r="IS237" s="438"/>
      <c r="IT237" s="438"/>
      <c r="IU237" s="438"/>
      <c r="IV237" s="438"/>
      <c r="IW237" s="438"/>
      <c r="IX237" s="438"/>
      <c r="IY237" s="438"/>
      <c r="IZ237" s="438"/>
      <c r="JA237" s="438"/>
      <c r="JB237" s="438"/>
      <c r="JC237" s="438"/>
      <c r="JD237" s="438"/>
      <c r="JE237" s="438"/>
      <c r="JF237" s="438"/>
      <c r="JG237" s="438"/>
      <c r="JH237" s="438"/>
      <c r="JI237" s="438"/>
    </row>
    <row r="238" spans="1:269" s="81" customFormat="1">
      <c r="A238" s="333" t="s">
        <v>522</v>
      </c>
      <c r="C238" s="277"/>
      <c r="D238" s="277"/>
      <c r="E238" s="277"/>
      <c r="F238" s="278"/>
      <c r="G238" s="278"/>
      <c r="H238" s="278"/>
      <c r="I238" s="278"/>
      <c r="J238" s="277"/>
      <c r="K238" s="278"/>
      <c r="L238" s="278"/>
      <c r="M238" s="278"/>
      <c r="N238" s="278"/>
      <c r="O238" s="417">
        <f>O237/O158</f>
        <v>0</v>
      </c>
      <c r="P238" s="414">
        <f>P237/P158</f>
        <v>7.3684210526315792E-4</v>
      </c>
      <c r="Q238" s="414">
        <f>Q237/Q158</f>
        <v>5.2751879699248119E-2</v>
      </c>
      <c r="R238" s="414">
        <f>R237/R158</f>
        <v>7.4574082498129038E-2</v>
      </c>
      <c r="S238" s="414">
        <f>S237/S158</f>
        <v>4.8703465982028238E-2</v>
      </c>
      <c r="T238" s="417">
        <f>T237/T158</f>
        <v>4.775675166412225E-2</v>
      </c>
      <c r="U238" s="414">
        <f>U237/U158</f>
        <v>9.3469468938540093E-2</v>
      </c>
      <c r="V238" s="414">
        <f>V237/V158</f>
        <v>6.1601761706073253E-2</v>
      </c>
      <c r="W238" s="414">
        <f>W237/W158</f>
        <v>8.3892693035408597E-2</v>
      </c>
      <c r="X238" s="414">
        <f>X237/X158</f>
        <v>7.7639530025577538E-2</v>
      </c>
      <c r="Y238" s="417">
        <f>Y237/Y158</f>
        <v>7.7881577365008905E-2</v>
      </c>
      <c r="Z238" s="414">
        <f>Z237/Z158</f>
        <v>4.1714947856315181E-2</v>
      </c>
      <c r="AA238" s="414">
        <f>AA237/AA158</f>
        <v>7.2340425531914887E-2</v>
      </c>
      <c r="AB238" s="414">
        <f>AB237/AB158</f>
        <v>8.41889117043121E-2</v>
      </c>
      <c r="AC238" s="359">
        <v>0.08</v>
      </c>
      <c r="AD238" s="420">
        <f>AD237/AD158</f>
        <v>6.9064630514973205E-2</v>
      </c>
      <c r="AE238" s="359">
        <v>0.06</v>
      </c>
      <c r="AF238" s="359">
        <v>0.06</v>
      </c>
      <c r="AG238" s="359">
        <v>0.06</v>
      </c>
      <c r="AH238" s="359">
        <v>0.06</v>
      </c>
      <c r="AI238" s="420">
        <f>AI237/AI158</f>
        <v>0.06</v>
      </c>
      <c r="AJ238" s="359">
        <v>0.06</v>
      </c>
      <c r="AK238" s="359">
        <v>0.06</v>
      </c>
      <c r="AL238" s="359">
        <v>0.06</v>
      </c>
      <c r="AM238" s="359">
        <v>0.06</v>
      </c>
      <c r="AN238" s="420">
        <f>AN237/AN158</f>
        <v>6.0000000000000005E-2</v>
      </c>
      <c r="AO238" s="359">
        <v>0.06</v>
      </c>
      <c r="AP238" s="359">
        <v>0.06</v>
      </c>
      <c r="AQ238" s="359">
        <v>0.06</v>
      </c>
      <c r="AR238" s="359">
        <v>0.06</v>
      </c>
      <c r="AS238" s="420">
        <f>AS237/AS158</f>
        <v>6.0000000000000005E-2</v>
      </c>
      <c r="AT238" s="454"/>
      <c r="AU238" s="508"/>
      <c r="BR238" s="438"/>
      <c r="BS238" s="438"/>
      <c r="BT238" s="438"/>
      <c r="BU238" s="438"/>
      <c r="BV238" s="438"/>
      <c r="BW238" s="438"/>
      <c r="BX238" s="438"/>
      <c r="BY238" s="438"/>
      <c r="BZ238" s="438"/>
      <c r="CA238" s="438"/>
      <c r="CB238" s="438"/>
      <c r="CC238" s="438"/>
      <c r="CD238" s="438"/>
      <c r="CE238" s="438"/>
      <c r="CF238" s="438"/>
      <c r="CG238" s="438"/>
      <c r="CH238" s="438"/>
      <c r="CI238" s="438"/>
      <c r="CJ238" s="438"/>
      <c r="CK238" s="438"/>
      <c r="CL238" s="438"/>
      <c r="CM238" s="438"/>
      <c r="CN238" s="438"/>
      <c r="CO238" s="438"/>
      <c r="CP238" s="438"/>
      <c r="CQ238" s="438"/>
      <c r="CR238" s="438"/>
      <c r="CS238" s="438"/>
      <c r="CT238" s="438"/>
      <c r="CU238" s="438"/>
      <c r="CV238" s="438"/>
      <c r="CW238" s="438"/>
      <c r="CX238" s="438"/>
      <c r="CY238" s="438"/>
      <c r="CZ238" s="438"/>
      <c r="DA238" s="438"/>
      <c r="DB238" s="438"/>
      <c r="DC238" s="438"/>
      <c r="DD238" s="438"/>
      <c r="DE238" s="438"/>
      <c r="DF238" s="438"/>
      <c r="DG238" s="438"/>
      <c r="DH238" s="438"/>
      <c r="DI238" s="438"/>
      <c r="DJ238" s="438"/>
      <c r="DK238" s="438"/>
      <c r="DL238" s="438"/>
      <c r="DM238" s="438"/>
      <c r="DN238" s="438"/>
      <c r="DO238" s="438"/>
      <c r="DP238" s="438"/>
      <c r="DQ238" s="438"/>
      <c r="DR238" s="438"/>
      <c r="DS238" s="438"/>
      <c r="DT238" s="438"/>
      <c r="DU238" s="438"/>
      <c r="DV238" s="438"/>
      <c r="DW238" s="438"/>
      <c r="DX238" s="438"/>
      <c r="DY238" s="438"/>
      <c r="DZ238" s="438"/>
      <c r="EA238" s="438"/>
      <c r="EB238" s="438"/>
      <c r="EC238" s="438"/>
      <c r="ED238" s="438"/>
      <c r="EE238" s="438"/>
      <c r="EF238" s="438"/>
      <c r="EG238" s="438"/>
      <c r="EH238" s="438"/>
      <c r="EI238" s="438"/>
      <c r="EJ238" s="438"/>
      <c r="EK238" s="438"/>
      <c r="EL238" s="438"/>
      <c r="EM238" s="438"/>
      <c r="EN238" s="438"/>
      <c r="EO238" s="438"/>
      <c r="EP238" s="438"/>
      <c r="EQ238" s="438"/>
      <c r="ER238" s="438"/>
      <c r="ES238" s="438"/>
      <c r="ET238" s="438"/>
      <c r="EU238" s="438"/>
      <c r="EV238" s="438"/>
      <c r="EW238" s="438"/>
      <c r="EX238" s="438"/>
      <c r="EY238" s="438"/>
      <c r="EZ238" s="438"/>
      <c r="FA238" s="438"/>
      <c r="FB238" s="438"/>
      <c r="FC238" s="438"/>
      <c r="FD238" s="438"/>
      <c r="FE238" s="438"/>
      <c r="FF238" s="438"/>
      <c r="FG238" s="438"/>
      <c r="FH238" s="438"/>
      <c r="FI238" s="438"/>
      <c r="FJ238" s="438"/>
      <c r="FK238" s="438"/>
      <c r="FL238" s="438"/>
      <c r="FM238" s="438"/>
      <c r="FN238" s="438"/>
      <c r="FO238" s="438"/>
      <c r="FP238" s="438"/>
      <c r="FQ238" s="438"/>
      <c r="FR238" s="438"/>
      <c r="FS238" s="438"/>
      <c r="FT238" s="438"/>
      <c r="FU238" s="438"/>
      <c r="FV238" s="438"/>
      <c r="FW238" s="438"/>
      <c r="FX238" s="438"/>
      <c r="FY238" s="438"/>
      <c r="FZ238" s="438"/>
      <c r="GA238" s="438"/>
      <c r="GB238" s="438"/>
      <c r="GC238" s="438"/>
      <c r="GD238" s="438"/>
      <c r="GE238" s="438"/>
      <c r="GF238" s="438"/>
      <c r="GG238" s="438"/>
      <c r="GH238" s="438"/>
      <c r="GI238" s="438"/>
      <c r="GJ238" s="438"/>
      <c r="GK238" s="438"/>
      <c r="GL238" s="438"/>
      <c r="GM238" s="438"/>
      <c r="GN238" s="438"/>
      <c r="GO238" s="438"/>
      <c r="GP238" s="438"/>
      <c r="GQ238" s="438"/>
      <c r="GR238" s="438"/>
      <c r="GS238" s="438"/>
      <c r="GT238" s="438"/>
      <c r="GU238" s="438"/>
      <c r="GV238" s="438"/>
      <c r="GW238" s="438"/>
      <c r="GX238" s="438"/>
      <c r="GY238" s="438"/>
      <c r="GZ238" s="438"/>
      <c r="HA238" s="438"/>
      <c r="HB238" s="438"/>
      <c r="HC238" s="438"/>
      <c r="HD238" s="438"/>
      <c r="HE238" s="438"/>
      <c r="HF238" s="438"/>
      <c r="HG238" s="438"/>
      <c r="HH238" s="438"/>
      <c r="HI238" s="438"/>
      <c r="HJ238" s="438"/>
      <c r="HK238" s="438"/>
      <c r="HL238" s="438"/>
      <c r="HM238" s="438"/>
      <c r="HN238" s="438"/>
      <c r="HO238" s="438"/>
      <c r="HP238" s="438"/>
      <c r="HQ238" s="438"/>
      <c r="HR238" s="438"/>
      <c r="HS238" s="438"/>
      <c r="HT238" s="438"/>
      <c r="HU238" s="438"/>
      <c r="HV238" s="438"/>
      <c r="HW238" s="438"/>
      <c r="HX238" s="438"/>
      <c r="HY238" s="438"/>
      <c r="HZ238" s="438"/>
      <c r="IA238" s="438"/>
      <c r="IB238" s="438"/>
      <c r="IC238" s="438"/>
      <c r="ID238" s="438"/>
      <c r="IE238" s="438"/>
      <c r="IF238" s="438"/>
      <c r="IG238" s="438"/>
      <c r="IH238" s="438"/>
      <c r="II238" s="438"/>
      <c r="IJ238" s="438"/>
      <c r="IK238" s="438"/>
      <c r="IL238" s="438"/>
      <c r="IM238" s="438"/>
      <c r="IN238" s="438"/>
      <c r="IO238" s="438"/>
      <c r="IP238" s="438"/>
      <c r="IQ238" s="438"/>
      <c r="IR238" s="438"/>
      <c r="IS238" s="438"/>
      <c r="IT238" s="438"/>
      <c r="IU238" s="438"/>
      <c r="IV238" s="438"/>
      <c r="IW238" s="438"/>
      <c r="IX238" s="438"/>
      <c r="IY238" s="438"/>
      <c r="IZ238" s="438"/>
      <c r="JA238" s="438"/>
      <c r="JB238" s="438"/>
      <c r="JC238" s="438"/>
      <c r="JD238" s="438"/>
      <c r="JE238" s="438"/>
      <c r="JF238" s="438"/>
      <c r="JG238" s="438"/>
      <c r="JH238" s="438"/>
      <c r="JI238" s="438"/>
    </row>
    <row r="239" spans="1:269">
      <c r="A239" s="319" t="s">
        <v>423</v>
      </c>
      <c r="B239" s="143"/>
      <c r="C239" s="277"/>
      <c r="D239" s="277"/>
      <c r="E239" s="277"/>
      <c r="F239" s="278"/>
      <c r="G239" s="278"/>
      <c r="H239" s="278"/>
      <c r="I239" s="278"/>
      <c r="J239" s="277">
        <v>17.100000000000001</v>
      </c>
      <c r="K239" s="278"/>
      <c r="L239" s="278"/>
      <c r="M239" s="278"/>
      <c r="N239" s="278"/>
      <c r="O239" s="277">
        <v>21.3</v>
      </c>
      <c r="P239" s="278">
        <v>5.6989999999999998</v>
      </c>
      <c r="Q239" s="278">
        <v>2.06</v>
      </c>
      <c r="R239" s="278">
        <v>0.53</v>
      </c>
      <c r="S239" s="278">
        <v>3.488</v>
      </c>
      <c r="T239" s="277">
        <v>11.776999999999999</v>
      </c>
      <c r="U239" s="278">
        <v>3.4</v>
      </c>
      <c r="V239" s="278">
        <v>0.12000000000000011</v>
      </c>
      <c r="W239" s="278">
        <v>3.38</v>
      </c>
      <c r="X239" s="278">
        <v>3.395</v>
      </c>
      <c r="Y239" s="277">
        <v>10.295</v>
      </c>
      <c r="Z239" s="278">
        <v>-0.89999999999999991</v>
      </c>
      <c r="AA239" s="278">
        <v>-2.3000000000000003</v>
      </c>
      <c r="AB239" s="278">
        <v>-3.4</v>
      </c>
      <c r="AC239" s="280">
        <f>AC214</f>
        <v>-3.4</v>
      </c>
      <c r="AD239" s="288">
        <f>SUM(Z239:AC239)</f>
        <v>-10</v>
      </c>
      <c r="AE239" s="280">
        <f>AE214</f>
        <v>-1.7581589915125819</v>
      </c>
      <c r="AF239" s="280">
        <f>AF214</f>
        <v>-1.7350916328113182</v>
      </c>
      <c r="AG239" s="280">
        <f>AG214</f>
        <v>-1.6893152418841249</v>
      </c>
      <c r="AH239" s="280">
        <f>AH214</f>
        <v>-1.719108244841459</v>
      </c>
      <c r="AI239" s="288">
        <f>SUM(AE239:AH239)</f>
        <v>-6.9016741110494841</v>
      </c>
      <c r="AJ239" s="280">
        <f>AJ214</f>
        <v>-1.3297947409378914</v>
      </c>
      <c r="AK239" s="280">
        <f>AK214</f>
        <v>-1.0329839663469063</v>
      </c>
      <c r="AL239" s="280">
        <f>AL214</f>
        <v>-0.82028039110868789</v>
      </c>
      <c r="AM239" s="280">
        <f>AM214</f>
        <v>-0.36351585859061819</v>
      </c>
      <c r="AN239" s="288">
        <f>SUM(AJ239:AM239)</f>
        <v>-3.5465749569841036</v>
      </c>
      <c r="AO239" s="280">
        <f>AO214</f>
        <v>0.14391175053858982</v>
      </c>
      <c r="AP239" s="280">
        <f>AP214</f>
        <v>0.62085825877607415</v>
      </c>
      <c r="AQ239" s="280">
        <f>AQ214</f>
        <v>0.92863232172854882</v>
      </c>
      <c r="AR239" s="280">
        <f>AR214</f>
        <v>1.5028656723241964</v>
      </c>
      <c r="AS239" s="288">
        <f>SUM(AO239:AR239)</f>
        <v>3.1962680033674093</v>
      </c>
      <c r="AU239" s="508"/>
      <c r="AV239" s="143"/>
      <c r="AW239" s="143"/>
      <c r="AX239" s="143"/>
      <c r="AY239" s="143"/>
      <c r="AZ239" s="143"/>
      <c r="BA239" s="143"/>
      <c r="BB239" s="143"/>
      <c r="BC239" s="143"/>
      <c r="BD239" s="143"/>
      <c r="BE239" s="143"/>
      <c r="BF239" s="143"/>
      <c r="BG239" s="143"/>
      <c r="BH239" s="143"/>
      <c r="BI239" s="143"/>
      <c r="BJ239" s="143"/>
      <c r="BK239" s="143"/>
      <c r="BL239" s="143"/>
      <c r="BM239" s="143"/>
      <c r="BN239" s="143"/>
      <c r="BO239" s="143"/>
      <c r="BP239" s="143"/>
      <c r="BQ239" s="143"/>
    </row>
    <row r="240" spans="1:269">
      <c r="A240" s="319" t="s">
        <v>424</v>
      </c>
      <c r="B240" s="143"/>
      <c r="C240" s="277"/>
      <c r="D240" s="277"/>
      <c r="E240" s="277"/>
      <c r="F240" s="278"/>
      <c r="G240" s="278"/>
      <c r="H240" s="278"/>
      <c r="I240" s="278"/>
      <c r="J240" s="277">
        <v>-1.3</v>
      </c>
      <c r="K240" s="278"/>
      <c r="L240" s="278"/>
      <c r="M240" s="278"/>
      <c r="N240" s="278"/>
      <c r="O240" s="277">
        <v>-9.3000000000000007</v>
      </c>
      <c r="P240" s="278">
        <v>-0.30599999999999999</v>
      </c>
      <c r="Q240" s="278">
        <v>-1.87</v>
      </c>
      <c r="R240" s="278">
        <v>-1.129</v>
      </c>
      <c r="S240" s="278">
        <v>1.0629999999999999</v>
      </c>
      <c r="T240" s="277">
        <v>-2.242</v>
      </c>
      <c r="U240" s="278">
        <v>-3.6259999999999999</v>
      </c>
      <c r="V240" s="278">
        <v>3.173</v>
      </c>
      <c r="W240" s="278">
        <v>-0.82099999999999973</v>
      </c>
      <c r="X240" s="278">
        <v>-1.222</v>
      </c>
      <c r="Y240" s="277">
        <v>-2.4959999999999996</v>
      </c>
      <c r="Z240" s="278">
        <v>-2.5</v>
      </c>
      <c r="AA240" s="278">
        <v>-2.2000000000000002</v>
      </c>
      <c r="AB240" s="278">
        <v>3.5</v>
      </c>
      <c r="AC240" s="280">
        <f>AC220</f>
        <v>0</v>
      </c>
      <c r="AD240" s="288">
        <f>SUM(Z240:AC240)</f>
        <v>-1.2000000000000002</v>
      </c>
      <c r="AE240" s="280">
        <f>AE220</f>
        <v>0</v>
      </c>
      <c r="AF240" s="280">
        <f>AF220</f>
        <v>0</v>
      </c>
      <c r="AG240" s="280">
        <f>AG220</f>
        <v>0</v>
      </c>
      <c r="AH240" s="280">
        <f>AH220</f>
        <v>0</v>
      </c>
      <c r="AI240" s="288">
        <f>SUM(AE240:AH240)</f>
        <v>0</v>
      </c>
      <c r="AJ240" s="280">
        <f>AJ220</f>
        <v>0.47110683107810858</v>
      </c>
      <c r="AK240" s="280">
        <f>AK220</f>
        <v>2.3665474166541318</v>
      </c>
      <c r="AL240" s="280">
        <f>AL220</f>
        <v>2.1749720872969265</v>
      </c>
      <c r="AM240" s="280">
        <f>AM220</f>
        <v>4.7884773296215526</v>
      </c>
      <c r="AN240" s="288">
        <f>SUM(AJ240:AM240)</f>
        <v>9.8011036646507197</v>
      </c>
      <c r="AO240" s="280">
        <f>AO220</f>
        <v>1.5206352845380713</v>
      </c>
      <c r="AP240" s="280">
        <f>AP220</f>
        <v>3.7174521416762945</v>
      </c>
      <c r="AQ240" s="280">
        <f>AQ220</f>
        <v>3.2949317644555336</v>
      </c>
      <c r="AR240" s="280">
        <f>AR220</f>
        <v>6.6439422022597618</v>
      </c>
      <c r="AS240" s="288">
        <f>SUM(AO240:AR240)</f>
        <v>15.176961392929661</v>
      </c>
      <c r="AT240" s="464"/>
      <c r="AU240" s="508"/>
      <c r="AV240" s="143"/>
      <c r="AW240" s="143"/>
      <c r="AX240" s="143"/>
      <c r="AY240" s="143"/>
      <c r="AZ240" s="143"/>
      <c r="BA240" s="143"/>
      <c r="BB240" s="143"/>
      <c r="BC240" s="143"/>
      <c r="BD240" s="143"/>
      <c r="BE240" s="143"/>
      <c r="BF240" s="143"/>
      <c r="BG240" s="143"/>
      <c r="BH240" s="143"/>
      <c r="BI240" s="143"/>
      <c r="BJ240" s="143"/>
      <c r="BK240" s="143"/>
      <c r="BL240" s="143"/>
      <c r="BM240" s="143"/>
      <c r="BN240" s="143"/>
      <c r="BO240" s="143"/>
      <c r="BP240" s="143"/>
      <c r="BQ240" s="143"/>
    </row>
    <row r="241" spans="1:269">
      <c r="A241" s="319" t="s">
        <v>201</v>
      </c>
      <c r="B241" s="143"/>
      <c r="C241" s="277"/>
      <c r="D241" s="277"/>
      <c r="E241" s="277"/>
      <c r="F241" s="278"/>
      <c r="G241" s="278"/>
      <c r="H241" s="278"/>
      <c r="I241" s="278"/>
      <c r="J241" s="277">
        <v>4</v>
      </c>
      <c r="K241" s="278"/>
      <c r="L241" s="278"/>
      <c r="M241" s="278"/>
      <c r="N241" s="278"/>
      <c r="O241" s="277"/>
      <c r="P241" s="278">
        <v>7.0000000000000001E-3</v>
      </c>
      <c r="Q241" s="278">
        <v>4.3070000000000004</v>
      </c>
      <c r="R241" s="278">
        <v>209.881</v>
      </c>
      <c r="S241" s="278">
        <v>6.1420000000000003</v>
      </c>
      <c r="T241" s="277">
        <v>220.33699999999999</v>
      </c>
      <c r="U241" s="278">
        <v>0</v>
      </c>
      <c r="V241" s="278">
        <v>0</v>
      </c>
      <c r="W241" s="278">
        <v>-2.0959999999999992</v>
      </c>
      <c r="X241" s="278">
        <v>1.27</v>
      </c>
      <c r="Y241" s="277">
        <v>-0.82599999999999918</v>
      </c>
      <c r="Z241" s="278">
        <v>-0.4</v>
      </c>
      <c r="AA241" s="278">
        <v>0</v>
      </c>
      <c r="AB241" s="278">
        <v>-5.3000000000000007</v>
      </c>
      <c r="AC241" s="287">
        <v>0</v>
      </c>
      <c r="AD241" s="288">
        <f t="shared" ref="AD241:AD246" si="550">SUM(Z241:AC241)</f>
        <v>-5.7000000000000011</v>
      </c>
      <c r="AE241" s="287">
        <v>0</v>
      </c>
      <c r="AF241" s="287">
        <v>0</v>
      </c>
      <c r="AG241" s="287">
        <v>0</v>
      </c>
      <c r="AH241" s="287">
        <v>0</v>
      </c>
      <c r="AI241" s="288">
        <f t="shared" ref="AI241:AI246" si="551">SUM(AE241:AH241)</f>
        <v>0</v>
      </c>
      <c r="AJ241" s="287">
        <v>0</v>
      </c>
      <c r="AK241" s="287">
        <v>0</v>
      </c>
      <c r="AL241" s="287">
        <v>0</v>
      </c>
      <c r="AM241" s="287">
        <v>0</v>
      </c>
      <c r="AN241" s="288">
        <f t="shared" ref="AN241:AN246" si="552">SUM(AJ241:AM241)</f>
        <v>0</v>
      </c>
      <c r="AO241" s="287">
        <v>0</v>
      </c>
      <c r="AP241" s="287">
        <v>0</v>
      </c>
      <c r="AQ241" s="287">
        <v>0</v>
      </c>
      <c r="AR241" s="287">
        <v>0</v>
      </c>
      <c r="AS241" s="288">
        <f t="shared" ref="AS241:AS246" si="553">SUM(AO241:AR241)</f>
        <v>0</v>
      </c>
      <c r="AT241" s="458"/>
      <c r="AU241" s="508"/>
      <c r="AV241" s="143"/>
      <c r="AW241" s="143"/>
      <c r="AX241" s="143"/>
      <c r="AY241" s="143"/>
      <c r="AZ241" s="143"/>
      <c r="BA241" s="143"/>
      <c r="BB241" s="143"/>
      <c r="BC241" s="143"/>
      <c r="BD241" s="143"/>
      <c r="BE241" s="143"/>
      <c r="BF241" s="143"/>
      <c r="BG241" s="143"/>
      <c r="BH241" s="143"/>
      <c r="BI241" s="143"/>
      <c r="BJ241" s="143"/>
      <c r="BK241" s="143"/>
      <c r="BL241" s="143"/>
      <c r="BM241" s="143"/>
      <c r="BN241" s="143"/>
      <c r="BO241" s="143"/>
      <c r="BP241" s="143"/>
      <c r="BQ241" s="143"/>
    </row>
    <row r="242" spans="1:269" hidden="1" outlineLevel="1">
      <c r="A242" s="426" t="s">
        <v>425</v>
      </c>
      <c r="B242" s="143"/>
      <c r="C242" s="277"/>
      <c r="D242" s="277"/>
      <c r="E242" s="277"/>
      <c r="F242" s="278"/>
      <c r="G242" s="278"/>
      <c r="H242" s="278"/>
      <c r="I242" s="278"/>
      <c r="J242" s="277">
        <v>0</v>
      </c>
      <c r="K242" s="278"/>
      <c r="L242" s="278"/>
      <c r="M242" s="278"/>
      <c r="N242" s="278"/>
      <c r="O242" s="277"/>
      <c r="P242" s="278">
        <v>0.25600000000000001</v>
      </c>
      <c r="Q242" s="278">
        <v>-2.4E-2</v>
      </c>
      <c r="R242" s="278">
        <v>0.43099999999999999</v>
      </c>
      <c r="S242" s="278">
        <v>-0.59399999999999997</v>
      </c>
      <c r="T242" s="277">
        <v>6.9000000000000061E-2</v>
      </c>
      <c r="U242" s="278">
        <v>-0.36799999999999999</v>
      </c>
      <c r="V242" s="278">
        <v>2.206</v>
      </c>
      <c r="W242" s="278">
        <v>-3.7999999999999999E-2</v>
      </c>
      <c r="X242" s="278">
        <v>1.3640000000000001</v>
      </c>
      <c r="Y242" s="277">
        <v>3.1640000000000001</v>
      </c>
      <c r="Z242" s="278">
        <v>0.9</v>
      </c>
      <c r="AA242" s="278">
        <v>-0.4</v>
      </c>
      <c r="AB242" s="278">
        <v>2.2999999999999998</v>
      </c>
      <c r="AC242" s="287">
        <v>0</v>
      </c>
      <c r="AD242" s="288">
        <f t="shared" si="550"/>
        <v>2.8</v>
      </c>
      <c r="AE242" s="287">
        <v>0</v>
      </c>
      <c r="AF242" s="287">
        <v>0</v>
      </c>
      <c r="AG242" s="287">
        <v>0</v>
      </c>
      <c r="AH242" s="287">
        <v>0</v>
      </c>
      <c r="AI242" s="288">
        <f t="shared" si="551"/>
        <v>0</v>
      </c>
      <c r="AJ242" s="287">
        <v>0</v>
      </c>
      <c r="AK242" s="287">
        <v>0</v>
      </c>
      <c r="AL242" s="287">
        <v>0</v>
      </c>
      <c r="AM242" s="287">
        <v>0</v>
      </c>
      <c r="AN242" s="288">
        <f t="shared" si="552"/>
        <v>0</v>
      </c>
      <c r="AO242" s="287">
        <v>0</v>
      </c>
      <c r="AP242" s="287">
        <v>0</v>
      </c>
      <c r="AQ242" s="287">
        <v>0</v>
      </c>
      <c r="AR242" s="287">
        <v>0</v>
      </c>
      <c r="AS242" s="288">
        <f t="shared" si="553"/>
        <v>0</v>
      </c>
      <c r="AT242" s="458"/>
      <c r="AU242" s="508"/>
      <c r="AV242" s="143"/>
      <c r="AW242" s="143"/>
      <c r="AX242" s="143"/>
      <c r="AY242" s="143"/>
      <c r="AZ242" s="143"/>
      <c r="BA242" s="143"/>
      <c r="BB242" s="143"/>
      <c r="BC242" s="143"/>
      <c r="BD242" s="143"/>
      <c r="BE242" s="143"/>
      <c r="BF242" s="143"/>
      <c r="BG242" s="143"/>
      <c r="BH242" s="143"/>
      <c r="BI242" s="143"/>
      <c r="BJ242" s="143"/>
      <c r="BK242" s="143"/>
      <c r="BL242" s="143"/>
      <c r="BM242" s="143"/>
      <c r="BN242" s="143"/>
      <c r="BO242" s="143"/>
      <c r="BP242" s="143"/>
      <c r="BQ242" s="143"/>
    </row>
    <row r="243" spans="1:269" hidden="1" outlineLevel="1">
      <c r="A243" s="426" t="s">
        <v>426</v>
      </c>
      <c r="B243" s="143"/>
      <c r="C243" s="277"/>
      <c r="D243" s="277"/>
      <c r="E243" s="277"/>
      <c r="F243" s="278"/>
      <c r="G243" s="278"/>
      <c r="H243" s="278"/>
      <c r="I243" s="278"/>
      <c r="J243" s="277">
        <v>1.7</v>
      </c>
      <c r="K243" s="278"/>
      <c r="L243" s="278"/>
      <c r="M243" s="278"/>
      <c r="N243" s="278"/>
      <c r="O243" s="277">
        <v>1.5</v>
      </c>
      <c r="P243" s="278">
        <v>0.127</v>
      </c>
      <c r="Q243" s="278">
        <v>8.2000000000000003E-2</v>
      </c>
      <c r="R243" s="278">
        <v>0</v>
      </c>
      <c r="S243" s="278">
        <v>0</v>
      </c>
      <c r="T243" s="277">
        <v>0.20900000000000002</v>
      </c>
      <c r="U243" s="278">
        <v>0</v>
      </c>
      <c r="V243" s="278">
        <v>0</v>
      </c>
      <c r="W243" s="278">
        <v>0</v>
      </c>
      <c r="X243" s="278">
        <v>0</v>
      </c>
      <c r="Y243" s="277">
        <v>0</v>
      </c>
      <c r="Z243" s="278">
        <v>0</v>
      </c>
      <c r="AA243" s="278">
        <v>0</v>
      </c>
      <c r="AB243" s="278">
        <v>0</v>
      </c>
      <c r="AC243" s="287">
        <v>0</v>
      </c>
      <c r="AD243" s="288">
        <f t="shared" si="550"/>
        <v>0</v>
      </c>
      <c r="AE243" s="287">
        <v>0</v>
      </c>
      <c r="AF243" s="287">
        <v>0</v>
      </c>
      <c r="AG243" s="287">
        <v>0</v>
      </c>
      <c r="AH243" s="287">
        <v>0</v>
      </c>
      <c r="AI243" s="288">
        <f t="shared" si="551"/>
        <v>0</v>
      </c>
      <c r="AJ243" s="287">
        <v>0</v>
      </c>
      <c r="AK243" s="287">
        <v>0</v>
      </c>
      <c r="AL243" s="287">
        <v>0</v>
      </c>
      <c r="AM243" s="287">
        <v>0</v>
      </c>
      <c r="AN243" s="288">
        <f t="shared" si="552"/>
        <v>0</v>
      </c>
      <c r="AO243" s="287">
        <v>0</v>
      </c>
      <c r="AP243" s="287">
        <v>0</v>
      </c>
      <c r="AQ243" s="287">
        <v>0</v>
      </c>
      <c r="AR243" s="287">
        <v>0</v>
      </c>
      <c r="AS243" s="288">
        <f t="shared" si="553"/>
        <v>0</v>
      </c>
      <c r="AT243" s="458"/>
      <c r="AU243" s="508"/>
      <c r="AV243" s="143"/>
      <c r="AW243" s="143"/>
      <c r="AX243" s="143"/>
      <c r="AY243" s="143"/>
      <c r="AZ243" s="143"/>
      <c r="BA243" s="143"/>
      <c r="BB243" s="143"/>
      <c r="BC243" s="143"/>
      <c r="BD243" s="143"/>
      <c r="BE243" s="143"/>
      <c r="BF243" s="143"/>
      <c r="BG243" s="143"/>
      <c r="BH243" s="143"/>
      <c r="BI243" s="143"/>
      <c r="BJ243" s="143"/>
      <c r="BK243" s="143"/>
      <c r="BL243" s="143"/>
      <c r="BM243" s="143"/>
      <c r="BN243" s="143"/>
      <c r="BO243" s="143"/>
      <c r="BP243" s="143"/>
      <c r="BQ243" s="143"/>
    </row>
    <row r="244" spans="1:269" hidden="1" outlineLevel="1">
      <c r="A244" s="426" t="s">
        <v>427</v>
      </c>
      <c r="B244" s="143"/>
      <c r="C244" s="277"/>
      <c r="D244" s="277"/>
      <c r="E244" s="277"/>
      <c r="F244" s="278"/>
      <c r="G244" s="278"/>
      <c r="H244" s="278"/>
      <c r="I244" s="278"/>
      <c r="J244" s="277">
        <v>0</v>
      </c>
      <c r="K244" s="278"/>
      <c r="L244" s="278"/>
      <c r="M244" s="278"/>
      <c r="N244" s="278"/>
      <c r="O244" s="277">
        <v>3.1</v>
      </c>
      <c r="P244" s="278">
        <v>0</v>
      </c>
      <c r="Q244" s="278">
        <v>0</v>
      </c>
      <c r="R244" s="278">
        <v>0</v>
      </c>
      <c r="S244" s="278">
        <v>0</v>
      </c>
      <c r="T244" s="277">
        <v>0</v>
      </c>
      <c r="U244" s="278">
        <v>0</v>
      </c>
      <c r="V244" s="278">
        <v>0</v>
      </c>
      <c r="W244" s="278">
        <v>0</v>
      </c>
      <c r="X244" s="278">
        <v>0</v>
      </c>
      <c r="Y244" s="277">
        <v>0</v>
      </c>
      <c r="Z244" s="278">
        <v>0</v>
      </c>
      <c r="AA244" s="278">
        <v>0</v>
      </c>
      <c r="AB244" s="278">
        <v>0</v>
      </c>
      <c r="AC244" s="287">
        <v>0</v>
      </c>
      <c r="AD244" s="288">
        <f t="shared" si="550"/>
        <v>0</v>
      </c>
      <c r="AE244" s="287">
        <v>0</v>
      </c>
      <c r="AF244" s="287">
        <v>0</v>
      </c>
      <c r="AG244" s="287">
        <v>0</v>
      </c>
      <c r="AH244" s="287">
        <v>0</v>
      </c>
      <c r="AI244" s="288">
        <f t="shared" si="551"/>
        <v>0</v>
      </c>
      <c r="AJ244" s="287">
        <v>0</v>
      </c>
      <c r="AK244" s="287">
        <v>0</v>
      </c>
      <c r="AL244" s="287">
        <v>0</v>
      </c>
      <c r="AM244" s="287">
        <v>0</v>
      </c>
      <c r="AN244" s="288">
        <f t="shared" si="552"/>
        <v>0</v>
      </c>
      <c r="AO244" s="287">
        <v>0</v>
      </c>
      <c r="AP244" s="287">
        <v>0</v>
      </c>
      <c r="AQ244" s="287">
        <v>0</v>
      </c>
      <c r="AR244" s="287">
        <v>0</v>
      </c>
      <c r="AS244" s="288">
        <f t="shared" si="553"/>
        <v>0</v>
      </c>
      <c r="AU244" s="508"/>
      <c r="AV244" s="143"/>
      <c r="AW244" s="143"/>
      <c r="AX244" s="143"/>
      <c r="AY244" s="143"/>
      <c r="AZ244" s="143"/>
      <c r="BA244" s="143"/>
      <c r="BB244" s="143"/>
      <c r="BC244" s="143"/>
      <c r="BD244" s="143"/>
      <c r="BE244" s="143"/>
      <c r="BF244" s="143"/>
      <c r="BG244" s="143"/>
      <c r="BH244" s="143"/>
      <c r="BI244" s="143"/>
      <c r="BJ244" s="143"/>
      <c r="BK244" s="143"/>
      <c r="BL244" s="143"/>
      <c r="BM244" s="143"/>
      <c r="BN244" s="143"/>
      <c r="BO244" s="143"/>
      <c r="BP244" s="143"/>
      <c r="BQ244" s="143"/>
    </row>
    <row r="245" spans="1:269" hidden="1" outlineLevel="1">
      <c r="A245" s="426" t="s">
        <v>428</v>
      </c>
      <c r="B245" s="143"/>
      <c r="C245" s="277"/>
      <c r="D245" s="277"/>
      <c r="E245" s="277"/>
      <c r="F245" s="278"/>
      <c r="G245" s="278"/>
      <c r="H245" s="278"/>
      <c r="I245" s="278"/>
      <c r="J245" s="277">
        <v>1.7</v>
      </c>
      <c r="K245" s="278"/>
      <c r="L245" s="278"/>
      <c r="M245" s="278"/>
      <c r="N245" s="278"/>
      <c r="O245" s="277">
        <v>4.2</v>
      </c>
      <c r="P245" s="278">
        <v>0.746</v>
      </c>
      <c r="Q245" s="278">
        <v>30.411000000000001</v>
      </c>
      <c r="R245" s="278">
        <v>1.1559999999999999</v>
      </c>
      <c r="S245" s="278">
        <v>2.6</v>
      </c>
      <c r="T245" s="277">
        <v>34.913000000000004</v>
      </c>
      <c r="U245" s="278">
        <v>1.0449999999999999</v>
      </c>
      <c r="V245" s="278">
        <v>1.986</v>
      </c>
      <c r="W245" s="278">
        <v>0</v>
      </c>
      <c r="X245" s="278">
        <v>0.02</v>
      </c>
      <c r="Y245" s="277">
        <v>3.0509999999999997</v>
      </c>
      <c r="Z245" s="278">
        <v>0</v>
      </c>
      <c r="AA245" s="278">
        <v>0.8</v>
      </c>
      <c r="AB245" s="278">
        <v>0</v>
      </c>
      <c r="AC245" s="287">
        <v>0</v>
      </c>
      <c r="AD245" s="288">
        <f t="shared" si="550"/>
        <v>0.8</v>
      </c>
      <c r="AE245" s="287">
        <v>0</v>
      </c>
      <c r="AF245" s="287">
        <v>0</v>
      </c>
      <c r="AG245" s="287">
        <v>0</v>
      </c>
      <c r="AH245" s="287">
        <v>0</v>
      </c>
      <c r="AI245" s="288">
        <f t="shared" si="551"/>
        <v>0</v>
      </c>
      <c r="AJ245" s="287">
        <v>0</v>
      </c>
      <c r="AK245" s="287">
        <v>0</v>
      </c>
      <c r="AL245" s="287">
        <v>0</v>
      </c>
      <c r="AM245" s="287">
        <v>0</v>
      </c>
      <c r="AN245" s="288">
        <f t="shared" si="552"/>
        <v>0</v>
      </c>
      <c r="AO245" s="287">
        <v>0</v>
      </c>
      <c r="AP245" s="287">
        <v>0</v>
      </c>
      <c r="AQ245" s="287">
        <v>0</v>
      </c>
      <c r="AR245" s="287">
        <v>0</v>
      </c>
      <c r="AS245" s="288">
        <f t="shared" si="553"/>
        <v>0</v>
      </c>
      <c r="AT245" s="462"/>
      <c r="AU245" s="508"/>
      <c r="AV245" s="143"/>
      <c r="AW245" s="143"/>
      <c r="AX245" s="143"/>
      <c r="AY245" s="143"/>
      <c r="AZ245" s="143"/>
      <c r="BA245" s="143"/>
      <c r="BB245" s="143"/>
      <c r="BC245" s="143"/>
      <c r="BD245" s="143"/>
      <c r="BE245" s="143"/>
      <c r="BF245" s="143"/>
      <c r="BG245" s="143"/>
      <c r="BH245" s="143"/>
      <c r="BI245" s="143"/>
      <c r="BJ245" s="143"/>
      <c r="BK245" s="143"/>
      <c r="BL245" s="143"/>
      <c r="BM245" s="143"/>
      <c r="BN245" s="143"/>
      <c r="BO245" s="143"/>
      <c r="BP245" s="143"/>
      <c r="BQ245" s="143"/>
    </row>
    <row r="246" spans="1:269" hidden="1" outlineLevel="1">
      <c r="A246" s="426" t="s">
        <v>429</v>
      </c>
      <c r="B246" s="143"/>
      <c r="C246" s="277"/>
      <c r="D246" s="277"/>
      <c r="E246" s="277"/>
      <c r="F246" s="278"/>
      <c r="G246" s="278"/>
      <c r="H246" s="278"/>
      <c r="I246" s="278"/>
      <c r="J246" s="277">
        <v>1.0999999999999999</v>
      </c>
      <c r="K246" s="278"/>
      <c r="L246" s="278"/>
      <c r="M246" s="278"/>
      <c r="N246" s="278"/>
      <c r="O246" s="277">
        <v>1.6</v>
      </c>
      <c r="P246" s="278">
        <v>8.6999999999999994E-2</v>
      </c>
      <c r="Q246" s="278">
        <v>108.60199999999999</v>
      </c>
      <c r="R246" s="278">
        <v>0.45200000000000001</v>
      </c>
      <c r="S246" s="278">
        <v>3.323</v>
      </c>
      <c r="T246" s="277">
        <v>112.46399999999998</v>
      </c>
      <c r="U246" s="278">
        <v>-42.919000000000004</v>
      </c>
      <c r="V246" s="278">
        <v>-14.946</v>
      </c>
      <c r="W246" s="278">
        <v>2.5950000000000002</v>
      </c>
      <c r="X246" s="278">
        <v>-6.0080000000000009</v>
      </c>
      <c r="Y246" s="277">
        <v>-61.278000000000006</v>
      </c>
      <c r="Z246" s="278">
        <v>14.9</v>
      </c>
      <c r="AA246" s="278">
        <v>-0.49999999999999911</v>
      </c>
      <c r="AB246" s="278">
        <v>69.5</v>
      </c>
      <c r="AC246" s="287">
        <v>0</v>
      </c>
      <c r="AD246" s="288">
        <f t="shared" si="550"/>
        <v>83.9</v>
      </c>
      <c r="AE246" s="287">
        <v>0</v>
      </c>
      <c r="AF246" s="287">
        <v>0</v>
      </c>
      <c r="AG246" s="287">
        <v>0</v>
      </c>
      <c r="AH246" s="287">
        <v>0</v>
      </c>
      <c r="AI246" s="288">
        <f t="shared" si="551"/>
        <v>0</v>
      </c>
      <c r="AJ246" s="287">
        <v>0</v>
      </c>
      <c r="AK246" s="287">
        <v>0</v>
      </c>
      <c r="AL246" s="287">
        <v>0</v>
      </c>
      <c r="AM246" s="287">
        <v>0</v>
      </c>
      <c r="AN246" s="288">
        <f t="shared" si="552"/>
        <v>0</v>
      </c>
      <c r="AO246" s="287">
        <v>0</v>
      </c>
      <c r="AP246" s="287">
        <v>0</v>
      </c>
      <c r="AQ246" s="287">
        <v>0</v>
      </c>
      <c r="AR246" s="287">
        <v>0</v>
      </c>
      <c r="AS246" s="288">
        <f t="shared" si="553"/>
        <v>0</v>
      </c>
      <c r="AT246" s="462"/>
      <c r="AU246" s="508"/>
      <c r="AV246" s="143"/>
      <c r="AW246" s="143"/>
      <c r="AX246" s="143"/>
      <c r="AY246" s="143"/>
      <c r="AZ246" s="143"/>
      <c r="BA246" s="143"/>
      <c r="BB246" s="143"/>
      <c r="BC246" s="143"/>
      <c r="BD246" s="143"/>
      <c r="BE246" s="143"/>
      <c r="BF246" s="143"/>
      <c r="BG246" s="143"/>
      <c r="BH246" s="143"/>
      <c r="BI246" s="143"/>
      <c r="BJ246" s="143"/>
      <c r="BK246" s="143"/>
      <c r="BL246" s="143"/>
      <c r="BM246" s="143"/>
      <c r="BN246" s="143"/>
      <c r="BO246" s="143"/>
      <c r="BP246" s="143"/>
      <c r="BQ246" s="143"/>
    </row>
    <row r="247" spans="1:269" collapsed="1">
      <c r="A247" s="426"/>
      <c r="B247" s="143"/>
      <c r="C247" s="277"/>
      <c r="D247" s="277"/>
      <c r="E247" s="277"/>
      <c r="F247" s="278"/>
      <c r="G247" s="278"/>
      <c r="H247" s="278"/>
      <c r="I247" s="278"/>
      <c r="J247" s="277"/>
      <c r="K247" s="278"/>
      <c r="L247" s="278"/>
      <c r="M247" s="278"/>
      <c r="N247" s="278"/>
      <c r="O247" s="277"/>
      <c r="P247" s="278"/>
      <c r="Q247" s="278"/>
      <c r="R247" s="278"/>
      <c r="S247" s="278"/>
      <c r="T247" s="277"/>
      <c r="U247" s="278"/>
      <c r="V247" s="278"/>
      <c r="W247" s="278"/>
      <c r="X247" s="278"/>
      <c r="Y247" s="277"/>
      <c r="Z247" s="278"/>
      <c r="AA247" s="278"/>
      <c r="AB247" s="278"/>
      <c r="AC247" s="280"/>
      <c r="AD247" s="320"/>
      <c r="AE247" s="280"/>
      <c r="AF247" s="280"/>
      <c r="AG247" s="144"/>
      <c r="AH247" s="144"/>
      <c r="AI247" s="320"/>
      <c r="AJ247" s="144"/>
      <c r="AK247" s="144"/>
      <c r="AL247" s="144"/>
      <c r="AM247" s="144"/>
      <c r="AN247" s="320"/>
      <c r="AO247" s="144"/>
      <c r="AP247" s="144"/>
      <c r="AQ247" s="144"/>
      <c r="AR247" s="144"/>
      <c r="AS247" s="320"/>
      <c r="AT247" s="462"/>
      <c r="AU247" s="508"/>
      <c r="AV247" s="143"/>
      <c r="AW247" s="143"/>
      <c r="AX247" s="143"/>
      <c r="AY247" s="143"/>
      <c r="AZ247" s="143"/>
      <c r="BA247" s="143"/>
      <c r="BB247" s="143"/>
      <c r="BC247" s="143"/>
      <c r="BD247" s="143"/>
      <c r="BE247" s="143"/>
      <c r="BF247" s="143"/>
      <c r="BG247" s="143"/>
      <c r="BH247" s="143"/>
      <c r="BI247" s="143"/>
      <c r="BJ247" s="143"/>
      <c r="BK247" s="143"/>
      <c r="BL247" s="143"/>
      <c r="BM247" s="143"/>
      <c r="BN247" s="143"/>
      <c r="BO247" s="143"/>
      <c r="BP247" s="143"/>
      <c r="BQ247" s="143"/>
    </row>
    <row r="248" spans="1:269" ht="15" thickBot="1">
      <c r="A248" s="530" t="s">
        <v>430</v>
      </c>
      <c r="B248" s="67"/>
      <c r="C248" s="68">
        <v>15.6</v>
      </c>
      <c r="D248" s="68">
        <v>17.399999999999999</v>
      </c>
      <c r="E248" s="68">
        <v>26.2</v>
      </c>
      <c r="F248" s="500"/>
      <c r="G248" s="500"/>
      <c r="H248" s="500"/>
      <c r="I248" s="500"/>
      <c r="J248" s="68">
        <v>41</v>
      </c>
      <c r="K248" s="500">
        <v>-2.0739999999999998</v>
      </c>
      <c r="L248" s="500">
        <v>-1.1000000000000001</v>
      </c>
      <c r="M248" s="500">
        <v>7.4</v>
      </c>
      <c r="N248" s="500">
        <v>3.5</v>
      </c>
      <c r="O248" s="68">
        <v>7.7000000000000011</v>
      </c>
      <c r="P248" s="500">
        <v>6.9949999999999992</v>
      </c>
      <c r="Q248" s="500">
        <v>11.391999999999996</v>
      </c>
      <c r="R248" s="500">
        <v>5.8239999999999963</v>
      </c>
      <c r="S248" s="500">
        <v>8.4990000000000077</v>
      </c>
      <c r="T248" s="68">
        <v>32.71</v>
      </c>
      <c r="U248" s="500">
        <v>2.2169999999999916</v>
      </c>
      <c r="V248" s="500">
        <v>12.637999999999996</v>
      </c>
      <c r="W248" s="500">
        <v>16.537999999999997</v>
      </c>
      <c r="X248" s="500">
        <v>16.268999999999998</v>
      </c>
      <c r="Y248" s="68">
        <v>47.661999999999985</v>
      </c>
      <c r="Z248" s="500">
        <v>-0.50000000000000711</v>
      </c>
      <c r="AA248" s="500">
        <v>17.800000000000008</v>
      </c>
      <c r="AB248" s="500">
        <v>9.1</v>
      </c>
      <c r="AC248" s="72">
        <f>AC234+AC235+AC237+AC239+AC240+AC241+AC242+AC243+AC244+AC245+AC246</f>
        <v>9.261613571752477</v>
      </c>
      <c r="AD248" s="572">
        <f>SUM(Z248:AC248)</f>
        <v>35.661613571752476</v>
      </c>
      <c r="AE248" s="72">
        <f>AE234+AE235+AE237+AE239+AE240+AE241+AE242+AE243+AE244+AE245+AE246</f>
        <v>0.11896855514753413</v>
      </c>
      <c r="AF248" s="72">
        <f>AF234+AF235+AF237+AF239+AF240+AF241+AF242+AF243+AF244+AF245+AF246</f>
        <v>-1.2516072000643423</v>
      </c>
      <c r="AG248" s="72">
        <f>AG234+AG235+AG237+AG239+AG240+AG241+AG242+AG243+AG244+AG245+AG246</f>
        <v>11.821896549126311</v>
      </c>
      <c r="AH248" s="72">
        <f>AH234+AH235+AH237+AH239+AH240+AH241+AH242+AH243+AH244+AH245+AH246</f>
        <v>26.552521338350012</v>
      </c>
      <c r="AI248" s="572">
        <f>SUM(AE248:AH248)</f>
        <v>37.241779242559517</v>
      </c>
      <c r="AJ248" s="72">
        <f>AJ234+AJ235+AJ237+AJ239+AJ240+AJ241+AJ242+AJ243+AJ244+AJ245+AJ246</f>
        <v>13.88974721686778</v>
      </c>
      <c r="AK248" s="72">
        <f>AK234+AK235+AK237+AK239+AK240+AK241+AK242+AK243+AK244+AK245+AK246</f>
        <v>24.240700037895298</v>
      </c>
      <c r="AL248" s="72">
        <f>AL234+AL235+AL237+AL239+AL240+AL241+AL242+AL243+AL244+AL245+AL246</f>
        <v>22.889162933310274</v>
      </c>
      <c r="AM248" s="72">
        <f>AM234+AM235+AM237+AM239+AM240+AM241+AM242+AM243+AM244+AM245+AM246</f>
        <v>36.534438144388616</v>
      </c>
      <c r="AN248" s="572">
        <f>SUM(AJ248:AM248)</f>
        <v>97.554048332461974</v>
      </c>
      <c r="AO248" s="72">
        <f>AO234+AO235+AO237+AO239+AO240+AO241+AO242+AO243+AO244+AO245+AO246</f>
        <v>19.784667738558216</v>
      </c>
      <c r="AP248" s="72">
        <f>AP234+AP235+AP237+AP239+AP240+AP241+AP242+AP243+AP244+AP245+AP246</f>
        <v>31.952546044694291</v>
      </c>
      <c r="AQ248" s="72">
        <f>AQ234+AQ235+AQ237+AQ239+AQ240+AQ241+AQ242+AQ243+AQ244+AQ245+AQ246</f>
        <v>29.470147978205443</v>
      </c>
      <c r="AR248" s="72">
        <f>AR234+AR235+AR237+AR239+AR240+AR241+AR242+AR243+AR244+AR245+AR246</f>
        <v>47.534662620026779</v>
      </c>
      <c r="AS248" s="572">
        <f>SUM(AO248:AR248)</f>
        <v>128.74202438148473</v>
      </c>
      <c r="AT248" s="462"/>
      <c r="AU248" s="508"/>
      <c r="AV248" s="143"/>
      <c r="AW248" s="143"/>
      <c r="AX248" s="143"/>
      <c r="AY248" s="143"/>
      <c r="AZ248" s="143"/>
      <c r="BA248" s="143"/>
      <c r="BB248" s="143"/>
      <c r="BC248" s="143"/>
      <c r="BD248" s="143"/>
      <c r="BE248" s="143"/>
      <c r="BF248" s="143"/>
      <c r="BG248" s="143"/>
      <c r="BH248" s="143"/>
      <c r="BI248" s="143"/>
      <c r="BJ248" s="143"/>
      <c r="BK248" s="143"/>
      <c r="BL248" s="143"/>
      <c r="BM248" s="143"/>
      <c r="BN248" s="143"/>
      <c r="BO248" s="143"/>
      <c r="BP248" s="143"/>
      <c r="BQ248" s="143"/>
    </row>
    <row r="249" spans="1:269" ht="15" thickTop="1">
      <c r="A249" s="319" t="s">
        <v>525</v>
      </c>
      <c r="B249" s="447" t="s">
        <v>437</v>
      </c>
      <c r="C249" s="277"/>
      <c r="D249" s="277"/>
      <c r="E249" s="277"/>
      <c r="F249" s="460" cm="1">
        <f t="array" ref="F249">_xll.VAData("SKIN_US", F$4, $B249, "consensus", "CD", "IMPL","", "")</f>
        <v>7.7666666666666702</v>
      </c>
      <c r="G249" s="460" cm="1">
        <f t="array" ref="G249">_xll.VAData("SKIN_US", G$4, $B249, "consensus", "CD", "IMPL","", "")</f>
        <v>7.7666666666666702</v>
      </c>
      <c r="H249" s="460" cm="1">
        <f t="array" ref="H249">_xll.VAData("SKIN_US", H$4, $B249, "consensus", "CD", "IMPL","", "")</f>
        <v>7.7666666666666702</v>
      </c>
      <c r="I249" s="460" cm="1">
        <f t="array" ref="I249">_xll.VAData("SKIN_US", I$4, $B249, "consensus", "CD", "IMPL","", "")</f>
        <v>13.242000000000001</v>
      </c>
      <c r="J249" s="588" cm="1">
        <f t="array" ref="J249">_xll.VAData("SKIN_US", J$4, $B249, "consensus", "CD", "IMPL","", "")</f>
        <v>34.523301809523808</v>
      </c>
      <c r="K249" s="460" cm="1">
        <f t="array" ref="K249">_xll.VAData("SKIN_US", K$4, $B249, "consensus", "CD", "IMPL","", "")</f>
        <v>-2.1885555555555554</v>
      </c>
      <c r="L249" s="460" cm="1">
        <f t="array" ref="L249">_xll.VAData("SKIN_US", L$4, $B249, "consensus", "CD", "IMPL","", "")</f>
        <v>-1.0894444444444444</v>
      </c>
      <c r="M249" s="460" cm="1">
        <f t="array" ref="M249">_xll.VAData("SKIN_US", M$4, $B249, "consensus", "CD", "IMPL","", "")</f>
        <v>7.5377777777777784</v>
      </c>
      <c r="N249" s="460" cm="1">
        <f t="array" ref="N249">_xll.VAData("SKIN_US", N$4, $B249, "consensus", "CD", "IMPL","", "")</f>
        <v>3.5536224905253655</v>
      </c>
      <c r="O249" s="451" cm="1">
        <f t="array" ref="O249">_xll.VAData("SKIN_US", O$4, $B249, "consensus", "CD", "IMPL","", "")</f>
        <v>7.7318602414728286</v>
      </c>
      <c r="P249" s="460" cm="1">
        <f t="array" ref="P249">_xll.VAData("SKIN_US", P$4, $B249, "consensus", "CD", "IMPL","", "")</f>
        <v>7.0573000000000006</v>
      </c>
      <c r="Q249" s="460" cm="1">
        <f t="array" ref="Q249">_xll.VAData("SKIN_US", Q$4, $B249, "consensus", "CD", "IMPL","", "")</f>
        <v>11.633400199999999</v>
      </c>
      <c r="R249" s="460" cm="1">
        <f t="array" ref="R249">_xll.VAData("SKIN_US", R$4, $B249, "consensus", "CD", "IMPL","", "")</f>
        <v>5.8054001</v>
      </c>
      <c r="S249" s="460" cm="1">
        <f t="array" ref="S249">_xll.VAData("SKIN_US", S$4, $B249, "consensus", "CD", "IMPL","", "")</f>
        <v>8.4919999000000033</v>
      </c>
      <c r="T249" s="451" cm="1">
        <f t="array" ref="T249">_xll.VAData("SKIN_US", T$4, $B249, "consensus", "CD", "IMPL","", "")</f>
        <v>32.995899200000011</v>
      </c>
      <c r="U249" s="460" cm="1">
        <f t="array" ref="U249">_xll.VAData("SKIN_US", U$4, $B249, "consensus", "CD", "IMPL","", "")</f>
        <v>2.299099900000003</v>
      </c>
      <c r="V249" s="460" cm="1">
        <f t="array" ref="V249">_xll.VAData("SKIN_US", V$4, $B249, "consensus", "CD", "IMPL","", "")</f>
        <v>12.84638299332169</v>
      </c>
      <c r="W249" s="460" cm="1">
        <f t="array" ref="W249">_xll.VAData("SKIN_US", W$4, $B249, "consensus", "CD", "IMPL","", "")</f>
        <v>16.493100617536221</v>
      </c>
      <c r="X249" s="460" cm="1">
        <f t="array" ref="X249">_xll.VAData("SKIN_US", X$4, $B249, "consensus", "CD", "IMPL","", "")</f>
        <v>16.375</v>
      </c>
      <c r="Y249" s="451" cm="1">
        <f t="array" ref="Y249">_xll.VAData("SKIN_US", Y$4, $B249, "consensus", "CD", "IMPL","", "")</f>
        <v>48.134675431080396</v>
      </c>
      <c r="Z249" s="460" cm="1">
        <f t="array" ref="Z249">_xll.VAData("SKIN_US", Z$4, $B249, "consensus", "CD", "IMPL","", "")</f>
        <v>-0.50060000000000304</v>
      </c>
      <c r="AA249" s="460" cm="1">
        <f t="array" ref="AA249">_xll.VAData("SKIN_US", AA$4, $B249, "consensus", "CD", "IMPL","", "")</f>
        <v>17.235099999999999</v>
      </c>
      <c r="AB249" s="460" cm="1">
        <f t="array" ref="AB249">_xll.VAData("SKIN_US", AB$4, $B249, "consensus", "CD", "IMPL","", "")</f>
        <v>9.0912500000000041</v>
      </c>
      <c r="AC249" s="460" cm="1">
        <f t="array" ref="AC249">_xll.VAData("SKIN_US", AC$4, $B249, "consensus", "CD", "IMPL","", "")</f>
        <v>1.3192885096694082</v>
      </c>
      <c r="AD249" s="449" cm="1">
        <f t="array" ref="AD249">_xll.VAData("SKIN_US", AD$4, $B249, "consensus", "CD", "IMPL","", "")</f>
        <v>28.312468129655336</v>
      </c>
      <c r="AE249" s="460" cm="1">
        <f t="array" ref="AE249">_xll.VAData("SKIN_US", AE$4, $B249, "consensus", "CD", "IMPL","", "")</f>
        <v>-1.8808210244521957</v>
      </c>
      <c r="AF249" s="460" cm="1">
        <f t="array" ref="AF249">_xll.VAData("SKIN_US", AF$4, $B249, "consensus", "CD", "IMPL","", "")</f>
        <v>13.262338517261531</v>
      </c>
      <c r="AG249" s="460" cm="1">
        <f t="array" ref="AG249">_xll.VAData("SKIN_US", AG$4, $B249, "consensus", "CD", "IMPL","", "")</f>
        <v>19.54579777653521</v>
      </c>
      <c r="AH249" s="460" cm="1">
        <f t="array" ref="AH249">_xll.VAData("SKIN_US", AH$4, $B249, "consensus", "CD", "IMPL","", "")</f>
        <v>11.603649826720964</v>
      </c>
      <c r="AI249" s="449" cm="1">
        <f t="array" ref="AI249">_xll.VAData("SKIN_US", AI$4, $B249, "consensus", "CD", "IMPL","", "")</f>
        <v>39.698898873358807</v>
      </c>
      <c r="AJ249" s="460" cm="1">
        <f t="array" ref="AJ249">_xll.VAData("SKIN_US", AJ$4, $B249, "consensus", "CD", "IMPL","", "")</f>
        <v>3.3142852527291402</v>
      </c>
      <c r="AK249" s="460" cm="1">
        <f t="array" ref="AK249">_xll.VAData("SKIN_US", AK$4, $B249, "consensus", "CD", "IMPL","", "")</f>
        <v>12.065453967410367</v>
      </c>
      <c r="AL249" s="460" cm="1">
        <f t="array" ref="AL249">_xll.VAData("SKIN_US", AL$4, $B249, "consensus", "CD", "IMPL","", "")</f>
        <v>14.142761116700033</v>
      </c>
      <c r="AM249" s="460" cm="1">
        <f t="array" ref="AM249">_xll.VAData("SKIN_US", AM$4, $B249, "consensus", "CD", "IMPL","", "")</f>
        <v>16.752072149839133</v>
      </c>
      <c r="AN249" s="449" cm="1">
        <f t="array" ref="AN249">_xll.VAData("SKIN_US", AN$4, $B249, "consensus", "CD", "IMPL","", "")</f>
        <v>50.675470945241237</v>
      </c>
      <c r="AO249" s="460" cm="1">
        <f t="array" ref="AO249">_xll.VAData("SKIN_US", AO$4, $B249, "consensus", "CD", "IMPL","", "")</f>
        <v>9.3033213731515705</v>
      </c>
      <c r="AP249" s="460" cm="1">
        <f t="array" ref="AP249">_xll.VAData("SKIN_US", AP$4, $B249, "consensus", "CD", "IMPL","", "")</f>
        <v>19.367618662627553</v>
      </c>
      <c r="AQ249" s="460" cm="1">
        <f t="array" ref="AQ249">_xll.VAData("SKIN_US", AQ$4, $B249, "consensus", "CD", "IMPL","", "")</f>
        <v>22.07079166832645</v>
      </c>
      <c r="AR249" s="460" cm="1">
        <f t="array" ref="AR249">_xll.VAData("SKIN_US", AR$4, $B249, "consensus", "CD", "IMPL","", "")</f>
        <v>24.5661658504489</v>
      </c>
      <c r="AS249" s="449" cm="1">
        <f t="array" ref="AS249">_xll.VAData("SKIN_US", AS$4, $B249, "consensus", "CD", "IMPL","", "")</f>
        <v>78.56183879673064</v>
      </c>
      <c r="AT249" s="462"/>
      <c r="AU249" s="508"/>
      <c r="AV249" s="143"/>
      <c r="AW249" s="143"/>
      <c r="AX249" s="143"/>
      <c r="AY249" s="143"/>
      <c r="AZ249" s="143"/>
      <c r="BA249" s="143"/>
      <c r="BB249" s="143"/>
      <c r="BC249" s="143"/>
      <c r="BD249" s="143"/>
      <c r="BE249" s="143"/>
      <c r="BF249" s="143"/>
      <c r="BG249" s="143"/>
      <c r="BH249" s="143"/>
      <c r="BI249" s="143"/>
      <c r="BJ249" s="143"/>
      <c r="BK249" s="143"/>
      <c r="BL249" s="143"/>
      <c r="BM249" s="143"/>
      <c r="BN249" s="143"/>
      <c r="BO249" s="143"/>
      <c r="BP249" s="143"/>
      <c r="BQ249" s="143"/>
    </row>
    <row r="250" spans="1:269">
      <c r="A250" s="281"/>
      <c r="B250" s="447"/>
      <c r="C250" s="277"/>
      <c r="D250" s="277"/>
      <c r="E250" s="277"/>
      <c r="F250" s="460"/>
      <c r="G250" s="460"/>
      <c r="H250" s="460"/>
      <c r="I250" s="460"/>
      <c r="J250" s="588"/>
      <c r="K250" s="460"/>
      <c r="L250" s="460"/>
      <c r="M250" s="460"/>
      <c r="N250" s="460"/>
      <c r="O250" s="451"/>
      <c r="P250" s="460"/>
      <c r="Q250" s="460"/>
      <c r="R250" s="460"/>
      <c r="S250" s="460"/>
      <c r="T250" s="451"/>
      <c r="U250" s="460"/>
      <c r="V250" s="460"/>
      <c r="W250" s="460"/>
      <c r="X250" s="460"/>
      <c r="Y250" s="451"/>
      <c r="Z250" s="460"/>
      <c r="AA250" s="460"/>
      <c r="AB250" s="460"/>
      <c r="AC250" s="460"/>
      <c r="AD250" s="449"/>
      <c r="AE250" s="460"/>
      <c r="AF250" s="460"/>
      <c r="AG250" s="460"/>
      <c r="AH250" s="460"/>
      <c r="AI250" s="449"/>
      <c r="AJ250" s="460"/>
      <c r="AK250" s="460"/>
      <c r="AL250" s="460"/>
      <c r="AM250" s="460"/>
      <c r="AN250" s="449"/>
      <c r="AO250" s="460"/>
      <c r="AP250" s="460"/>
      <c r="AQ250" s="460"/>
      <c r="AR250" s="460"/>
      <c r="AS250" s="449"/>
      <c r="AT250" s="462"/>
      <c r="AU250" s="508"/>
      <c r="AV250" s="143"/>
      <c r="AW250" s="143"/>
      <c r="AX250" s="143"/>
      <c r="AY250" s="143"/>
      <c r="AZ250" s="143"/>
      <c r="BA250" s="143"/>
      <c r="BB250" s="143"/>
      <c r="BC250" s="143"/>
      <c r="BD250" s="143"/>
      <c r="BE250" s="143"/>
      <c r="BF250" s="143"/>
      <c r="BG250" s="143"/>
      <c r="BH250" s="143"/>
      <c r="BI250" s="143"/>
      <c r="BJ250" s="143"/>
      <c r="BK250" s="143"/>
      <c r="BL250" s="143"/>
      <c r="BM250" s="143"/>
      <c r="BN250" s="143"/>
      <c r="BO250" s="143"/>
      <c r="BP250" s="143"/>
      <c r="BQ250" s="143"/>
    </row>
    <row r="251" spans="1:269">
      <c r="A251" s="281" t="s">
        <v>443</v>
      </c>
      <c r="C251" s="552">
        <v>0.32600000000000001</v>
      </c>
      <c r="D251" s="552">
        <v>0.26400000000000001</v>
      </c>
      <c r="E251" s="552">
        <v>0.23300000000000001</v>
      </c>
      <c r="F251" s="75">
        <f>F248/F158</f>
        <v>0</v>
      </c>
      <c r="G251" s="75">
        <f>G248/G158</f>
        <v>0</v>
      </c>
      <c r="H251" s="75">
        <f>H248/H158</f>
        <v>0</v>
      </c>
      <c r="I251" s="75">
        <f>I248/I158</f>
        <v>0</v>
      </c>
      <c r="J251" s="552">
        <v>0.22</v>
      </c>
      <c r="K251" s="75">
        <f>K248/K158</f>
        <v>-6.3815384615384607E-2</v>
      </c>
      <c r="L251" s="75">
        <f>L248/L158</f>
        <v>-7.8014184397163122E-2</v>
      </c>
      <c r="M251" s="75">
        <f>M248/M158</f>
        <v>0.21449275362318843</v>
      </c>
      <c r="N251" s="75">
        <f>N248/N158</f>
        <v>9.2348284960422161E-2</v>
      </c>
      <c r="O251" s="552">
        <v>6.5000000000000002E-2</v>
      </c>
      <c r="P251" s="75">
        <f>P248/P158</f>
        <v>0.14726315789473682</v>
      </c>
      <c r="Q251" s="75">
        <f>Q248/Q158</f>
        <v>0.17130827067669166</v>
      </c>
      <c r="R251" s="75">
        <f>R248/R158</f>
        <v>8.5462309419343421E-2</v>
      </c>
      <c r="S251" s="75">
        <f>S248/S158</f>
        <v>0.10910141206675233</v>
      </c>
      <c r="T251" s="551">
        <f>T248/T158</f>
        <v>0.12578495425826869</v>
      </c>
      <c r="U251" s="75">
        <f>U248/U158</f>
        <v>2.9397334747729122E-2</v>
      </c>
      <c r="V251" s="75">
        <f>V248/V158</f>
        <v>0.12206382321125016</v>
      </c>
      <c r="W251" s="75">
        <f>W248/W158</f>
        <v>0.18625551851518152</v>
      </c>
      <c r="X251" s="75">
        <f>X248/X158</f>
        <v>0.16578520986824002</v>
      </c>
      <c r="Y251" s="551">
        <f>Y248/Y158</f>
        <v>0.13026817828991238</v>
      </c>
      <c r="Z251" s="75">
        <f>Z248/Z158</f>
        <v>-5.7937427578216355E-3</v>
      </c>
      <c r="AA251" s="75">
        <f>AA248/AA158</f>
        <v>0.15148936170212773</v>
      </c>
      <c r="AB251" s="75">
        <f>AB248/AB158</f>
        <v>9.3429158110882954E-2</v>
      </c>
      <c r="AC251" s="75">
        <f>AC248/AC158</f>
        <v>0.20323713385222941</v>
      </c>
      <c r="AD251" s="286">
        <f>AD248/AD158</f>
        <v>0.10285614986373492</v>
      </c>
      <c r="AE251" s="75">
        <f>AE248/AE158</f>
        <v>2.7175409590548863E-3</v>
      </c>
      <c r="AF251" s="75">
        <f>AF248/AF158</f>
        <v>-2.793461435106295E-2</v>
      </c>
      <c r="AG251" s="75">
        <f>AG248/AG158</f>
        <v>0.17556404978784973</v>
      </c>
      <c r="AH251" s="75">
        <f>AH248/AH158</f>
        <v>0.33604651530571411</v>
      </c>
      <c r="AI251" s="286">
        <f>AI248/AI158</f>
        <v>0.15852018745483915</v>
      </c>
      <c r="AJ251" s="75">
        <f>AJ248/AJ158</f>
        <v>0.17928652582518328</v>
      </c>
      <c r="AK251" s="75">
        <f>AK248/AK158</f>
        <v>0.25569195436915743</v>
      </c>
      <c r="AL251" s="75">
        <f>AL248/AL158</f>
        <v>0.24946588468264994</v>
      </c>
      <c r="AM251" s="75">
        <f>AM248/AM158</f>
        <v>0.36454818360401758</v>
      </c>
      <c r="AN251" s="286">
        <f>AN248/AN158</f>
        <v>0.26782334528621182</v>
      </c>
      <c r="AO251" s="75">
        <f>AO248/AO158</f>
        <v>0.21785748577746017</v>
      </c>
      <c r="AP251" s="75">
        <f>AP248/AP158</f>
        <v>0.29589559663328985</v>
      </c>
      <c r="AQ251" s="75">
        <f>AQ248/AQ158</f>
        <v>0.29000047987588928</v>
      </c>
      <c r="AR251" s="75">
        <f>AR248/AR158</f>
        <v>0.40097804306813195</v>
      </c>
      <c r="AS251" s="286">
        <f>AS248/AS158</f>
        <v>0.30728335190496298</v>
      </c>
      <c r="AT251" s="458"/>
      <c r="AU251" s="508"/>
      <c r="AV251" s="143"/>
      <c r="AW251" s="143"/>
      <c r="AX251" s="143"/>
      <c r="AY251" s="143"/>
      <c r="AZ251" s="143"/>
      <c r="BA251" s="143"/>
      <c r="BB251" s="143"/>
      <c r="BC251" s="143"/>
      <c r="BD251" s="143"/>
      <c r="BE251" s="143"/>
      <c r="BF251" s="143"/>
      <c r="BG251" s="143"/>
      <c r="BH251" s="143"/>
      <c r="BI251" s="143"/>
      <c r="BJ251" s="143"/>
      <c r="BK251" s="143"/>
      <c r="BL251" s="143"/>
      <c r="BM251" s="143"/>
      <c r="BN251" s="143"/>
      <c r="BO251" s="143"/>
      <c r="BP251" s="143"/>
      <c r="BQ251" s="143"/>
    </row>
    <row r="252" spans="1:269">
      <c r="A252" s="59"/>
      <c r="AG252" s="75"/>
      <c r="AH252" s="75"/>
      <c r="AI252" s="286"/>
      <c r="AJ252" s="75"/>
      <c r="AK252" s="75"/>
      <c r="AL252" s="75"/>
      <c r="AM252" s="75"/>
      <c r="AN252" s="286"/>
      <c r="AO252" s="75"/>
      <c r="AP252" s="75"/>
      <c r="AQ252" s="75"/>
      <c r="AR252" s="75"/>
      <c r="AS252" s="286"/>
      <c r="AT252" s="458"/>
      <c r="AU252" s="508"/>
      <c r="AV252" s="143"/>
      <c r="AW252" s="143"/>
      <c r="AX252" s="143"/>
      <c r="AY252" s="143"/>
      <c r="AZ252" s="143"/>
      <c r="BA252" s="143"/>
      <c r="BB252" s="143"/>
      <c r="BC252" s="143"/>
      <c r="BD252" s="143"/>
      <c r="BE252" s="143"/>
      <c r="BF252" s="143"/>
      <c r="BG252" s="143"/>
      <c r="BH252" s="143"/>
      <c r="BI252" s="143"/>
      <c r="BJ252" s="143"/>
      <c r="BK252" s="143"/>
      <c r="BL252" s="143"/>
      <c r="BM252" s="143"/>
      <c r="BN252" s="143"/>
      <c r="BO252" s="143"/>
      <c r="BP252" s="143"/>
      <c r="BQ252" s="143"/>
    </row>
    <row r="253" spans="1:269">
      <c r="A253" s="409"/>
      <c r="B253" s="340"/>
      <c r="C253" s="388"/>
      <c r="D253" s="388"/>
      <c r="E253" s="388"/>
      <c r="F253" s="388"/>
      <c r="G253" s="388"/>
      <c r="H253" s="388"/>
      <c r="I253" s="388"/>
      <c r="J253" s="388"/>
      <c r="K253" s="388"/>
      <c r="L253" s="388"/>
      <c r="M253" s="388"/>
      <c r="N253" s="388"/>
      <c r="O253" s="388"/>
      <c r="P253" s="388"/>
      <c r="Q253" s="388"/>
      <c r="R253" s="388"/>
      <c r="S253" s="388"/>
      <c r="T253" s="388"/>
      <c r="U253" s="388"/>
      <c r="V253" s="388"/>
      <c r="W253" s="388"/>
      <c r="X253" s="388"/>
      <c r="Y253" s="388"/>
      <c r="Z253" s="388"/>
      <c r="AA253" s="388"/>
      <c r="AB253" s="408"/>
      <c r="AC253" s="55"/>
      <c r="AD253" s="55"/>
      <c r="AE253" s="55"/>
      <c r="AF253" s="55"/>
      <c r="AG253" s="55"/>
      <c r="AH253" s="55"/>
      <c r="AI253" s="55"/>
      <c r="AJ253" s="55"/>
      <c r="AK253" s="55"/>
      <c r="AL253" s="55"/>
      <c r="AM253" s="55"/>
      <c r="AN253" s="55"/>
      <c r="AO253" s="55"/>
      <c r="AP253" s="55"/>
      <c r="AQ253" s="55"/>
      <c r="AR253" s="55"/>
      <c r="AS253" s="55"/>
      <c r="AT253" s="458"/>
      <c r="AU253" s="508"/>
      <c r="AV253" s="143"/>
      <c r="AW253" s="143"/>
      <c r="AX253" s="143"/>
      <c r="AY253" s="143"/>
      <c r="AZ253" s="143"/>
      <c r="BA253" s="143"/>
      <c r="BB253" s="143"/>
      <c r="BC253" s="143"/>
      <c r="BD253" s="143"/>
      <c r="BE253" s="143"/>
      <c r="BF253" s="143"/>
      <c r="BG253" s="143"/>
      <c r="BH253" s="143"/>
      <c r="BI253" s="143"/>
      <c r="BJ253" s="143"/>
      <c r="BK253" s="143"/>
      <c r="BL253" s="143"/>
      <c r="BM253" s="143"/>
      <c r="BN253" s="143"/>
      <c r="BO253" s="143"/>
      <c r="BP253" s="143"/>
      <c r="BQ253" s="143"/>
    </row>
    <row r="254" spans="1:269" ht="26">
      <c r="A254" s="410" t="s">
        <v>446</v>
      </c>
      <c r="B254" s="340"/>
      <c r="C254" s="388"/>
      <c r="D254" s="388"/>
      <c r="E254" s="388"/>
      <c r="F254" s="388"/>
      <c r="G254" s="388"/>
      <c r="H254" s="388"/>
      <c r="I254" s="388"/>
      <c r="J254" s="388"/>
      <c r="K254" s="388"/>
      <c r="L254" s="388"/>
      <c r="M254" s="388"/>
      <c r="N254" s="388"/>
      <c r="O254" s="388"/>
      <c r="P254" s="388"/>
      <c r="Q254" s="388"/>
      <c r="R254" s="388"/>
      <c r="S254" s="388"/>
      <c r="T254" s="388"/>
      <c r="U254" s="388"/>
      <c r="V254" s="388"/>
      <c r="W254" s="388"/>
      <c r="X254" s="388"/>
      <c r="Y254" s="388"/>
      <c r="Z254" s="388"/>
      <c r="AA254" s="388"/>
      <c r="AB254" s="408"/>
      <c r="AC254" s="55"/>
      <c r="AD254" s="55"/>
      <c r="AE254" s="55"/>
      <c r="AF254" s="55"/>
      <c r="AG254" s="55"/>
      <c r="AH254" s="55"/>
      <c r="AI254" s="55"/>
      <c r="AJ254" s="55"/>
      <c r="AK254" s="55"/>
      <c r="AL254" s="55"/>
      <c r="AM254" s="55"/>
      <c r="AN254" s="55"/>
      <c r="AO254" s="55"/>
      <c r="AP254" s="55"/>
      <c r="AQ254" s="55"/>
      <c r="AR254" s="55"/>
      <c r="AS254" s="55"/>
      <c r="AT254" s="458"/>
      <c r="AU254" s="508"/>
      <c r="AV254" s="143"/>
      <c r="AW254" s="143"/>
      <c r="AX254" s="143"/>
      <c r="AY254" s="143"/>
      <c r="AZ254" s="143"/>
      <c r="BA254" s="143"/>
      <c r="BB254" s="143"/>
      <c r="BC254" s="143"/>
      <c r="BD254" s="143"/>
      <c r="BE254" s="143"/>
      <c r="BF254" s="143"/>
      <c r="BG254" s="143"/>
      <c r="BH254" s="143"/>
      <c r="BI254" s="143"/>
      <c r="BJ254" s="143"/>
      <c r="BK254" s="143"/>
      <c r="BL254" s="143"/>
      <c r="BM254" s="143"/>
      <c r="BN254" s="143"/>
      <c r="BO254" s="143"/>
      <c r="BP254" s="143"/>
      <c r="BQ254" s="143"/>
    </row>
    <row r="255" spans="1:269">
      <c r="A255" s="409"/>
      <c r="B255" s="340"/>
      <c r="C255" s="388"/>
      <c r="D255" s="388"/>
      <c r="E255" s="388"/>
      <c r="F255" s="388"/>
      <c r="G255" s="388"/>
      <c r="H255" s="388"/>
      <c r="I255" s="388"/>
      <c r="J255" s="388"/>
      <c r="K255" s="388"/>
      <c r="L255" s="388"/>
      <c r="M255" s="388"/>
      <c r="N255" s="388"/>
      <c r="O255" s="388"/>
      <c r="P255" s="388"/>
      <c r="Q255" s="388"/>
      <c r="R255" s="388"/>
      <c r="S255" s="388"/>
      <c r="T255" s="388"/>
      <c r="U255" s="388"/>
      <c r="V255" s="388"/>
      <c r="W255" s="388"/>
      <c r="X255" s="388"/>
      <c r="Y255" s="388"/>
      <c r="Z255" s="388"/>
      <c r="AA255" s="388"/>
      <c r="AB255" s="408"/>
      <c r="AC255" s="55"/>
      <c r="AD255" s="55"/>
      <c r="AE255" s="55"/>
      <c r="AF255" s="55"/>
      <c r="AG255" s="55"/>
      <c r="AH255" s="55"/>
      <c r="AI255" s="55"/>
      <c r="AJ255" s="55"/>
      <c r="AK255" s="55"/>
      <c r="AL255" s="55"/>
      <c r="AM255" s="55"/>
      <c r="AN255" s="55"/>
      <c r="AO255" s="55"/>
      <c r="AP255" s="55"/>
      <c r="AQ255" s="55"/>
      <c r="AR255" s="55"/>
      <c r="AS255" s="55"/>
      <c r="AT255" s="458"/>
      <c r="AU255" s="508"/>
      <c r="AV255" s="143"/>
      <c r="AW255" s="143"/>
      <c r="AX255" s="143"/>
      <c r="AY255" s="143"/>
      <c r="AZ255" s="143"/>
      <c r="BA255" s="143"/>
      <c r="BB255" s="143"/>
      <c r="BC255" s="143"/>
      <c r="BD255" s="143"/>
      <c r="BE255" s="143"/>
      <c r="BF255" s="143"/>
      <c r="BG255" s="143"/>
      <c r="BH255" s="143"/>
      <c r="BI255" s="143"/>
      <c r="BJ255" s="143"/>
      <c r="BK255" s="143"/>
      <c r="BL255" s="143"/>
      <c r="BM255" s="143"/>
      <c r="BN255" s="143"/>
      <c r="BO255" s="143"/>
      <c r="BP255" s="143"/>
      <c r="BQ255" s="143"/>
    </row>
    <row r="256" spans="1:269">
      <c r="A256" s="143"/>
      <c r="B256" s="143"/>
      <c r="C256" s="277"/>
      <c r="D256" s="277"/>
      <c r="E256" s="277"/>
      <c r="F256" s="278"/>
      <c r="G256" s="278"/>
      <c r="H256" s="278"/>
      <c r="I256" s="278"/>
      <c r="J256" s="277"/>
      <c r="K256" s="278"/>
      <c r="L256" s="278"/>
      <c r="M256" s="278"/>
      <c r="N256" s="278"/>
      <c r="O256" s="277"/>
      <c r="P256" s="278"/>
      <c r="Q256" s="278"/>
      <c r="R256" s="278"/>
      <c r="S256" s="278"/>
      <c r="T256" s="277"/>
      <c r="U256" s="278"/>
      <c r="V256" s="278"/>
      <c r="W256" s="278"/>
      <c r="X256" s="278"/>
      <c r="Y256" s="277"/>
      <c r="Z256" s="278"/>
      <c r="AA256" s="278"/>
      <c r="AB256" s="278"/>
      <c r="AC256" s="278"/>
      <c r="AD256" s="536"/>
      <c r="AE256" s="143"/>
      <c r="AF256" s="143"/>
      <c r="AG256" s="143"/>
      <c r="AH256" s="143"/>
      <c r="AI256" s="279"/>
      <c r="AJ256" s="143"/>
      <c r="AK256" s="143"/>
      <c r="AL256" s="143"/>
      <c r="AM256" s="143"/>
      <c r="AN256" s="279"/>
      <c r="AO256" s="143"/>
      <c r="AP256" s="143"/>
      <c r="AQ256" s="143"/>
      <c r="AR256" s="143"/>
      <c r="AS256" s="279"/>
      <c r="AT256" s="315"/>
      <c r="AU256" s="508"/>
      <c r="AV256" s="143"/>
      <c r="AW256" s="143"/>
      <c r="AX256" s="143"/>
      <c r="AY256" s="143"/>
      <c r="AZ256" s="143"/>
      <c r="BA256" s="143"/>
      <c r="BB256" s="143"/>
      <c r="BC256" s="143"/>
      <c r="BD256" s="143"/>
      <c r="BE256" s="143"/>
      <c r="BF256" s="143"/>
      <c r="BG256" s="143"/>
      <c r="BH256" s="143"/>
      <c r="BI256" s="143"/>
      <c r="BJ256" s="143"/>
      <c r="BK256" s="143"/>
      <c r="BL256" s="143"/>
      <c r="BM256" s="143"/>
      <c r="BN256" s="143"/>
      <c r="BO256" s="143"/>
      <c r="BP256" s="143"/>
      <c r="BQ256" s="143"/>
      <c r="BR256" s="143"/>
      <c r="BS256" s="143"/>
      <c r="BT256" s="143"/>
      <c r="BU256" s="143"/>
      <c r="BV256" s="143"/>
      <c r="BW256" s="143"/>
      <c r="BX256" s="143"/>
      <c r="BY256" s="143"/>
      <c r="BZ256" s="143"/>
      <c r="CA256" s="143"/>
      <c r="CB256" s="143"/>
      <c r="CC256" s="143"/>
      <c r="CD256" s="143"/>
      <c r="CE256" s="143"/>
      <c r="CF256" s="143"/>
      <c r="CG256" s="143"/>
      <c r="CH256" s="143"/>
      <c r="CI256" s="143"/>
      <c r="CJ256" s="143"/>
      <c r="CK256" s="143"/>
      <c r="CL256" s="143"/>
      <c r="CM256" s="143"/>
      <c r="CN256" s="143"/>
      <c r="CO256" s="143"/>
      <c r="CP256" s="143"/>
      <c r="CQ256" s="143"/>
      <c r="CR256" s="143"/>
      <c r="CS256" s="143"/>
      <c r="CT256" s="143"/>
      <c r="CU256" s="143"/>
      <c r="CV256" s="143"/>
      <c r="CW256" s="143"/>
      <c r="CX256" s="143"/>
      <c r="CY256" s="143"/>
      <c r="CZ256" s="143"/>
      <c r="DA256" s="143"/>
      <c r="DB256" s="143"/>
      <c r="DC256" s="143"/>
      <c r="DD256" s="143"/>
      <c r="DE256" s="143"/>
      <c r="DF256" s="143"/>
      <c r="DG256" s="143"/>
      <c r="DH256" s="143"/>
      <c r="DI256" s="143"/>
      <c r="DJ256" s="143"/>
      <c r="DK256" s="143"/>
      <c r="DL256" s="143"/>
      <c r="DM256" s="143"/>
      <c r="DN256" s="143"/>
      <c r="DO256" s="143"/>
      <c r="DP256" s="143"/>
      <c r="DQ256" s="143"/>
      <c r="DR256" s="143"/>
      <c r="DS256" s="143"/>
      <c r="DT256" s="143"/>
      <c r="DU256" s="143"/>
      <c r="DV256" s="143"/>
      <c r="DW256" s="143"/>
      <c r="DX256" s="143"/>
      <c r="DY256" s="143"/>
      <c r="DZ256" s="143"/>
      <c r="EA256" s="143"/>
      <c r="EB256" s="143"/>
      <c r="EC256" s="143"/>
      <c r="ED256" s="143"/>
      <c r="EE256" s="143"/>
      <c r="EF256" s="143"/>
      <c r="EG256" s="143"/>
      <c r="EH256" s="143"/>
      <c r="EI256" s="143"/>
      <c r="EJ256" s="143"/>
      <c r="EK256" s="143"/>
      <c r="EL256" s="143"/>
      <c r="EM256" s="143"/>
      <c r="EN256" s="143"/>
      <c r="EO256" s="143"/>
      <c r="EP256" s="143"/>
      <c r="EQ256" s="143"/>
      <c r="ER256" s="143"/>
      <c r="ES256" s="143"/>
      <c r="ET256" s="143"/>
      <c r="EU256" s="143"/>
      <c r="EV256" s="143"/>
      <c r="EW256" s="143"/>
      <c r="EX256" s="143"/>
      <c r="EY256" s="143"/>
      <c r="EZ256" s="143"/>
      <c r="FA256" s="143"/>
      <c r="FB256" s="143"/>
      <c r="FC256" s="143"/>
      <c r="FD256" s="143"/>
      <c r="FE256" s="143"/>
      <c r="FF256" s="143"/>
      <c r="FG256" s="143"/>
      <c r="FH256" s="143"/>
      <c r="FI256" s="143"/>
      <c r="FJ256" s="143"/>
      <c r="FK256" s="143"/>
      <c r="FL256" s="143"/>
      <c r="FM256" s="143"/>
      <c r="FN256" s="143"/>
      <c r="FO256" s="143"/>
      <c r="FP256" s="143"/>
      <c r="FQ256" s="143"/>
      <c r="FR256" s="143"/>
      <c r="FS256" s="143"/>
      <c r="FT256" s="143"/>
      <c r="FU256" s="143"/>
      <c r="FV256" s="143"/>
      <c r="FW256" s="143"/>
      <c r="FX256" s="143"/>
      <c r="FY256" s="143"/>
      <c r="FZ256" s="143"/>
      <c r="GA256" s="143"/>
      <c r="GB256" s="143"/>
      <c r="GC256" s="143"/>
      <c r="GD256" s="143"/>
      <c r="GE256" s="143"/>
      <c r="GF256" s="143"/>
      <c r="GG256" s="143"/>
      <c r="GH256" s="143"/>
      <c r="GI256" s="143"/>
      <c r="GJ256" s="143"/>
      <c r="GK256" s="143"/>
      <c r="GL256" s="143"/>
      <c r="GM256" s="143"/>
      <c r="GN256" s="143"/>
      <c r="GO256" s="143"/>
      <c r="GP256" s="143"/>
      <c r="GQ256" s="143"/>
      <c r="GR256" s="143"/>
      <c r="GS256" s="143"/>
      <c r="GT256" s="143"/>
      <c r="GU256" s="143"/>
      <c r="GV256" s="143"/>
      <c r="GW256" s="143"/>
      <c r="GX256" s="143"/>
      <c r="GY256" s="143"/>
      <c r="GZ256" s="143"/>
      <c r="HA256" s="143"/>
      <c r="HB256" s="143"/>
      <c r="HC256" s="143"/>
      <c r="HD256" s="143"/>
      <c r="HE256" s="143"/>
      <c r="HF256" s="143"/>
      <c r="HG256" s="143"/>
      <c r="HH256" s="143"/>
      <c r="HI256" s="143"/>
      <c r="HJ256" s="143"/>
      <c r="HK256" s="143"/>
      <c r="HL256" s="143"/>
      <c r="HM256" s="143"/>
      <c r="HN256" s="143"/>
      <c r="HO256" s="143"/>
      <c r="HP256" s="143"/>
      <c r="HQ256" s="143"/>
      <c r="HR256" s="143"/>
      <c r="HS256" s="143"/>
      <c r="HT256" s="143"/>
      <c r="HU256" s="143"/>
      <c r="HV256" s="143"/>
      <c r="HW256" s="143"/>
      <c r="HX256" s="143"/>
      <c r="HY256" s="143"/>
      <c r="HZ256" s="143"/>
      <c r="IA256" s="143"/>
      <c r="IB256" s="143"/>
      <c r="IC256" s="143"/>
      <c r="ID256" s="143"/>
      <c r="IE256" s="143"/>
      <c r="IF256" s="143"/>
      <c r="IG256" s="143"/>
      <c r="IH256" s="143"/>
      <c r="II256" s="143"/>
      <c r="IJ256" s="143"/>
      <c r="IK256" s="143"/>
      <c r="IL256" s="143"/>
      <c r="IM256" s="143"/>
      <c r="IN256" s="143"/>
      <c r="IO256" s="143"/>
      <c r="IP256" s="143"/>
      <c r="IQ256" s="143"/>
      <c r="IR256" s="143"/>
      <c r="IS256" s="143"/>
      <c r="IT256" s="143"/>
      <c r="IU256" s="143"/>
      <c r="IV256" s="143"/>
      <c r="IW256" s="143"/>
      <c r="IX256" s="143"/>
      <c r="IY256" s="143"/>
      <c r="IZ256" s="143"/>
      <c r="JA256" s="143"/>
      <c r="JB256" s="143"/>
      <c r="JC256" s="143"/>
      <c r="JD256" s="143"/>
      <c r="JE256" s="143"/>
      <c r="JF256" s="143"/>
      <c r="JG256" s="143"/>
      <c r="JH256" s="143"/>
      <c r="JI256" s="143"/>
    </row>
    <row r="257" spans="1:269" s="149" customFormat="1" outlineLevel="1">
      <c r="A257" s="52" t="s">
        <v>447</v>
      </c>
      <c r="B257" s="53"/>
      <c r="C257" s="54"/>
      <c r="D257" s="54"/>
      <c r="E257" s="54"/>
      <c r="F257" s="54"/>
      <c r="G257" s="54"/>
      <c r="H257" s="54"/>
      <c r="I257" s="54"/>
      <c r="J257" s="54"/>
      <c r="K257" s="54"/>
      <c r="L257" s="54"/>
      <c r="M257" s="54"/>
      <c r="N257" s="54"/>
      <c r="O257" s="54"/>
      <c r="P257" s="54"/>
      <c r="Q257" s="54"/>
      <c r="R257" s="54"/>
      <c r="S257" s="54"/>
      <c r="T257" s="54"/>
      <c r="U257" s="54"/>
      <c r="V257" s="54"/>
      <c r="W257" s="54"/>
      <c r="X257" s="54"/>
      <c r="Y257" s="54"/>
      <c r="Z257" s="54"/>
      <c r="AA257" s="54"/>
      <c r="AB257" s="54"/>
      <c r="AC257" s="55"/>
      <c r="AD257" s="55"/>
      <c r="AE257" s="55"/>
      <c r="AF257" s="55"/>
      <c r="AG257" s="55"/>
      <c r="AH257" s="55"/>
      <c r="AI257" s="55"/>
      <c r="AJ257" s="55"/>
      <c r="AK257" s="55"/>
      <c r="AL257" s="55"/>
      <c r="AM257" s="55"/>
      <c r="AN257" s="55"/>
      <c r="AO257" s="55"/>
      <c r="AP257" s="55"/>
      <c r="AQ257" s="55"/>
      <c r="AR257" s="55"/>
      <c r="AS257" s="55"/>
      <c r="AT257" s="317"/>
      <c r="AU257" s="50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c r="CE257" s="3"/>
      <c r="CF257" s="3"/>
      <c r="CG257" s="3"/>
      <c r="CH257" s="3"/>
      <c r="CI257" s="3"/>
      <c r="CJ257" s="3"/>
      <c r="CK257" s="3"/>
      <c r="CL257" s="3"/>
      <c r="CM257" s="3"/>
      <c r="CN257" s="3"/>
      <c r="CO257" s="3"/>
      <c r="CP257" s="3"/>
      <c r="CQ257" s="3"/>
      <c r="CR257" s="3"/>
      <c r="CS257" s="3"/>
      <c r="CT257" s="3"/>
      <c r="CU257" s="3"/>
      <c r="CV257" s="3"/>
      <c r="CW257" s="3"/>
      <c r="CX257" s="3"/>
      <c r="CY257" s="3"/>
      <c r="CZ257" s="3"/>
      <c r="DA257" s="3"/>
      <c r="DB257" s="3"/>
      <c r="DC257" s="3"/>
      <c r="DD257" s="3"/>
      <c r="DE257" s="3"/>
      <c r="DF257" s="3"/>
      <c r="DG257" s="3"/>
      <c r="DH257" s="3"/>
      <c r="DI257" s="3"/>
      <c r="DJ257" s="3"/>
      <c r="DK257" s="3"/>
      <c r="DL257" s="3"/>
      <c r="DM257" s="3"/>
      <c r="DN257" s="3"/>
      <c r="DO257" s="3"/>
      <c r="DP257" s="3"/>
      <c r="DQ257" s="3"/>
      <c r="DR257" s="3"/>
      <c r="DS257" s="3"/>
      <c r="DT257" s="3"/>
      <c r="DU257" s="3"/>
      <c r="DV257" s="3"/>
      <c r="DW257" s="3"/>
      <c r="DX257" s="3"/>
      <c r="DY257" s="3"/>
      <c r="DZ257" s="3"/>
      <c r="EA257" s="3"/>
      <c r="EB257" s="3"/>
      <c r="EC257" s="3"/>
      <c r="ED257" s="3"/>
      <c r="EE257" s="3"/>
      <c r="EF257" s="3"/>
      <c r="EG257" s="3"/>
      <c r="EH257" s="3"/>
      <c r="EI257" s="3"/>
      <c r="EJ257" s="3"/>
      <c r="EK257" s="3"/>
      <c r="EL257" s="3"/>
      <c r="EM257" s="3"/>
      <c r="EN257" s="3"/>
      <c r="EO257" s="3"/>
      <c r="EP257" s="3"/>
      <c r="EQ257" s="3"/>
      <c r="ER257" s="3"/>
      <c r="ES257" s="3"/>
      <c r="ET257" s="3"/>
      <c r="EU257" s="3"/>
      <c r="EV257" s="3"/>
      <c r="EW257" s="3"/>
      <c r="EX257" s="3"/>
      <c r="EY257" s="3"/>
      <c r="EZ257" s="3"/>
      <c r="FA257" s="3"/>
      <c r="FB257" s="3"/>
      <c r="FC257" s="3"/>
      <c r="FD257" s="3"/>
      <c r="FE257" s="3"/>
      <c r="FF257" s="3"/>
      <c r="FG257" s="3"/>
      <c r="FH257" s="3"/>
      <c r="FI257" s="3"/>
      <c r="FJ257" s="3"/>
      <c r="FK257" s="3"/>
      <c r="FL257" s="3"/>
      <c r="FM257" s="3"/>
      <c r="FN257" s="3"/>
      <c r="FO257" s="3"/>
      <c r="FP257" s="3"/>
      <c r="FQ257" s="3"/>
      <c r="FR257" s="3"/>
      <c r="FS257" s="3"/>
      <c r="FT257" s="3"/>
      <c r="FU257" s="3"/>
      <c r="FV257" s="3"/>
      <c r="FW257" s="3"/>
      <c r="FX257" s="3"/>
      <c r="FY257" s="3"/>
      <c r="FZ257" s="3"/>
      <c r="GA257" s="3"/>
      <c r="GB257" s="3"/>
      <c r="GC257" s="3"/>
      <c r="GD257" s="3"/>
      <c r="GE257" s="3"/>
      <c r="GF257" s="3"/>
      <c r="GG257" s="3"/>
      <c r="GH257" s="3"/>
      <c r="GI257" s="3"/>
      <c r="GJ257" s="3"/>
      <c r="GK257" s="3"/>
      <c r="GL257" s="3"/>
      <c r="GM257" s="3"/>
      <c r="GN257" s="3"/>
      <c r="GO257" s="3"/>
      <c r="GP257" s="3"/>
      <c r="GQ257" s="3"/>
      <c r="GR257" s="3"/>
      <c r="GS257" s="3"/>
      <c r="GT257" s="3"/>
      <c r="GU257" s="3"/>
      <c r="GV257" s="3"/>
      <c r="GW257" s="3"/>
      <c r="GX257" s="3"/>
      <c r="GY257" s="3"/>
      <c r="GZ257" s="3"/>
      <c r="HA257" s="3"/>
      <c r="HB257" s="3"/>
      <c r="HC257" s="3"/>
      <c r="HD257" s="3"/>
      <c r="HE257" s="3"/>
      <c r="HF257" s="3"/>
      <c r="HG257" s="3"/>
      <c r="HH257" s="3"/>
      <c r="HI257" s="3"/>
      <c r="HJ257" s="3"/>
      <c r="HK257" s="3"/>
      <c r="HL257" s="3"/>
      <c r="HM257" s="3"/>
      <c r="HN257" s="3"/>
      <c r="HO257" s="3"/>
      <c r="HP257" s="3"/>
      <c r="HQ257" s="3"/>
      <c r="HR257" s="3"/>
      <c r="HS257" s="3"/>
      <c r="HT257" s="3"/>
      <c r="HU257" s="3"/>
      <c r="HV257" s="3"/>
      <c r="HW257" s="3"/>
      <c r="HX257" s="3"/>
      <c r="HY257" s="3"/>
      <c r="HZ257" s="3"/>
      <c r="IA257" s="3"/>
      <c r="IB257" s="3"/>
      <c r="IC257" s="3"/>
      <c r="ID257" s="3"/>
      <c r="IE257" s="3"/>
      <c r="IF257" s="3"/>
      <c r="IG257" s="3"/>
      <c r="IH257" s="3"/>
      <c r="II257" s="3"/>
      <c r="IJ257" s="3"/>
      <c r="IK257" s="3"/>
      <c r="IL257" s="3"/>
      <c r="IM257" s="3"/>
      <c r="IN257" s="3"/>
      <c r="IO257" s="3"/>
      <c r="IP257" s="3"/>
      <c r="IQ257" s="3"/>
      <c r="IR257" s="3"/>
      <c r="IS257" s="3"/>
      <c r="IT257" s="3"/>
      <c r="IU257" s="3"/>
      <c r="IV257" s="3"/>
      <c r="IW257" s="3"/>
      <c r="IX257" s="3"/>
      <c r="IY257" s="3"/>
      <c r="IZ257" s="3"/>
      <c r="JA257" s="3"/>
      <c r="JB257" s="3"/>
      <c r="JC257" s="3"/>
      <c r="JD257" s="3"/>
      <c r="JE257" s="3"/>
      <c r="JF257" s="3"/>
      <c r="JG257" s="3"/>
      <c r="JH257" s="3"/>
      <c r="JI257" s="3"/>
    </row>
    <row r="258" spans="1:269" outlineLevel="1">
      <c r="A258" s="143"/>
      <c r="B258" s="143"/>
      <c r="C258" s="277"/>
      <c r="D258" s="277"/>
      <c r="E258" s="277"/>
      <c r="F258" s="278"/>
      <c r="G258" s="278"/>
      <c r="H258" s="278"/>
      <c r="I258" s="278"/>
      <c r="J258" s="277"/>
      <c r="K258" s="278"/>
      <c r="L258" s="278"/>
      <c r="M258" s="278"/>
      <c r="N258" s="278"/>
      <c r="O258" s="277"/>
      <c r="P258" s="278"/>
      <c r="Q258" s="278"/>
      <c r="R258" s="278"/>
      <c r="S258" s="278"/>
      <c r="T258" s="277"/>
      <c r="U258" s="278"/>
      <c r="V258" s="278"/>
      <c r="W258" s="278"/>
      <c r="X258" s="278"/>
      <c r="Y258" s="277"/>
      <c r="Z258" s="278"/>
      <c r="AA258" s="278"/>
      <c r="AB258" s="278"/>
      <c r="AC258" s="278"/>
      <c r="AD258" s="536"/>
      <c r="AE258" s="143"/>
      <c r="AF258" s="143"/>
      <c r="AG258" s="143"/>
      <c r="AH258" s="143"/>
      <c r="AI258" s="279"/>
      <c r="AJ258" s="143"/>
      <c r="AK258" s="143"/>
      <c r="AL258" s="143"/>
      <c r="AM258" s="143"/>
      <c r="AN258" s="279"/>
      <c r="AO258" s="143"/>
      <c r="AP258" s="143"/>
      <c r="AQ258" s="143"/>
      <c r="AR258" s="143"/>
      <c r="AS258" s="279"/>
      <c r="AT258" s="315"/>
      <c r="AU258" s="508"/>
      <c r="AV258" s="143"/>
      <c r="AW258" s="143"/>
      <c r="AX258" s="143"/>
      <c r="AY258" s="143"/>
      <c r="AZ258" s="143"/>
      <c r="BA258" s="143"/>
      <c r="BB258" s="143"/>
      <c r="BC258" s="143"/>
      <c r="BD258" s="143"/>
      <c r="BE258" s="143"/>
      <c r="BF258" s="143"/>
      <c r="BG258" s="143"/>
      <c r="BH258" s="143"/>
      <c r="BI258" s="143"/>
      <c r="BJ258" s="143"/>
      <c r="BK258" s="143"/>
      <c r="BL258" s="143"/>
      <c r="BM258" s="143"/>
      <c r="BN258" s="143"/>
      <c r="BO258" s="143"/>
      <c r="BP258" s="143"/>
      <c r="BQ258" s="143"/>
      <c r="BR258" s="143"/>
      <c r="BS258" s="143"/>
      <c r="BT258" s="143"/>
      <c r="BU258" s="143"/>
      <c r="BV258" s="143"/>
      <c r="BW258" s="143"/>
      <c r="BX258" s="143"/>
      <c r="BY258" s="143"/>
      <c r="BZ258" s="143"/>
      <c r="CA258" s="143"/>
      <c r="CB258" s="143"/>
      <c r="CC258" s="143"/>
      <c r="CD258" s="143"/>
      <c r="CE258" s="143"/>
      <c r="CF258" s="143"/>
      <c r="CG258" s="143"/>
      <c r="CH258" s="143"/>
      <c r="CI258" s="143"/>
      <c r="CJ258" s="143"/>
      <c r="CK258" s="143"/>
      <c r="CL258" s="143"/>
      <c r="CM258" s="143"/>
      <c r="CN258" s="143"/>
      <c r="CO258" s="143"/>
      <c r="CP258" s="143"/>
      <c r="CQ258" s="143"/>
      <c r="CR258" s="143"/>
      <c r="CS258" s="143"/>
      <c r="CT258" s="143"/>
      <c r="CU258" s="143"/>
      <c r="CV258" s="143"/>
      <c r="CW258" s="143"/>
      <c r="CX258" s="143"/>
      <c r="CY258" s="143"/>
      <c r="CZ258" s="143"/>
      <c r="DA258" s="143"/>
      <c r="DB258" s="143"/>
      <c r="DC258" s="143"/>
      <c r="DD258" s="143"/>
      <c r="DE258" s="143"/>
      <c r="DF258" s="143"/>
      <c r="DG258" s="143"/>
      <c r="DH258" s="143"/>
      <c r="DI258" s="143"/>
      <c r="DJ258" s="143"/>
      <c r="DK258" s="143"/>
      <c r="DL258" s="143"/>
      <c r="DM258" s="143"/>
      <c r="DN258" s="143"/>
      <c r="DO258" s="143"/>
      <c r="DP258" s="143"/>
      <c r="DQ258" s="143"/>
      <c r="DR258" s="143"/>
      <c r="DS258" s="143"/>
      <c r="DT258" s="143"/>
      <c r="DU258" s="143"/>
      <c r="DV258" s="143"/>
      <c r="DW258" s="143"/>
      <c r="DX258" s="143"/>
      <c r="DY258" s="143"/>
      <c r="DZ258" s="143"/>
      <c r="EA258" s="143"/>
      <c r="EB258" s="143"/>
      <c r="EC258" s="143"/>
      <c r="ED258" s="143"/>
      <c r="EE258" s="143"/>
      <c r="EF258" s="143"/>
      <c r="EG258" s="143"/>
      <c r="EH258" s="143"/>
      <c r="EI258" s="143"/>
      <c r="EJ258" s="143"/>
      <c r="EK258" s="143"/>
      <c r="EL258" s="143"/>
      <c r="EM258" s="143"/>
      <c r="EN258" s="143"/>
      <c r="EO258" s="143"/>
      <c r="EP258" s="143"/>
      <c r="EQ258" s="143"/>
      <c r="ER258" s="143"/>
      <c r="ES258" s="143"/>
      <c r="ET258" s="143"/>
      <c r="EU258" s="143"/>
      <c r="EV258" s="143"/>
      <c r="EW258" s="143"/>
      <c r="EX258" s="143"/>
      <c r="EY258" s="143"/>
      <c r="EZ258" s="143"/>
      <c r="FA258" s="143"/>
      <c r="FB258" s="143"/>
      <c r="FC258" s="143"/>
      <c r="FD258" s="143"/>
      <c r="FE258" s="143"/>
      <c r="FF258" s="143"/>
      <c r="FG258" s="143"/>
      <c r="FH258" s="143"/>
      <c r="FI258" s="143"/>
      <c r="FJ258" s="143"/>
      <c r="FK258" s="143"/>
      <c r="FL258" s="143"/>
      <c r="FM258" s="143"/>
      <c r="FN258" s="143"/>
      <c r="FO258" s="143"/>
      <c r="FP258" s="143"/>
      <c r="FQ258" s="143"/>
      <c r="FR258" s="143"/>
      <c r="FS258" s="143"/>
      <c r="FT258" s="143"/>
      <c r="FU258" s="143"/>
      <c r="FV258" s="143"/>
      <c r="FW258" s="143"/>
      <c r="FX258" s="143"/>
      <c r="FY258" s="143"/>
      <c r="FZ258" s="143"/>
      <c r="GA258" s="143"/>
      <c r="GB258" s="143"/>
      <c r="GC258" s="143"/>
      <c r="GD258" s="143"/>
      <c r="GE258" s="143"/>
      <c r="GF258" s="143"/>
      <c r="GG258" s="143"/>
      <c r="GH258" s="143"/>
      <c r="GI258" s="143"/>
      <c r="GJ258" s="143"/>
      <c r="GK258" s="143"/>
      <c r="GL258" s="143"/>
      <c r="GM258" s="143"/>
      <c r="GN258" s="143"/>
      <c r="GO258" s="143"/>
      <c r="GP258" s="143"/>
      <c r="GQ258" s="143"/>
      <c r="GR258" s="143"/>
      <c r="GS258" s="143"/>
      <c r="GT258" s="143"/>
      <c r="GU258" s="143"/>
      <c r="GV258" s="143"/>
      <c r="GW258" s="143"/>
      <c r="GX258" s="143"/>
      <c r="GY258" s="143"/>
      <c r="GZ258" s="143"/>
      <c r="HA258" s="143"/>
      <c r="HB258" s="143"/>
      <c r="HC258" s="143"/>
      <c r="HD258" s="143"/>
      <c r="HE258" s="143"/>
      <c r="HF258" s="143"/>
      <c r="HG258" s="143"/>
      <c r="HH258" s="143"/>
      <c r="HI258" s="143"/>
      <c r="HJ258" s="143"/>
      <c r="HK258" s="143"/>
      <c r="HL258" s="143"/>
      <c r="HM258" s="143"/>
      <c r="HN258" s="143"/>
      <c r="HO258" s="143"/>
      <c r="HP258" s="143"/>
      <c r="HQ258" s="143"/>
      <c r="HR258" s="143"/>
      <c r="HS258" s="143"/>
      <c r="HT258" s="143"/>
      <c r="HU258" s="143"/>
      <c r="HV258" s="143"/>
      <c r="HW258" s="143"/>
      <c r="HX258" s="143"/>
      <c r="HY258" s="143"/>
      <c r="HZ258" s="143"/>
      <c r="IA258" s="143"/>
      <c r="IB258" s="143"/>
      <c r="IC258" s="143"/>
      <c r="ID258" s="143"/>
      <c r="IE258" s="143"/>
      <c r="IF258" s="143"/>
      <c r="IG258" s="143"/>
      <c r="IH258" s="143"/>
      <c r="II258" s="143"/>
      <c r="IJ258" s="143"/>
      <c r="IK258" s="143"/>
      <c r="IL258" s="143"/>
      <c r="IM258" s="143"/>
      <c r="IN258" s="143"/>
      <c r="IO258" s="143"/>
      <c r="IP258" s="143"/>
      <c r="IQ258" s="143"/>
      <c r="IR258" s="143"/>
      <c r="IS258" s="143"/>
      <c r="IT258" s="143"/>
      <c r="IU258" s="143"/>
      <c r="IV258" s="143"/>
      <c r="IW258" s="143"/>
      <c r="IX258" s="143"/>
      <c r="IY258" s="143"/>
      <c r="IZ258" s="143"/>
      <c r="JA258" s="143"/>
      <c r="JB258" s="143"/>
      <c r="JC258" s="143"/>
      <c r="JD258" s="143"/>
      <c r="JE258" s="143"/>
      <c r="JF258" s="143"/>
      <c r="JG258" s="143"/>
      <c r="JH258" s="143"/>
      <c r="JI258" s="143"/>
    </row>
    <row r="259" spans="1:269" outlineLevel="1">
      <c r="A259" t="s">
        <v>448</v>
      </c>
      <c r="B259" s="143"/>
      <c r="C259" s="277"/>
      <c r="D259" s="277"/>
      <c r="E259" s="277"/>
      <c r="F259" s="278"/>
      <c r="G259" s="278"/>
      <c r="H259" s="278"/>
      <c r="I259" s="278"/>
      <c r="J259" s="277"/>
      <c r="K259" s="278"/>
      <c r="L259" s="278"/>
      <c r="M259" s="278"/>
      <c r="N259" s="278"/>
      <c r="O259" s="277"/>
      <c r="P259" s="280" t="s">
        <v>457</v>
      </c>
      <c r="Q259" s="280" t="s">
        <v>457</v>
      </c>
      <c r="R259" s="280" t="s">
        <v>457</v>
      </c>
      <c r="S259" s="280" t="s">
        <v>455</v>
      </c>
      <c r="T259" s="277"/>
      <c r="U259" s="280" t="s">
        <v>455</v>
      </c>
      <c r="V259" s="280" t="s">
        <v>455</v>
      </c>
      <c r="W259" s="280" t="s">
        <v>455</v>
      </c>
      <c r="X259" s="280" t="s">
        <v>456</v>
      </c>
      <c r="Y259" s="277"/>
      <c r="Z259" s="280" t="s">
        <v>456</v>
      </c>
      <c r="AA259" s="280" t="s">
        <v>456</v>
      </c>
      <c r="AB259" s="280" t="s">
        <v>456</v>
      </c>
      <c r="AC259" s="278"/>
      <c r="AD259" s="536"/>
      <c r="AE259" s="143"/>
      <c r="AF259" s="143"/>
      <c r="AG259" s="143"/>
      <c r="AH259" s="143"/>
      <c r="AI259" s="279"/>
      <c r="AJ259" s="143"/>
      <c r="AK259" s="143"/>
      <c r="AL259" s="143"/>
      <c r="AM259" s="143"/>
      <c r="AN259" s="279"/>
      <c r="AO259" s="143"/>
      <c r="AP259" s="143"/>
      <c r="AQ259" s="143"/>
      <c r="AR259" s="143"/>
      <c r="AS259" s="279"/>
      <c r="AT259" s="315"/>
      <c r="AU259" s="508"/>
      <c r="AV259" s="143"/>
      <c r="AW259" s="143"/>
      <c r="AX259" s="143"/>
      <c r="AY259" s="143"/>
      <c r="AZ259" s="143"/>
      <c r="BA259" s="143"/>
      <c r="BB259" s="143"/>
      <c r="BC259" s="143"/>
      <c r="BD259" s="143"/>
      <c r="BE259" s="143"/>
      <c r="BF259" s="143"/>
      <c r="BG259" s="143"/>
      <c r="BH259" s="143"/>
      <c r="BI259" s="143"/>
      <c r="BJ259" s="143"/>
      <c r="BK259" s="143"/>
      <c r="BL259" s="143"/>
      <c r="BM259" s="143"/>
      <c r="BN259" s="143"/>
      <c r="BO259" s="143"/>
      <c r="BP259" s="143"/>
      <c r="BQ259" s="143"/>
      <c r="BR259" s="143"/>
      <c r="BS259" s="143"/>
      <c r="BT259" s="143"/>
      <c r="BU259" s="143"/>
      <c r="BV259" s="143"/>
      <c r="BW259" s="143"/>
      <c r="BX259" s="143"/>
      <c r="BY259" s="143"/>
      <c r="BZ259" s="143"/>
      <c r="CA259" s="143"/>
      <c r="CB259" s="143"/>
      <c r="CC259" s="143"/>
      <c r="CD259" s="143"/>
      <c r="CE259" s="143"/>
      <c r="CF259" s="143"/>
      <c r="CG259" s="143"/>
      <c r="CH259" s="143"/>
      <c r="CI259" s="143"/>
      <c r="CJ259" s="143"/>
      <c r="CK259" s="143"/>
      <c r="CL259" s="143"/>
      <c r="CM259" s="143"/>
      <c r="CN259" s="143"/>
      <c r="CO259" s="143"/>
      <c r="CP259" s="143"/>
      <c r="CQ259" s="143"/>
      <c r="CR259" s="143"/>
      <c r="CS259" s="143"/>
      <c r="CT259" s="143"/>
      <c r="CU259" s="143"/>
      <c r="CV259" s="143"/>
      <c r="CW259" s="143"/>
      <c r="CX259" s="143"/>
      <c r="CY259" s="143"/>
      <c r="CZ259" s="143"/>
      <c r="DA259" s="143"/>
      <c r="DB259" s="143"/>
      <c r="DC259" s="143"/>
      <c r="DD259" s="143"/>
      <c r="DE259" s="143"/>
      <c r="DF259" s="143"/>
      <c r="DG259" s="143"/>
      <c r="DH259" s="143"/>
      <c r="DI259" s="143"/>
      <c r="DJ259" s="143"/>
      <c r="DK259" s="143"/>
      <c r="DL259" s="143"/>
      <c r="DM259" s="143"/>
      <c r="DN259" s="143"/>
      <c r="DO259" s="143"/>
      <c r="DP259" s="143"/>
      <c r="DQ259" s="143"/>
      <c r="DR259" s="143"/>
      <c r="DS259" s="143"/>
      <c r="DT259" s="143"/>
      <c r="DU259" s="143"/>
      <c r="DV259" s="143"/>
      <c r="DW259" s="143"/>
      <c r="DX259" s="143"/>
      <c r="DY259" s="143"/>
      <c r="DZ259" s="143"/>
      <c r="EA259" s="143"/>
      <c r="EB259" s="143"/>
      <c r="EC259" s="143"/>
      <c r="ED259" s="143"/>
      <c r="EE259" s="143"/>
      <c r="EF259" s="143"/>
      <c r="EG259" s="143"/>
      <c r="EH259" s="143"/>
      <c r="EI259" s="143"/>
      <c r="EJ259" s="143"/>
      <c r="EK259" s="143"/>
      <c r="EL259" s="143"/>
      <c r="EM259" s="143"/>
      <c r="EN259" s="143"/>
      <c r="EO259" s="143"/>
      <c r="EP259" s="143"/>
      <c r="EQ259" s="143"/>
      <c r="ER259" s="143"/>
      <c r="ES259" s="143"/>
      <c r="ET259" s="143"/>
      <c r="EU259" s="143"/>
      <c r="EV259" s="143"/>
      <c r="EW259" s="143"/>
      <c r="EX259" s="143"/>
      <c r="EY259" s="143"/>
      <c r="EZ259" s="143"/>
      <c r="FA259" s="143"/>
      <c r="FB259" s="143"/>
      <c r="FC259" s="143"/>
      <c r="FD259" s="143"/>
      <c r="FE259" s="143"/>
      <c r="FF259" s="143"/>
      <c r="FG259" s="143"/>
      <c r="FH259" s="143"/>
      <c r="FI259" s="143"/>
      <c r="FJ259" s="143"/>
      <c r="FK259" s="143"/>
      <c r="FL259" s="143"/>
      <c r="FM259" s="143"/>
      <c r="FN259" s="143"/>
      <c r="FO259" s="143"/>
      <c r="FP259" s="143"/>
      <c r="FQ259" s="143"/>
      <c r="FR259" s="143"/>
      <c r="FS259" s="143"/>
      <c r="FT259" s="143"/>
      <c r="FU259" s="143"/>
      <c r="FV259" s="143"/>
      <c r="FW259" s="143"/>
      <c r="FX259" s="143"/>
      <c r="FY259" s="143"/>
      <c r="FZ259" s="143"/>
      <c r="GA259" s="143"/>
      <c r="GB259" s="143"/>
      <c r="GC259" s="143"/>
      <c r="GD259" s="143"/>
      <c r="GE259" s="143"/>
      <c r="GF259" s="143"/>
      <c r="GG259" s="143"/>
      <c r="GH259" s="143"/>
      <c r="GI259" s="143"/>
      <c r="GJ259" s="143"/>
      <c r="GK259" s="143"/>
      <c r="GL259" s="143"/>
      <c r="GM259" s="143"/>
      <c r="GN259" s="143"/>
      <c r="GO259" s="143"/>
      <c r="GP259" s="143"/>
      <c r="GQ259" s="143"/>
      <c r="GR259" s="143"/>
      <c r="GS259" s="143"/>
      <c r="GT259" s="143"/>
      <c r="GU259" s="143"/>
      <c r="GV259" s="143"/>
      <c r="GW259" s="143"/>
      <c r="GX259" s="143"/>
      <c r="GY259" s="143"/>
      <c r="GZ259" s="143"/>
      <c r="HA259" s="143"/>
      <c r="HB259" s="143"/>
      <c r="HC259" s="143"/>
      <c r="HD259" s="143"/>
      <c r="HE259" s="143"/>
      <c r="HF259" s="143"/>
      <c r="HG259" s="143"/>
      <c r="HH259" s="143"/>
      <c r="HI259" s="143"/>
      <c r="HJ259" s="143"/>
      <c r="HK259" s="143"/>
      <c r="HL259" s="143"/>
      <c r="HM259" s="143"/>
      <c r="HN259" s="143"/>
      <c r="HO259" s="143"/>
      <c r="HP259" s="143"/>
      <c r="HQ259" s="143"/>
      <c r="HR259" s="143"/>
      <c r="HS259" s="143"/>
      <c r="HT259" s="143"/>
      <c r="HU259" s="143"/>
      <c r="HV259" s="143"/>
      <c r="HW259" s="143"/>
      <c r="HX259" s="143"/>
      <c r="HY259" s="143"/>
      <c r="HZ259" s="143"/>
      <c r="IA259" s="143"/>
      <c r="IB259" s="143"/>
      <c r="IC259" s="143"/>
      <c r="ID259" s="143"/>
      <c r="IE259" s="143"/>
      <c r="IF259" s="143"/>
      <c r="IG259" s="143"/>
      <c r="IH259" s="143"/>
      <c r="II259" s="143"/>
      <c r="IJ259" s="143"/>
      <c r="IK259" s="143"/>
      <c r="IL259" s="143"/>
      <c r="IM259" s="143"/>
      <c r="IN259" s="143"/>
      <c r="IO259" s="143"/>
      <c r="IP259" s="143"/>
      <c r="IQ259" s="143"/>
      <c r="IR259" s="143"/>
      <c r="IS259" s="143"/>
      <c r="IT259" s="143"/>
      <c r="IU259" s="143"/>
      <c r="IV259" s="143"/>
      <c r="IW259" s="143"/>
      <c r="IX259" s="143"/>
      <c r="IY259" s="143"/>
      <c r="IZ259" s="143"/>
      <c r="JA259" s="143"/>
      <c r="JB259" s="143"/>
      <c r="JC259" s="143"/>
      <c r="JD259" s="143"/>
      <c r="JE259" s="143"/>
      <c r="JF259" s="143"/>
      <c r="JG259" s="143"/>
      <c r="JH259" s="143"/>
      <c r="JI259" s="143"/>
    </row>
    <row r="260" spans="1:269" outlineLevel="1">
      <c r="A260" s="58" t="s">
        <v>451</v>
      </c>
      <c r="B260" s="143"/>
      <c r="C260" s="277"/>
      <c r="D260" s="277"/>
      <c r="E260" s="277"/>
      <c r="F260" s="278"/>
      <c r="G260" s="278"/>
      <c r="H260" s="278"/>
      <c r="I260" s="278"/>
      <c r="J260" s="277"/>
      <c r="K260" s="278"/>
      <c r="L260" s="278"/>
      <c r="M260" s="278"/>
      <c r="N260" s="278"/>
      <c r="O260" s="277"/>
      <c r="P260" s="278"/>
      <c r="Q260" s="555" t="s">
        <v>458</v>
      </c>
      <c r="R260" s="554" t="s">
        <v>459</v>
      </c>
      <c r="S260" s="554" t="s">
        <v>459</v>
      </c>
      <c r="T260" s="277"/>
      <c r="U260" s="554" t="s">
        <v>459</v>
      </c>
      <c r="V260" s="555" t="s">
        <v>458</v>
      </c>
      <c r="W260" s="554" t="s">
        <v>459</v>
      </c>
      <c r="X260" s="554" t="s">
        <v>459</v>
      </c>
      <c r="Y260" s="277"/>
      <c r="Z260" s="554" t="s">
        <v>459</v>
      </c>
      <c r="AA260" s="555" t="s">
        <v>458</v>
      </c>
      <c r="AB260" s="556" t="s">
        <v>460</v>
      </c>
      <c r="AC260" s="278"/>
      <c r="AD260" s="536"/>
      <c r="AE260" s="143"/>
      <c r="AF260" s="143"/>
      <c r="AG260" s="143"/>
      <c r="AH260" s="143"/>
      <c r="AI260" s="279"/>
      <c r="AJ260" s="143"/>
      <c r="AK260" s="143"/>
      <c r="AL260" s="143"/>
      <c r="AM260" s="143"/>
      <c r="AN260" s="279"/>
      <c r="AO260" s="143"/>
      <c r="AP260" s="143"/>
      <c r="AQ260" s="143"/>
      <c r="AR260" s="143"/>
      <c r="AS260" s="279"/>
      <c r="AT260" s="315"/>
      <c r="AU260" s="508"/>
      <c r="AV260" s="143"/>
      <c r="AW260" s="143"/>
      <c r="AX260" s="143"/>
      <c r="AY260" s="143"/>
      <c r="AZ260" s="143"/>
      <c r="BA260" s="143"/>
      <c r="BB260" s="143"/>
      <c r="BC260" s="143"/>
      <c r="BD260" s="143"/>
      <c r="BE260" s="143"/>
      <c r="BF260" s="143"/>
      <c r="BG260" s="143"/>
      <c r="BH260" s="143"/>
      <c r="BI260" s="143"/>
      <c r="BJ260" s="143"/>
      <c r="BK260" s="143"/>
      <c r="BL260" s="143"/>
      <c r="BM260" s="143"/>
      <c r="BN260" s="143"/>
      <c r="BO260" s="143"/>
      <c r="BP260" s="143"/>
      <c r="BQ260" s="143"/>
      <c r="BR260" s="143"/>
      <c r="BS260" s="143"/>
      <c r="BT260" s="143"/>
      <c r="BU260" s="143"/>
      <c r="BV260" s="143"/>
      <c r="BW260" s="143"/>
      <c r="BX260" s="143"/>
      <c r="BY260" s="143"/>
      <c r="BZ260" s="143"/>
      <c r="CA260" s="143"/>
      <c r="CB260" s="143"/>
      <c r="CC260" s="143"/>
      <c r="CD260" s="143"/>
      <c r="CE260" s="143"/>
      <c r="CF260" s="143"/>
      <c r="CG260" s="143"/>
      <c r="CH260" s="143"/>
      <c r="CI260" s="143"/>
      <c r="CJ260" s="143"/>
      <c r="CK260" s="143"/>
      <c r="CL260" s="143"/>
      <c r="CM260" s="143"/>
      <c r="CN260" s="143"/>
      <c r="CO260" s="143"/>
      <c r="CP260" s="143"/>
      <c r="CQ260" s="143"/>
      <c r="CR260" s="143"/>
      <c r="CS260" s="143"/>
      <c r="CT260" s="143"/>
      <c r="CU260" s="143"/>
      <c r="CV260" s="143"/>
      <c r="CW260" s="143"/>
      <c r="CX260" s="143"/>
      <c r="CY260" s="143"/>
      <c r="CZ260" s="143"/>
      <c r="DA260" s="143"/>
      <c r="DB260" s="143"/>
      <c r="DC260" s="143"/>
      <c r="DD260" s="143"/>
      <c r="DE260" s="143"/>
      <c r="DF260" s="143"/>
      <c r="DG260" s="143"/>
      <c r="DH260" s="143"/>
      <c r="DI260" s="143"/>
      <c r="DJ260" s="143"/>
      <c r="DK260" s="143"/>
      <c r="DL260" s="143"/>
      <c r="DM260" s="143"/>
      <c r="DN260" s="143"/>
      <c r="DO260" s="143"/>
      <c r="DP260" s="143"/>
      <c r="DQ260" s="143"/>
      <c r="DR260" s="143"/>
      <c r="DS260" s="143"/>
      <c r="DT260" s="143"/>
      <c r="DU260" s="143"/>
      <c r="DV260" s="143"/>
      <c r="DW260" s="143"/>
      <c r="DX260" s="143"/>
      <c r="DY260" s="143"/>
      <c r="DZ260" s="143"/>
      <c r="EA260" s="143"/>
      <c r="EB260" s="143"/>
      <c r="EC260" s="143"/>
      <c r="ED260" s="143"/>
      <c r="EE260" s="143"/>
      <c r="EF260" s="143"/>
      <c r="EG260" s="143"/>
      <c r="EH260" s="143"/>
      <c r="EI260" s="143"/>
      <c r="EJ260" s="143"/>
      <c r="EK260" s="143"/>
      <c r="EL260" s="143"/>
      <c r="EM260" s="143"/>
      <c r="EN260" s="143"/>
      <c r="EO260" s="143"/>
      <c r="EP260" s="143"/>
      <c r="EQ260" s="143"/>
      <c r="ER260" s="143"/>
      <c r="ES260" s="143"/>
      <c r="ET260" s="143"/>
      <c r="EU260" s="143"/>
      <c r="EV260" s="143"/>
      <c r="EW260" s="143"/>
      <c r="EX260" s="143"/>
      <c r="EY260" s="143"/>
      <c r="EZ260" s="143"/>
      <c r="FA260" s="143"/>
      <c r="FB260" s="143"/>
      <c r="FC260" s="143"/>
      <c r="FD260" s="143"/>
      <c r="FE260" s="143"/>
      <c r="FF260" s="143"/>
      <c r="FG260" s="143"/>
      <c r="FH260" s="143"/>
      <c r="FI260" s="143"/>
      <c r="FJ260" s="143"/>
      <c r="FK260" s="143"/>
      <c r="FL260" s="143"/>
      <c r="FM260" s="143"/>
      <c r="FN260" s="143"/>
      <c r="FO260" s="143"/>
      <c r="FP260" s="143"/>
      <c r="FQ260" s="143"/>
      <c r="FR260" s="143"/>
      <c r="FS260" s="143"/>
      <c r="FT260" s="143"/>
      <c r="FU260" s="143"/>
      <c r="FV260" s="143"/>
      <c r="FW260" s="143"/>
      <c r="FX260" s="143"/>
      <c r="FY260" s="143"/>
      <c r="FZ260" s="143"/>
      <c r="GA260" s="143"/>
      <c r="GB260" s="143"/>
      <c r="GC260" s="143"/>
      <c r="GD260" s="143"/>
      <c r="GE260" s="143"/>
      <c r="GF260" s="143"/>
      <c r="GG260" s="143"/>
      <c r="GH260" s="143"/>
      <c r="GI260" s="143"/>
      <c r="GJ260" s="143"/>
      <c r="GK260" s="143"/>
      <c r="GL260" s="143"/>
      <c r="GM260" s="143"/>
      <c r="GN260" s="143"/>
      <c r="GO260" s="143"/>
      <c r="GP260" s="143"/>
      <c r="GQ260" s="143"/>
      <c r="GR260" s="143"/>
      <c r="GS260" s="143"/>
      <c r="GT260" s="143"/>
      <c r="GU260" s="143"/>
      <c r="GV260" s="143"/>
      <c r="GW260" s="143"/>
      <c r="GX260" s="143"/>
      <c r="GY260" s="143"/>
      <c r="GZ260" s="143"/>
      <c r="HA260" s="143"/>
      <c r="HB260" s="143"/>
      <c r="HC260" s="143"/>
      <c r="HD260" s="143"/>
      <c r="HE260" s="143"/>
      <c r="HF260" s="143"/>
      <c r="HG260" s="143"/>
      <c r="HH260" s="143"/>
      <c r="HI260" s="143"/>
      <c r="HJ260" s="143"/>
      <c r="HK260" s="143"/>
      <c r="HL260" s="143"/>
      <c r="HM260" s="143"/>
      <c r="HN260" s="143"/>
      <c r="HO260" s="143"/>
      <c r="HP260" s="143"/>
      <c r="HQ260" s="143"/>
      <c r="HR260" s="143"/>
      <c r="HS260" s="143"/>
      <c r="HT260" s="143"/>
      <c r="HU260" s="143"/>
      <c r="HV260" s="143"/>
      <c r="HW260" s="143"/>
      <c r="HX260" s="143"/>
      <c r="HY260" s="143"/>
      <c r="HZ260" s="143"/>
      <c r="IA260" s="143"/>
      <c r="IB260" s="143"/>
      <c r="IC260" s="143"/>
      <c r="ID260" s="143"/>
      <c r="IE260" s="143"/>
      <c r="IF260" s="143"/>
      <c r="IG260" s="143"/>
      <c r="IH260" s="143"/>
      <c r="II260" s="143"/>
      <c r="IJ260" s="143"/>
      <c r="IK260" s="143"/>
      <c r="IL260" s="143"/>
      <c r="IM260" s="143"/>
      <c r="IN260" s="143"/>
      <c r="IO260" s="143"/>
      <c r="IP260" s="143"/>
      <c r="IQ260" s="143"/>
      <c r="IR260" s="143"/>
      <c r="IS260" s="143"/>
      <c r="IT260" s="143"/>
      <c r="IU260" s="143"/>
      <c r="IV260" s="143"/>
      <c r="IW260" s="143"/>
      <c r="IX260" s="143"/>
      <c r="IY260" s="143"/>
      <c r="IZ260" s="143"/>
      <c r="JA260" s="143"/>
      <c r="JB260" s="143"/>
      <c r="JC260" s="143"/>
      <c r="JD260" s="143"/>
      <c r="JE260" s="143"/>
      <c r="JF260" s="143"/>
      <c r="JG260" s="143"/>
      <c r="JH260" s="143"/>
      <c r="JI260" s="143"/>
    </row>
    <row r="261" spans="1:269" outlineLevel="1">
      <c r="A261" s="319" t="s">
        <v>452</v>
      </c>
      <c r="B261" s="143"/>
      <c r="C261" s="277"/>
      <c r="D261" s="277"/>
      <c r="E261" s="277"/>
      <c r="F261" s="143"/>
      <c r="G261" s="143"/>
      <c r="H261" s="278"/>
      <c r="I261" s="278"/>
      <c r="J261" s="277"/>
      <c r="K261" s="143"/>
      <c r="L261" s="143"/>
      <c r="M261" s="278"/>
      <c r="N261" s="278"/>
      <c r="O261" s="277"/>
      <c r="P261" s="278">
        <v>200</v>
      </c>
      <c r="Q261" s="278">
        <v>200</v>
      </c>
      <c r="R261" s="278">
        <v>230</v>
      </c>
      <c r="S261" s="278">
        <v>330</v>
      </c>
      <c r="T261" s="277"/>
      <c r="U261" s="278">
        <v>340</v>
      </c>
      <c r="V261" s="278">
        <v>340</v>
      </c>
      <c r="W261" s="278">
        <v>360</v>
      </c>
      <c r="X261" s="278">
        <v>450</v>
      </c>
      <c r="Y261" s="277"/>
      <c r="Z261" s="278">
        <v>460</v>
      </c>
      <c r="AA261" s="278">
        <v>460</v>
      </c>
      <c r="AB261" s="278">
        <v>385</v>
      </c>
      <c r="AC261" s="278"/>
      <c r="AD261" s="536"/>
      <c r="AE261" s="143"/>
      <c r="AF261" s="143"/>
      <c r="AG261" s="143"/>
      <c r="AH261" s="143"/>
      <c r="AI261" s="279"/>
      <c r="AJ261" s="143"/>
      <c r="AK261" s="143"/>
      <c r="AL261" s="143"/>
      <c r="AM261" s="143"/>
      <c r="AN261" s="279"/>
      <c r="AO261" s="143"/>
      <c r="AP261" s="143"/>
      <c r="AQ261" s="143"/>
      <c r="AR261" s="143"/>
      <c r="AS261" s="279"/>
      <c r="AT261" s="315"/>
      <c r="AU261" s="508"/>
      <c r="AV261" s="143"/>
      <c r="AW261" s="143"/>
      <c r="AX261" s="143"/>
      <c r="AY261" s="143"/>
      <c r="AZ261" s="143"/>
      <c r="BA261" s="143"/>
      <c r="BB261" s="143"/>
      <c r="BC261" s="143"/>
      <c r="BD261" s="143"/>
      <c r="BE261" s="143"/>
      <c r="BF261" s="143"/>
      <c r="BG261" s="143"/>
      <c r="BH261" s="143"/>
      <c r="BI261" s="143"/>
      <c r="BJ261" s="143"/>
      <c r="BK261" s="143"/>
      <c r="BL261" s="143"/>
      <c r="BM261" s="143"/>
      <c r="BN261" s="143"/>
      <c r="BO261" s="143"/>
      <c r="BP261" s="143"/>
      <c r="BQ261" s="143"/>
      <c r="BR261" s="143"/>
      <c r="BS261" s="143"/>
      <c r="BT261" s="143"/>
      <c r="BU261" s="143"/>
      <c r="BV261" s="143"/>
      <c r="BW261" s="143"/>
      <c r="BX261" s="143"/>
      <c r="BY261" s="143"/>
      <c r="BZ261" s="143"/>
      <c r="CA261" s="143"/>
      <c r="CB261" s="143"/>
      <c r="CC261" s="143"/>
      <c r="CD261" s="143"/>
      <c r="CE261" s="143"/>
      <c r="CF261" s="143"/>
      <c r="CG261" s="143"/>
      <c r="CH261" s="143"/>
      <c r="CI261" s="143"/>
      <c r="CJ261" s="143"/>
      <c r="CK261" s="143"/>
      <c r="CL261" s="143"/>
      <c r="CM261" s="143"/>
      <c r="CN261" s="143"/>
      <c r="CO261" s="143"/>
      <c r="CP261" s="143"/>
      <c r="CQ261" s="143"/>
      <c r="CR261" s="143"/>
      <c r="CS261" s="143"/>
      <c r="CT261" s="143"/>
      <c r="CU261" s="143"/>
      <c r="CV261" s="143"/>
      <c r="CW261" s="143"/>
      <c r="CX261" s="143"/>
      <c r="CY261" s="143"/>
      <c r="CZ261" s="143"/>
      <c r="DA261" s="143"/>
      <c r="DB261" s="143"/>
      <c r="DC261" s="143"/>
      <c r="DD261" s="143"/>
      <c r="DE261" s="143"/>
      <c r="DF261" s="143"/>
      <c r="DG261" s="143"/>
      <c r="DH261" s="143"/>
      <c r="DI261" s="143"/>
      <c r="DJ261" s="143"/>
      <c r="DK261" s="143"/>
      <c r="DL261" s="143"/>
      <c r="DM261" s="143"/>
      <c r="DN261" s="143"/>
      <c r="DO261" s="143"/>
      <c r="DP261" s="143"/>
      <c r="DQ261" s="143"/>
      <c r="DR261" s="143"/>
      <c r="DS261" s="143"/>
      <c r="DT261" s="143"/>
      <c r="DU261" s="143"/>
      <c r="DV261" s="143"/>
      <c r="DW261" s="143"/>
      <c r="DX261" s="143"/>
      <c r="DY261" s="143"/>
      <c r="DZ261" s="143"/>
      <c r="EA261" s="143"/>
      <c r="EB261" s="143"/>
      <c r="EC261" s="143"/>
      <c r="ED261" s="143"/>
      <c r="EE261" s="143"/>
      <c r="EF261" s="143"/>
      <c r="EG261" s="143"/>
      <c r="EH261" s="143"/>
      <c r="EI261" s="143"/>
      <c r="EJ261" s="143"/>
      <c r="EK261" s="143"/>
      <c r="EL261" s="143"/>
      <c r="EM261" s="143"/>
      <c r="EN261" s="143"/>
      <c r="EO261" s="143"/>
      <c r="EP261" s="143"/>
      <c r="EQ261" s="143"/>
      <c r="ER261" s="143"/>
      <c r="ES261" s="143"/>
      <c r="ET261" s="143"/>
      <c r="EU261" s="143"/>
      <c r="EV261" s="143"/>
      <c r="EW261" s="143"/>
      <c r="EX261" s="143"/>
      <c r="EY261" s="143"/>
      <c r="EZ261" s="143"/>
      <c r="FA261" s="143"/>
      <c r="FB261" s="143"/>
      <c r="FC261" s="143"/>
      <c r="FD261" s="143"/>
      <c r="FE261" s="143"/>
      <c r="FF261" s="143"/>
      <c r="FG261" s="143"/>
      <c r="FH261" s="143"/>
      <c r="FI261" s="143"/>
      <c r="FJ261" s="143"/>
      <c r="FK261" s="143"/>
      <c r="FL261" s="143"/>
      <c r="FM261" s="143"/>
      <c r="FN261" s="143"/>
      <c r="FO261" s="143"/>
      <c r="FP261" s="143"/>
      <c r="FQ261" s="143"/>
      <c r="FR261" s="143"/>
      <c r="FS261" s="143"/>
      <c r="FT261" s="143"/>
      <c r="FU261" s="143"/>
      <c r="FV261" s="143"/>
      <c r="FW261" s="143"/>
      <c r="FX261" s="143"/>
      <c r="FY261" s="143"/>
      <c r="FZ261" s="143"/>
      <c r="GA261" s="143"/>
      <c r="GB261" s="143"/>
      <c r="GC261" s="143"/>
      <c r="GD261" s="143"/>
      <c r="GE261" s="143"/>
      <c r="GF261" s="143"/>
      <c r="GG261" s="143"/>
      <c r="GH261" s="143"/>
      <c r="GI261" s="143"/>
      <c r="GJ261" s="143"/>
      <c r="GK261" s="143"/>
      <c r="GL261" s="143"/>
      <c r="GM261" s="143"/>
      <c r="GN261" s="143"/>
      <c r="GO261" s="143"/>
      <c r="GP261" s="143"/>
      <c r="GQ261" s="143"/>
      <c r="GR261" s="143"/>
      <c r="GS261" s="143"/>
      <c r="GT261" s="143"/>
      <c r="GU261" s="143"/>
      <c r="GV261" s="143"/>
      <c r="GW261" s="143"/>
      <c r="GX261" s="143"/>
      <c r="GY261" s="143"/>
      <c r="GZ261" s="143"/>
      <c r="HA261" s="143"/>
      <c r="HB261" s="143"/>
      <c r="HC261" s="143"/>
      <c r="HD261" s="143"/>
      <c r="HE261" s="143"/>
      <c r="HF261" s="143"/>
      <c r="HG261" s="143"/>
      <c r="HH261" s="143"/>
      <c r="HI261" s="143"/>
      <c r="HJ261" s="143"/>
      <c r="HK261" s="143"/>
      <c r="HL261" s="143"/>
      <c r="HM261" s="143"/>
      <c r="HN261" s="143"/>
      <c r="HO261" s="143"/>
      <c r="HP261" s="143"/>
      <c r="HQ261" s="143"/>
      <c r="HR261" s="143"/>
      <c r="HS261" s="143"/>
      <c r="HT261" s="143"/>
      <c r="HU261" s="143"/>
      <c r="HV261" s="143"/>
      <c r="HW261" s="143"/>
      <c r="HX261" s="143"/>
      <c r="HY261" s="143"/>
      <c r="HZ261" s="143"/>
      <c r="IA261" s="143"/>
      <c r="IB261" s="143"/>
      <c r="IC261" s="143"/>
      <c r="ID261" s="143"/>
      <c r="IE261" s="143"/>
      <c r="IF261" s="143"/>
      <c r="IG261" s="143"/>
      <c r="IH261" s="143"/>
      <c r="II261" s="143"/>
      <c r="IJ261" s="143"/>
      <c r="IK261" s="143"/>
      <c r="IL261" s="143"/>
      <c r="IM261" s="143"/>
      <c r="IN261" s="143"/>
      <c r="IO261" s="143"/>
      <c r="IP261" s="143"/>
      <c r="IQ261" s="143"/>
      <c r="IR261" s="143"/>
      <c r="IS261" s="143"/>
      <c r="IT261" s="143"/>
      <c r="IU261" s="143"/>
      <c r="IV261" s="143"/>
      <c r="IW261" s="143"/>
      <c r="IX261" s="143"/>
      <c r="IY261" s="143"/>
      <c r="IZ261" s="143"/>
      <c r="JA261" s="143"/>
      <c r="JB261" s="143"/>
      <c r="JC261" s="143"/>
      <c r="JD261" s="143"/>
      <c r="JE261" s="143"/>
      <c r="JF261" s="143"/>
      <c r="JG261" s="143"/>
      <c r="JH261" s="143"/>
      <c r="JI261" s="143"/>
    </row>
    <row r="262" spans="1:269" outlineLevel="1">
      <c r="A262" s="319" t="s">
        <v>453</v>
      </c>
      <c r="B262" s="143"/>
      <c r="C262" s="277"/>
      <c r="D262" s="277"/>
      <c r="E262" s="277"/>
      <c r="F262" s="143"/>
      <c r="G262" s="143"/>
      <c r="H262" s="278"/>
      <c r="I262" s="278"/>
      <c r="J262" s="277"/>
      <c r="K262" s="143"/>
      <c r="L262" s="143"/>
      <c r="M262" s="278"/>
      <c r="N262" s="278"/>
      <c r="O262" s="277"/>
      <c r="P262" s="278">
        <v>200</v>
      </c>
      <c r="Q262" s="278">
        <v>200</v>
      </c>
      <c r="R262" s="278">
        <v>255</v>
      </c>
      <c r="S262" s="278">
        <v>340</v>
      </c>
      <c r="T262" s="277"/>
      <c r="U262" s="278">
        <v>350</v>
      </c>
      <c r="V262" s="278">
        <v>350</v>
      </c>
      <c r="W262" s="278">
        <v>365</v>
      </c>
      <c r="X262" s="278">
        <v>470</v>
      </c>
      <c r="Y262" s="277"/>
      <c r="Z262" s="278">
        <v>480</v>
      </c>
      <c r="AA262" s="278">
        <v>480</v>
      </c>
      <c r="AB262" s="278">
        <v>400</v>
      </c>
      <c r="AC262" s="278"/>
      <c r="AD262" s="536"/>
      <c r="AE262" s="143"/>
      <c r="AF262" s="143"/>
      <c r="AG262" s="143"/>
      <c r="AH262" s="143"/>
      <c r="AI262" s="279"/>
      <c r="AJ262" s="143"/>
      <c r="AK262" s="143"/>
      <c r="AL262" s="143"/>
      <c r="AM262" s="143"/>
      <c r="AN262" s="279"/>
      <c r="AO262" s="143"/>
      <c r="AP262" s="143"/>
      <c r="AQ262" s="143"/>
      <c r="AR262" s="143"/>
      <c r="AS262" s="279"/>
      <c r="AT262" s="315"/>
      <c r="AU262" s="508"/>
      <c r="AV262" s="143"/>
      <c r="AW262" s="143"/>
      <c r="AX262" s="143"/>
      <c r="AY262" s="143"/>
      <c r="AZ262" s="143"/>
      <c r="BA262" s="143"/>
      <c r="BB262" s="143"/>
      <c r="BC262" s="143"/>
      <c r="BD262" s="143"/>
      <c r="BE262" s="143"/>
      <c r="BF262" s="143"/>
      <c r="BG262" s="143"/>
      <c r="BH262" s="143"/>
      <c r="BI262" s="143"/>
      <c r="BJ262" s="143"/>
      <c r="BK262" s="143"/>
      <c r="BL262" s="143"/>
      <c r="BM262" s="143"/>
      <c r="BN262" s="143"/>
      <c r="BO262" s="143"/>
      <c r="BP262" s="143"/>
      <c r="BQ262" s="143"/>
      <c r="BR262" s="143"/>
      <c r="BS262" s="143"/>
      <c r="BT262" s="143"/>
      <c r="BU262" s="143"/>
      <c r="BV262" s="143"/>
      <c r="BW262" s="143"/>
      <c r="BX262" s="143"/>
      <c r="BY262" s="143"/>
      <c r="BZ262" s="143"/>
      <c r="CA262" s="143"/>
      <c r="CB262" s="143"/>
      <c r="CC262" s="143"/>
      <c r="CD262" s="143"/>
      <c r="CE262" s="143"/>
      <c r="CF262" s="143"/>
      <c r="CG262" s="143"/>
      <c r="CH262" s="143"/>
      <c r="CI262" s="143"/>
      <c r="CJ262" s="143"/>
      <c r="CK262" s="143"/>
      <c r="CL262" s="143"/>
      <c r="CM262" s="143"/>
      <c r="CN262" s="143"/>
      <c r="CO262" s="143"/>
      <c r="CP262" s="143"/>
      <c r="CQ262" s="143"/>
      <c r="CR262" s="143"/>
      <c r="CS262" s="143"/>
      <c r="CT262" s="143"/>
      <c r="CU262" s="143"/>
      <c r="CV262" s="143"/>
      <c r="CW262" s="143"/>
      <c r="CX262" s="143"/>
      <c r="CY262" s="143"/>
      <c r="CZ262" s="143"/>
      <c r="DA262" s="143"/>
      <c r="DB262" s="143"/>
      <c r="DC262" s="143"/>
      <c r="DD262" s="143"/>
      <c r="DE262" s="143"/>
      <c r="DF262" s="143"/>
      <c r="DG262" s="143"/>
      <c r="DH262" s="143"/>
      <c r="DI262" s="143"/>
      <c r="DJ262" s="143"/>
      <c r="DK262" s="143"/>
      <c r="DL262" s="143"/>
      <c r="DM262" s="143"/>
      <c r="DN262" s="143"/>
      <c r="DO262" s="143"/>
      <c r="DP262" s="143"/>
      <c r="DQ262" s="143"/>
      <c r="DR262" s="143"/>
      <c r="DS262" s="143"/>
      <c r="DT262" s="143"/>
      <c r="DU262" s="143"/>
      <c r="DV262" s="143"/>
      <c r="DW262" s="143"/>
      <c r="DX262" s="143"/>
      <c r="DY262" s="143"/>
      <c r="DZ262" s="143"/>
      <c r="EA262" s="143"/>
      <c r="EB262" s="143"/>
      <c r="EC262" s="143"/>
      <c r="ED262" s="143"/>
      <c r="EE262" s="143"/>
      <c r="EF262" s="143"/>
      <c r="EG262" s="143"/>
      <c r="EH262" s="143"/>
      <c r="EI262" s="143"/>
      <c r="EJ262" s="143"/>
      <c r="EK262" s="143"/>
      <c r="EL262" s="143"/>
      <c r="EM262" s="143"/>
      <c r="EN262" s="143"/>
      <c r="EO262" s="143"/>
      <c r="EP262" s="143"/>
      <c r="EQ262" s="143"/>
      <c r="ER262" s="143"/>
      <c r="ES262" s="143"/>
      <c r="ET262" s="143"/>
      <c r="EU262" s="143"/>
      <c r="EV262" s="143"/>
      <c r="EW262" s="143"/>
      <c r="EX262" s="143"/>
      <c r="EY262" s="143"/>
      <c r="EZ262" s="143"/>
      <c r="FA262" s="143"/>
      <c r="FB262" s="143"/>
      <c r="FC262" s="143"/>
      <c r="FD262" s="143"/>
      <c r="FE262" s="143"/>
      <c r="FF262" s="143"/>
      <c r="FG262" s="143"/>
      <c r="FH262" s="143"/>
      <c r="FI262" s="143"/>
      <c r="FJ262" s="143"/>
      <c r="FK262" s="143"/>
      <c r="FL262" s="143"/>
      <c r="FM262" s="143"/>
      <c r="FN262" s="143"/>
      <c r="FO262" s="143"/>
      <c r="FP262" s="143"/>
      <c r="FQ262" s="143"/>
      <c r="FR262" s="143"/>
      <c r="FS262" s="143"/>
      <c r="FT262" s="143"/>
      <c r="FU262" s="143"/>
      <c r="FV262" s="143"/>
      <c r="FW262" s="143"/>
      <c r="FX262" s="143"/>
      <c r="FY262" s="143"/>
      <c r="FZ262" s="143"/>
      <c r="GA262" s="143"/>
      <c r="GB262" s="143"/>
      <c r="GC262" s="143"/>
      <c r="GD262" s="143"/>
      <c r="GE262" s="143"/>
      <c r="GF262" s="143"/>
      <c r="GG262" s="143"/>
      <c r="GH262" s="143"/>
      <c r="GI262" s="143"/>
      <c r="GJ262" s="143"/>
      <c r="GK262" s="143"/>
      <c r="GL262" s="143"/>
      <c r="GM262" s="143"/>
      <c r="GN262" s="143"/>
      <c r="GO262" s="143"/>
      <c r="GP262" s="143"/>
      <c r="GQ262" s="143"/>
      <c r="GR262" s="143"/>
      <c r="GS262" s="143"/>
      <c r="GT262" s="143"/>
      <c r="GU262" s="143"/>
      <c r="GV262" s="143"/>
      <c r="GW262" s="143"/>
      <c r="GX262" s="143"/>
      <c r="GY262" s="143"/>
      <c r="GZ262" s="143"/>
      <c r="HA262" s="143"/>
      <c r="HB262" s="143"/>
      <c r="HC262" s="143"/>
      <c r="HD262" s="143"/>
      <c r="HE262" s="143"/>
      <c r="HF262" s="143"/>
      <c r="HG262" s="143"/>
      <c r="HH262" s="143"/>
      <c r="HI262" s="143"/>
      <c r="HJ262" s="143"/>
      <c r="HK262" s="143"/>
      <c r="HL262" s="143"/>
      <c r="HM262" s="143"/>
      <c r="HN262" s="143"/>
      <c r="HO262" s="143"/>
      <c r="HP262" s="143"/>
      <c r="HQ262" s="143"/>
      <c r="HR262" s="143"/>
      <c r="HS262" s="143"/>
      <c r="HT262" s="143"/>
      <c r="HU262" s="143"/>
      <c r="HV262" s="143"/>
      <c r="HW262" s="143"/>
      <c r="HX262" s="143"/>
      <c r="HY262" s="143"/>
      <c r="HZ262" s="143"/>
      <c r="IA262" s="143"/>
      <c r="IB262" s="143"/>
      <c r="IC262" s="143"/>
      <c r="ID262" s="143"/>
      <c r="IE262" s="143"/>
      <c r="IF262" s="143"/>
      <c r="IG262" s="143"/>
      <c r="IH262" s="143"/>
      <c r="II262" s="143"/>
      <c r="IJ262" s="143"/>
      <c r="IK262" s="143"/>
      <c r="IL262" s="143"/>
      <c r="IM262" s="143"/>
      <c r="IN262" s="143"/>
      <c r="IO262" s="143"/>
      <c r="IP262" s="143"/>
      <c r="IQ262" s="143"/>
      <c r="IR262" s="143"/>
      <c r="IS262" s="143"/>
      <c r="IT262" s="143"/>
      <c r="IU262" s="143"/>
      <c r="IV262" s="143"/>
      <c r="IW262" s="143"/>
      <c r="IX262" s="143"/>
      <c r="IY262" s="143"/>
      <c r="IZ262" s="143"/>
      <c r="JA262" s="143"/>
      <c r="JB262" s="143"/>
      <c r="JC262" s="143"/>
      <c r="JD262" s="143"/>
      <c r="JE262" s="143"/>
      <c r="JF262" s="143"/>
      <c r="JG262" s="143"/>
      <c r="JH262" s="143"/>
      <c r="JI262" s="143"/>
    </row>
    <row r="263" spans="1:269" outlineLevel="1">
      <c r="A263" s="319" t="s">
        <v>449</v>
      </c>
      <c r="B263" s="143"/>
      <c r="C263" s="277"/>
      <c r="D263" s="277"/>
      <c r="E263" s="277"/>
      <c r="F263" s="143"/>
      <c r="G263" s="143"/>
      <c r="H263" s="278"/>
      <c r="I263" s="278"/>
      <c r="J263" s="277"/>
      <c r="K263" s="143"/>
      <c r="L263" s="143"/>
      <c r="M263" s="278"/>
      <c r="N263" s="278"/>
      <c r="O263" s="277"/>
      <c r="P263" s="278"/>
      <c r="Q263" s="278"/>
      <c r="R263" s="278"/>
      <c r="S263" s="278">
        <v>257.8</v>
      </c>
      <c r="T263" s="277"/>
      <c r="U263" s="278"/>
      <c r="V263" s="278"/>
      <c r="W263" s="278"/>
      <c r="X263" s="278">
        <v>362</v>
      </c>
      <c r="Y263" s="277"/>
      <c r="Z263" s="278"/>
      <c r="AB263" s="278"/>
      <c r="AC263" s="278"/>
      <c r="AD263" s="536"/>
      <c r="AE263" s="143"/>
      <c r="AF263" s="143"/>
      <c r="AG263" s="143"/>
      <c r="AH263" s="143"/>
      <c r="AI263" s="279"/>
      <c r="AJ263" s="143"/>
      <c r="AK263" s="143"/>
      <c r="AL263" s="143"/>
      <c r="AM263" s="143"/>
      <c r="AN263" s="279"/>
      <c r="AO263" s="143"/>
      <c r="AP263" s="143"/>
      <c r="AQ263" s="143"/>
      <c r="AR263" s="143"/>
      <c r="AS263" s="279"/>
      <c r="AT263" s="315"/>
      <c r="AU263" s="508"/>
      <c r="AV263" s="143"/>
      <c r="AW263" s="143"/>
      <c r="AX263" s="143"/>
      <c r="AY263" s="143"/>
      <c r="AZ263" s="143"/>
      <c r="BA263" s="143"/>
      <c r="BB263" s="143"/>
      <c r="BC263" s="143"/>
      <c r="BD263" s="143"/>
      <c r="BE263" s="143"/>
      <c r="BF263" s="143"/>
      <c r="BG263" s="143"/>
      <c r="BH263" s="143"/>
      <c r="BI263" s="143"/>
      <c r="BJ263" s="143"/>
      <c r="BK263" s="143"/>
      <c r="BL263" s="143"/>
      <c r="BM263" s="143"/>
      <c r="BN263" s="143"/>
      <c r="BO263" s="143"/>
      <c r="BP263" s="143"/>
      <c r="BQ263" s="143"/>
      <c r="BR263" s="143"/>
      <c r="BS263" s="143"/>
      <c r="BT263" s="143"/>
      <c r="BU263" s="143"/>
      <c r="BV263" s="143"/>
      <c r="BW263" s="143"/>
      <c r="BX263" s="143"/>
      <c r="BY263" s="143"/>
      <c r="BZ263" s="143"/>
      <c r="CA263" s="143"/>
      <c r="CB263" s="143"/>
      <c r="CC263" s="143"/>
      <c r="CD263" s="143"/>
      <c r="CE263" s="143"/>
      <c r="CF263" s="143"/>
      <c r="CG263" s="143"/>
      <c r="CH263" s="143"/>
      <c r="CI263" s="143"/>
      <c r="CJ263" s="143"/>
      <c r="CK263" s="143"/>
      <c r="CL263" s="143"/>
      <c r="CM263" s="143"/>
      <c r="CN263" s="143"/>
      <c r="CO263" s="143"/>
      <c r="CP263" s="143"/>
      <c r="CQ263" s="143"/>
      <c r="CR263" s="143"/>
      <c r="CS263" s="143"/>
      <c r="CT263" s="143"/>
      <c r="CU263" s="143"/>
      <c r="CV263" s="143"/>
      <c r="CW263" s="143"/>
      <c r="CX263" s="143"/>
      <c r="CY263" s="143"/>
      <c r="CZ263" s="143"/>
      <c r="DA263" s="143"/>
      <c r="DB263" s="143"/>
      <c r="DC263" s="143"/>
      <c r="DD263" s="143"/>
      <c r="DE263" s="143"/>
      <c r="DF263" s="143"/>
      <c r="DG263" s="143"/>
      <c r="DH263" s="143"/>
      <c r="DI263" s="143"/>
      <c r="DJ263" s="143"/>
      <c r="DK263" s="143"/>
      <c r="DL263" s="143"/>
      <c r="DM263" s="143"/>
      <c r="DN263" s="143"/>
      <c r="DO263" s="143"/>
      <c r="DP263" s="143"/>
      <c r="DQ263" s="143"/>
      <c r="DR263" s="143"/>
      <c r="DS263" s="143"/>
      <c r="DT263" s="143"/>
      <c r="DU263" s="143"/>
      <c r="DV263" s="143"/>
      <c r="DW263" s="143"/>
      <c r="DX263" s="143"/>
      <c r="DY263" s="143"/>
      <c r="DZ263" s="143"/>
      <c r="EA263" s="143"/>
      <c r="EB263" s="143"/>
      <c r="EC263" s="143"/>
      <c r="ED263" s="143"/>
      <c r="EE263" s="143"/>
      <c r="EF263" s="143"/>
      <c r="EG263" s="143"/>
      <c r="EH263" s="143"/>
      <c r="EI263" s="143"/>
      <c r="EJ263" s="143"/>
      <c r="EK263" s="143"/>
      <c r="EL263" s="143"/>
      <c r="EM263" s="143"/>
      <c r="EN263" s="143"/>
      <c r="EO263" s="143"/>
      <c r="EP263" s="143"/>
      <c r="EQ263" s="143"/>
      <c r="ER263" s="143"/>
      <c r="ES263" s="143"/>
      <c r="ET263" s="143"/>
      <c r="EU263" s="143"/>
      <c r="EV263" s="143"/>
      <c r="EW263" s="143"/>
      <c r="EX263" s="143"/>
      <c r="EY263" s="143"/>
      <c r="EZ263" s="143"/>
      <c r="FA263" s="143"/>
      <c r="FB263" s="143"/>
      <c r="FC263" s="143"/>
      <c r="FD263" s="143"/>
      <c r="FE263" s="143"/>
      <c r="FF263" s="143"/>
      <c r="FG263" s="143"/>
      <c r="FH263" s="143"/>
      <c r="FI263" s="143"/>
      <c r="FJ263" s="143"/>
      <c r="FK263" s="143"/>
      <c r="FL263" s="143"/>
      <c r="FM263" s="143"/>
      <c r="FN263" s="143"/>
      <c r="FO263" s="143"/>
      <c r="FP263" s="143"/>
      <c r="FQ263" s="143"/>
      <c r="FR263" s="143"/>
      <c r="FS263" s="143"/>
      <c r="FT263" s="143"/>
      <c r="FU263" s="143"/>
      <c r="FV263" s="143"/>
      <c r="FW263" s="143"/>
      <c r="FX263" s="143"/>
      <c r="FY263" s="143"/>
      <c r="FZ263" s="143"/>
      <c r="GA263" s="143"/>
      <c r="GB263" s="143"/>
      <c r="GC263" s="143"/>
      <c r="GD263" s="143"/>
      <c r="GE263" s="143"/>
      <c r="GF263" s="143"/>
      <c r="GG263" s="143"/>
      <c r="GH263" s="143"/>
      <c r="GI263" s="143"/>
      <c r="GJ263" s="143"/>
      <c r="GK263" s="143"/>
      <c r="GL263" s="143"/>
      <c r="GM263" s="143"/>
      <c r="GN263" s="143"/>
      <c r="GO263" s="143"/>
      <c r="GP263" s="143"/>
      <c r="GQ263" s="143"/>
      <c r="GR263" s="143"/>
      <c r="GS263" s="143"/>
      <c r="GT263" s="143"/>
      <c r="GU263" s="143"/>
      <c r="GV263" s="143"/>
      <c r="GW263" s="143"/>
      <c r="GX263" s="143"/>
      <c r="GY263" s="143"/>
      <c r="GZ263" s="143"/>
      <c r="HA263" s="143"/>
      <c r="HB263" s="143"/>
      <c r="HC263" s="143"/>
      <c r="HD263" s="143"/>
      <c r="HE263" s="143"/>
      <c r="HF263" s="143"/>
      <c r="HG263" s="143"/>
      <c r="HH263" s="143"/>
      <c r="HI263" s="143"/>
      <c r="HJ263" s="143"/>
      <c r="HK263" s="143"/>
      <c r="HL263" s="143"/>
      <c r="HM263" s="143"/>
      <c r="HN263" s="143"/>
      <c r="HO263" s="143"/>
      <c r="HP263" s="143"/>
      <c r="HQ263" s="143"/>
      <c r="HR263" s="143"/>
      <c r="HS263" s="143"/>
      <c r="HT263" s="143"/>
      <c r="HU263" s="143"/>
      <c r="HV263" s="143"/>
      <c r="HW263" s="143"/>
      <c r="HX263" s="143"/>
      <c r="HY263" s="143"/>
      <c r="HZ263" s="143"/>
      <c r="IA263" s="143"/>
      <c r="IB263" s="143"/>
      <c r="IC263" s="143"/>
      <c r="ID263" s="143"/>
      <c r="IE263" s="143"/>
      <c r="IF263" s="143"/>
      <c r="IG263" s="143"/>
      <c r="IH263" s="143"/>
      <c r="II263" s="143"/>
      <c r="IJ263" s="143"/>
      <c r="IK263" s="143"/>
      <c r="IL263" s="143"/>
      <c r="IM263" s="143"/>
      <c r="IN263" s="143"/>
      <c r="IO263" s="143"/>
      <c r="IP263" s="143"/>
      <c r="IQ263" s="143"/>
      <c r="IR263" s="143"/>
      <c r="IS263" s="143"/>
      <c r="IT263" s="143"/>
      <c r="IU263" s="143"/>
      <c r="IV263" s="143"/>
      <c r="IW263" s="143"/>
      <c r="IX263" s="143"/>
      <c r="IY263" s="143"/>
      <c r="IZ263" s="143"/>
      <c r="JA263" s="143"/>
      <c r="JB263" s="143"/>
      <c r="JC263" s="143"/>
      <c r="JD263" s="143"/>
      <c r="JE263" s="143"/>
      <c r="JF263" s="143"/>
      <c r="JG263" s="143"/>
      <c r="JH263" s="143"/>
      <c r="JI263" s="143"/>
    </row>
    <row r="264" spans="1:269" outlineLevel="1">
      <c r="A264" s="319" t="s">
        <v>450</v>
      </c>
      <c r="B264" s="143"/>
      <c r="C264" s="277"/>
      <c r="D264" s="277"/>
      <c r="E264" s="277"/>
      <c r="F264" s="143"/>
      <c r="G264" s="143"/>
      <c r="H264" s="278"/>
      <c r="I264" s="278"/>
      <c r="J264" s="277"/>
      <c r="K264" s="143"/>
      <c r="L264" s="143"/>
      <c r="M264" s="278"/>
      <c r="N264" s="278"/>
      <c r="O264" s="277"/>
      <c r="P264" s="278"/>
      <c r="Q264" s="278"/>
      <c r="R264" s="278"/>
      <c r="S264" s="554">
        <v>260</v>
      </c>
      <c r="T264" s="277"/>
      <c r="U264" s="278"/>
      <c r="V264" s="278"/>
      <c r="W264" s="278"/>
      <c r="X264" s="554">
        <v>365.8</v>
      </c>
      <c r="Y264" s="277"/>
      <c r="Z264" s="278"/>
      <c r="AA264" s="278"/>
      <c r="AB264" s="278"/>
      <c r="AC264" s="278"/>
      <c r="AD264" s="536"/>
      <c r="AE264" s="143"/>
      <c r="AF264" s="143"/>
      <c r="AG264" s="143"/>
      <c r="AH264" s="143"/>
      <c r="AI264" s="279"/>
      <c r="AJ264" s="143"/>
      <c r="AK264" s="143"/>
      <c r="AL264" s="143"/>
      <c r="AM264" s="143"/>
      <c r="AN264" s="279"/>
      <c r="AO264" s="143"/>
      <c r="AP264" s="143"/>
      <c r="AQ264" s="143"/>
      <c r="AR264" s="143"/>
      <c r="AS264" s="279"/>
      <c r="AT264" s="315"/>
      <c r="AU264" s="508"/>
      <c r="AV264" s="143"/>
      <c r="AW264" s="143"/>
      <c r="AX264" s="143"/>
      <c r="AY264" s="143"/>
      <c r="AZ264" s="143"/>
      <c r="BA264" s="143"/>
      <c r="BB264" s="143"/>
      <c r="BC264" s="143"/>
      <c r="BD264" s="143"/>
      <c r="BE264" s="143"/>
      <c r="BF264" s="143"/>
      <c r="BG264" s="143"/>
      <c r="BH264" s="143"/>
      <c r="BI264" s="143"/>
      <c r="BJ264" s="143"/>
      <c r="BK264" s="143"/>
      <c r="BL264" s="143"/>
      <c r="BM264" s="143"/>
      <c r="BN264" s="143"/>
      <c r="BO264" s="143"/>
      <c r="BP264" s="143"/>
      <c r="BQ264" s="143"/>
      <c r="BR264" s="143"/>
      <c r="BS264" s="143"/>
      <c r="BT264" s="143"/>
      <c r="BU264" s="143"/>
      <c r="BV264" s="143"/>
      <c r="BW264" s="143"/>
      <c r="BX264" s="143"/>
      <c r="BY264" s="143"/>
      <c r="BZ264" s="143"/>
      <c r="CA264" s="143"/>
      <c r="CB264" s="143"/>
      <c r="CC264" s="143"/>
      <c r="CD264" s="143"/>
      <c r="CE264" s="143"/>
      <c r="CF264" s="143"/>
      <c r="CG264" s="143"/>
      <c r="CH264" s="143"/>
      <c r="CI264" s="143"/>
      <c r="CJ264" s="143"/>
      <c r="CK264" s="143"/>
      <c r="CL264" s="143"/>
      <c r="CM264" s="143"/>
      <c r="CN264" s="143"/>
      <c r="CO264" s="143"/>
      <c r="CP264" s="143"/>
      <c r="CQ264" s="143"/>
      <c r="CR264" s="143"/>
      <c r="CS264" s="143"/>
      <c r="CT264" s="143"/>
      <c r="CU264" s="143"/>
      <c r="CV264" s="143"/>
      <c r="CW264" s="143"/>
      <c r="CX264" s="143"/>
      <c r="CY264" s="143"/>
      <c r="CZ264" s="143"/>
      <c r="DA264" s="143"/>
      <c r="DB264" s="143"/>
      <c r="DC264" s="143"/>
      <c r="DD264" s="143"/>
      <c r="DE264" s="143"/>
      <c r="DF264" s="143"/>
      <c r="DG264" s="143"/>
      <c r="DH264" s="143"/>
      <c r="DI264" s="143"/>
      <c r="DJ264" s="143"/>
      <c r="DK264" s="143"/>
      <c r="DL264" s="143"/>
      <c r="DM264" s="143"/>
      <c r="DN264" s="143"/>
      <c r="DO264" s="143"/>
      <c r="DP264" s="143"/>
      <c r="DQ264" s="143"/>
      <c r="DR264" s="143"/>
      <c r="DS264" s="143"/>
      <c r="DT264" s="143"/>
      <c r="DU264" s="143"/>
      <c r="DV264" s="143"/>
      <c r="DW264" s="143"/>
      <c r="DX264" s="143"/>
      <c r="DY264" s="143"/>
      <c r="DZ264" s="143"/>
      <c r="EA264" s="143"/>
      <c r="EB264" s="143"/>
      <c r="EC264" s="143"/>
      <c r="ED264" s="143"/>
      <c r="EE264" s="143"/>
      <c r="EF264" s="143"/>
      <c r="EG264" s="143"/>
      <c r="EH264" s="143"/>
      <c r="EI264" s="143"/>
      <c r="EJ264" s="143"/>
      <c r="EK264" s="143"/>
      <c r="EL264" s="143"/>
      <c r="EM264" s="143"/>
      <c r="EN264" s="143"/>
      <c r="EO264" s="143"/>
      <c r="EP264" s="143"/>
      <c r="EQ264" s="143"/>
      <c r="ER264" s="143"/>
      <c r="ES264" s="143"/>
      <c r="ET264" s="143"/>
      <c r="EU264" s="143"/>
      <c r="EV264" s="143"/>
      <c r="EW264" s="143"/>
      <c r="EX264" s="143"/>
      <c r="EY264" s="143"/>
      <c r="EZ264" s="143"/>
      <c r="FA264" s="143"/>
      <c r="FB264" s="143"/>
      <c r="FC264" s="143"/>
      <c r="FD264" s="143"/>
      <c r="FE264" s="143"/>
      <c r="FF264" s="143"/>
      <c r="FG264" s="143"/>
      <c r="FH264" s="143"/>
      <c r="FI264" s="143"/>
      <c r="FJ264" s="143"/>
      <c r="FK264" s="143"/>
      <c r="FL264" s="143"/>
      <c r="FM264" s="143"/>
      <c r="FN264" s="143"/>
      <c r="FO264" s="143"/>
      <c r="FP264" s="143"/>
      <c r="FQ264" s="143"/>
      <c r="FR264" s="143"/>
      <c r="FS264" s="143"/>
      <c r="FT264" s="143"/>
      <c r="FU264" s="143"/>
      <c r="FV264" s="143"/>
      <c r="FW264" s="143"/>
      <c r="FX264" s="143"/>
      <c r="FY264" s="143"/>
      <c r="FZ264" s="143"/>
      <c r="GA264" s="143"/>
      <c r="GB264" s="143"/>
      <c r="GC264" s="143"/>
      <c r="GD264" s="143"/>
      <c r="GE264" s="143"/>
      <c r="GF264" s="143"/>
      <c r="GG264" s="143"/>
      <c r="GH264" s="143"/>
      <c r="GI264" s="143"/>
      <c r="GJ264" s="143"/>
      <c r="GK264" s="143"/>
      <c r="GL264" s="143"/>
      <c r="GM264" s="143"/>
      <c r="GN264" s="143"/>
      <c r="GO264" s="143"/>
      <c r="GP264" s="143"/>
      <c r="GQ264" s="143"/>
      <c r="GR264" s="143"/>
      <c r="GS264" s="143"/>
      <c r="GT264" s="143"/>
      <c r="GU264" s="143"/>
      <c r="GV264" s="143"/>
      <c r="GW264" s="143"/>
      <c r="GX264" s="143"/>
      <c r="GY264" s="143"/>
      <c r="GZ264" s="143"/>
      <c r="HA264" s="143"/>
      <c r="HB264" s="143"/>
      <c r="HC264" s="143"/>
      <c r="HD264" s="143"/>
      <c r="HE264" s="143"/>
      <c r="HF264" s="143"/>
      <c r="HG264" s="143"/>
      <c r="HH264" s="143"/>
      <c r="HI264" s="143"/>
      <c r="HJ264" s="143"/>
      <c r="HK264" s="143"/>
      <c r="HL264" s="143"/>
      <c r="HM264" s="143"/>
      <c r="HN264" s="143"/>
      <c r="HO264" s="143"/>
      <c r="HP264" s="143"/>
      <c r="HQ264" s="143"/>
      <c r="HR264" s="143"/>
      <c r="HS264" s="143"/>
      <c r="HT264" s="143"/>
      <c r="HU264" s="143"/>
      <c r="HV264" s="143"/>
      <c r="HW264" s="143"/>
      <c r="HX264" s="143"/>
      <c r="HY264" s="143"/>
      <c r="HZ264" s="143"/>
      <c r="IA264" s="143"/>
      <c r="IB264" s="143"/>
      <c r="IC264" s="143"/>
      <c r="ID264" s="143"/>
      <c r="IE264" s="143"/>
      <c r="IF264" s="143"/>
      <c r="IG264" s="143"/>
      <c r="IH264" s="143"/>
      <c r="II264" s="143"/>
      <c r="IJ264" s="143"/>
      <c r="IK264" s="143"/>
      <c r="IL264" s="143"/>
      <c r="IM264" s="143"/>
      <c r="IN264" s="143"/>
      <c r="IO264" s="143"/>
      <c r="IP264" s="143"/>
      <c r="IQ264" s="143"/>
      <c r="IR264" s="143"/>
      <c r="IS264" s="143"/>
      <c r="IT264" s="143"/>
      <c r="IU264" s="143"/>
      <c r="IV264" s="143"/>
      <c r="IW264" s="143"/>
      <c r="IX264" s="143"/>
      <c r="IY264" s="143"/>
      <c r="IZ264" s="143"/>
      <c r="JA264" s="143"/>
      <c r="JB264" s="143"/>
      <c r="JC264" s="143"/>
      <c r="JD264" s="143"/>
      <c r="JE264" s="143"/>
      <c r="JF264" s="143"/>
      <c r="JG264" s="143"/>
      <c r="JH264" s="143"/>
      <c r="JI264" s="143"/>
    </row>
    <row r="265" spans="1:269" outlineLevel="1">
      <c r="A265" s="281"/>
      <c r="B265" s="143"/>
      <c r="C265" s="277"/>
      <c r="D265" s="277"/>
      <c r="E265" s="277"/>
      <c r="F265" s="143"/>
      <c r="G265" s="143"/>
      <c r="H265" s="278"/>
      <c r="I265" s="278"/>
      <c r="J265" s="277"/>
      <c r="K265" s="143"/>
      <c r="L265" s="143"/>
      <c r="M265" s="278"/>
      <c r="N265" s="278"/>
      <c r="O265" s="277"/>
      <c r="P265" s="278"/>
      <c r="Q265" s="278"/>
      <c r="R265" s="278"/>
      <c r="S265" s="278"/>
      <c r="T265" s="277"/>
      <c r="U265" s="278"/>
      <c r="V265" s="278"/>
      <c r="W265" s="278"/>
      <c r="X265" s="280" t="s">
        <v>456</v>
      </c>
      <c r="Y265" s="277"/>
      <c r="Z265" s="280"/>
      <c r="AA265" s="280"/>
      <c r="AB265" s="280"/>
      <c r="AC265" s="278"/>
      <c r="AD265" s="536"/>
      <c r="AE265" s="143"/>
      <c r="AF265" s="143"/>
      <c r="AG265" s="143"/>
      <c r="AH265" s="143"/>
      <c r="AI265" s="279"/>
      <c r="AJ265" s="143"/>
      <c r="AK265" s="143"/>
      <c r="AL265" s="143"/>
      <c r="AM265" s="143"/>
      <c r="AN265" s="279"/>
      <c r="AO265" s="143"/>
      <c r="AP265" s="143"/>
      <c r="AQ265" s="143"/>
      <c r="AR265" s="143"/>
      <c r="AS265" s="279"/>
      <c r="AT265" s="315"/>
      <c r="AU265" s="508"/>
      <c r="AV265" s="143"/>
      <c r="AW265" s="143"/>
      <c r="AX265" s="143"/>
      <c r="AY265" s="143"/>
      <c r="AZ265" s="143"/>
      <c r="BA265" s="143"/>
      <c r="BB265" s="143"/>
      <c r="BC265" s="143"/>
      <c r="BD265" s="143"/>
      <c r="BE265" s="143"/>
      <c r="BF265" s="143"/>
      <c r="BG265" s="143"/>
      <c r="BH265" s="143"/>
      <c r="BI265" s="143"/>
      <c r="BJ265" s="143"/>
      <c r="BK265" s="143"/>
      <c r="BL265" s="143"/>
      <c r="BM265" s="143"/>
      <c r="BN265" s="143"/>
      <c r="BO265" s="143"/>
      <c r="BP265" s="143"/>
      <c r="BQ265" s="143"/>
      <c r="BR265" s="143"/>
      <c r="BS265" s="143"/>
      <c r="BT265" s="143"/>
      <c r="BU265" s="143"/>
      <c r="BV265" s="143"/>
      <c r="BW265" s="143"/>
      <c r="BX265" s="143"/>
      <c r="BY265" s="143"/>
      <c r="BZ265" s="143"/>
      <c r="CA265" s="143"/>
      <c r="CB265" s="143"/>
      <c r="CC265" s="143"/>
      <c r="CD265" s="143"/>
      <c r="CE265" s="143"/>
      <c r="CF265" s="143"/>
      <c r="CG265" s="143"/>
      <c r="CH265" s="143"/>
      <c r="CI265" s="143"/>
      <c r="CJ265" s="143"/>
      <c r="CK265" s="143"/>
      <c r="CL265" s="143"/>
      <c r="CM265" s="143"/>
      <c r="CN265" s="143"/>
      <c r="CO265" s="143"/>
      <c r="CP265" s="143"/>
      <c r="CQ265" s="143"/>
      <c r="CR265" s="143"/>
      <c r="CS265" s="143"/>
      <c r="CT265" s="143"/>
      <c r="CU265" s="143"/>
      <c r="CV265" s="143"/>
      <c r="CW265" s="143"/>
      <c r="CX265" s="143"/>
      <c r="CY265" s="143"/>
      <c r="CZ265" s="143"/>
      <c r="DA265" s="143"/>
      <c r="DB265" s="143"/>
      <c r="DC265" s="143"/>
      <c r="DD265" s="143"/>
      <c r="DE265" s="143"/>
      <c r="DF265" s="143"/>
      <c r="DG265" s="143"/>
      <c r="DH265" s="143"/>
      <c r="DI265" s="143"/>
      <c r="DJ265" s="143"/>
      <c r="DK265" s="143"/>
      <c r="DL265" s="143"/>
      <c r="DM265" s="143"/>
      <c r="DN265" s="143"/>
      <c r="DO265" s="143"/>
      <c r="DP265" s="143"/>
      <c r="DQ265" s="143"/>
      <c r="DR265" s="143"/>
      <c r="DS265" s="143"/>
      <c r="DT265" s="143"/>
      <c r="DU265" s="143"/>
      <c r="DV265" s="143"/>
      <c r="DW265" s="143"/>
      <c r="DX265" s="143"/>
      <c r="DY265" s="143"/>
      <c r="DZ265" s="143"/>
      <c r="EA265" s="143"/>
      <c r="EB265" s="143"/>
      <c r="EC265" s="143"/>
      <c r="ED265" s="143"/>
      <c r="EE265" s="143"/>
      <c r="EF265" s="143"/>
      <c r="EG265" s="143"/>
      <c r="EH265" s="143"/>
      <c r="EI265" s="143"/>
      <c r="EJ265" s="143"/>
      <c r="EK265" s="143"/>
      <c r="EL265" s="143"/>
      <c r="EM265" s="143"/>
      <c r="EN265" s="143"/>
      <c r="EO265" s="143"/>
      <c r="EP265" s="143"/>
      <c r="EQ265" s="143"/>
      <c r="ER265" s="143"/>
      <c r="ES265" s="143"/>
      <c r="ET265" s="143"/>
      <c r="EU265" s="143"/>
      <c r="EV265" s="143"/>
      <c r="EW265" s="143"/>
      <c r="EX265" s="143"/>
      <c r="EY265" s="143"/>
      <c r="EZ265" s="143"/>
      <c r="FA265" s="143"/>
      <c r="FB265" s="143"/>
      <c r="FC265" s="143"/>
      <c r="FD265" s="143"/>
      <c r="FE265" s="143"/>
      <c r="FF265" s="143"/>
      <c r="FG265" s="143"/>
      <c r="FH265" s="143"/>
      <c r="FI265" s="143"/>
      <c r="FJ265" s="143"/>
      <c r="FK265" s="143"/>
      <c r="FL265" s="143"/>
      <c r="FM265" s="143"/>
      <c r="FN265" s="143"/>
      <c r="FO265" s="143"/>
      <c r="FP265" s="143"/>
      <c r="FQ265" s="143"/>
      <c r="FR265" s="143"/>
      <c r="FS265" s="143"/>
      <c r="FT265" s="143"/>
      <c r="FU265" s="143"/>
      <c r="FV265" s="143"/>
      <c r="FW265" s="143"/>
      <c r="FX265" s="143"/>
      <c r="FY265" s="143"/>
      <c r="FZ265" s="143"/>
      <c r="GA265" s="143"/>
      <c r="GB265" s="143"/>
      <c r="GC265" s="143"/>
      <c r="GD265" s="143"/>
      <c r="GE265" s="143"/>
      <c r="GF265" s="143"/>
      <c r="GG265" s="143"/>
      <c r="GH265" s="143"/>
      <c r="GI265" s="143"/>
      <c r="GJ265" s="143"/>
      <c r="GK265" s="143"/>
      <c r="GL265" s="143"/>
      <c r="GM265" s="143"/>
      <c r="GN265" s="143"/>
      <c r="GO265" s="143"/>
      <c r="GP265" s="143"/>
      <c r="GQ265" s="143"/>
      <c r="GR265" s="143"/>
      <c r="GS265" s="143"/>
      <c r="GT265" s="143"/>
      <c r="GU265" s="143"/>
      <c r="GV265" s="143"/>
      <c r="GW265" s="143"/>
      <c r="GX265" s="143"/>
      <c r="GY265" s="143"/>
      <c r="GZ265" s="143"/>
      <c r="HA265" s="143"/>
      <c r="HB265" s="143"/>
      <c r="HC265" s="143"/>
      <c r="HD265" s="143"/>
      <c r="HE265" s="143"/>
      <c r="HF265" s="143"/>
      <c r="HG265" s="143"/>
      <c r="HH265" s="143"/>
      <c r="HI265" s="143"/>
      <c r="HJ265" s="143"/>
      <c r="HK265" s="143"/>
      <c r="HL265" s="143"/>
      <c r="HM265" s="143"/>
      <c r="HN265" s="143"/>
      <c r="HO265" s="143"/>
      <c r="HP265" s="143"/>
      <c r="HQ265" s="143"/>
      <c r="HR265" s="143"/>
      <c r="HS265" s="143"/>
      <c r="HT265" s="143"/>
      <c r="HU265" s="143"/>
      <c r="HV265" s="143"/>
      <c r="HW265" s="143"/>
      <c r="HX265" s="143"/>
      <c r="HY265" s="143"/>
      <c r="HZ265" s="143"/>
      <c r="IA265" s="143"/>
      <c r="IB265" s="143"/>
      <c r="IC265" s="143"/>
      <c r="ID265" s="143"/>
      <c r="IE265" s="143"/>
      <c r="IF265" s="143"/>
      <c r="IG265" s="143"/>
      <c r="IH265" s="143"/>
      <c r="II265" s="143"/>
      <c r="IJ265" s="143"/>
      <c r="IK265" s="143"/>
      <c r="IL265" s="143"/>
      <c r="IM265" s="143"/>
      <c r="IN265" s="143"/>
      <c r="IO265" s="143"/>
      <c r="IP265" s="143"/>
      <c r="IQ265" s="143"/>
      <c r="IR265" s="143"/>
      <c r="IS265" s="143"/>
      <c r="IT265" s="143"/>
      <c r="IU265" s="143"/>
      <c r="IV265" s="143"/>
      <c r="IW265" s="143"/>
      <c r="IX265" s="143"/>
      <c r="IY265" s="143"/>
      <c r="IZ265" s="143"/>
      <c r="JA265" s="143"/>
      <c r="JB265" s="143"/>
      <c r="JC265" s="143"/>
      <c r="JD265" s="143"/>
      <c r="JE265" s="143"/>
      <c r="JF265" s="143"/>
      <c r="JG265" s="143"/>
      <c r="JH265" s="143"/>
      <c r="JI265" s="143"/>
    </row>
    <row r="266" spans="1:269" outlineLevel="1">
      <c r="A266" s="58" t="s">
        <v>454</v>
      </c>
      <c r="B266" s="143"/>
      <c r="C266" s="277"/>
      <c r="D266" s="277"/>
      <c r="E266" s="277"/>
      <c r="F266" s="143"/>
      <c r="G266" s="143"/>
      <c r="H266" s="278"/>
      <c r="I266" s="278"/>
      <c r="J266" s="277"/>
      <c r="K266" s="143"/>
      <c r="L266" s="143"/>
      <c r="M266" s="278"/>
      <c r="N266" s="278"/>
      <c r="O266" s="277"/>
      <c r="P266" s="278"/>
      <c r="Q266" s="555" t="s">
        <v>458</v>
      </c>
      <c r="R266" s="554" t="s">
        <v>459</v>
      </c>
      <c r="S266" s="554" t="s">
        <v>459</v>
      </c>
      <c r="T266" s="277"/>
      <c r="U266" s="555" t="s">
        <v>458</v>
      </c>
      <c r="V266" s="555" t="s">
        <v>458</v>
      </c>
      <c r="W266" s="556" t="s">
        <v>460</v>
      </c>
      <c r="X266" s="278"/>
      <c r="Y266" s="277"/>
      <c r="Z266" s="555" t="s">
        <v>458</v>
      </c>
      <c r="AA266" s="556" t="s">
        <v>460</v>
      </c>
      <c r="AB266" s="556" t="s">
        <v>460</v>
      </c>
      <c r="AC266" s="278"/>
      <c r="AD266" s="536"/>
      <c r="AE266" s="143"/>
      <c r="AF266" s="143"/>
      <c r="AG266" s="143"/>
      <c r="AH266" s="143"/>
      <c r="AI266" s="279"/>
      <c r="AJ266" s="143"/>
      <c r="AK266" s="143"/>
      <c r="AL266" s="143"/>
      <c r="AM266" s="143"/>
      <c r="AN266" s="279"/>
      <c r="AO266" s="143"/>
      <c r="AP266" s="143"/>
      <c r="AQ266" s="143"/>
      <c r="AR266" s="143"/>
      <c r="AS266" s="279"/>
      <c r="AT266" s="315"/>
      <c r="AU266" s="508"/>
      <c r="AV266" s="143"/>
      <c r="AW266" s="143"/>
      <c r="AX266" s="143"/>
      <c r="AY266" s="143"/>
      <c r="AZ266" s="143"/>
      <c r="BA266" s="143"/>
      <c r="BB266" s="143"/>
      <c r="BC266" s="143"/>
      <c r="BD266" s="143"/>
      <c r="BE266" s="143"/>
      <c r="BF266" s="143"/>
      <c r="BG266" s="143"/>
      <c r="BH266" s="143"/>
      <c r="BI266" s="143"/>
      <c r="BJ266" s="143"/>
      <c r="BK266" s="143"/>
      <c r="BL266" s="143"/>
      <c r="BM266" s="143"/>
      <c r="BN266" s="143"/>
      <c r="BO266" s="143"/>
      <c r="BP266" s="143"/>
      <c r="BQ266" s="143"/>
      <c r="BR266" s="143"/>
      <c r="BS266" s="143"/>
      <c r="BT266" s="143"/>
      <c r="BU266" s="143"/>
      <c r="BV266" s="143"/>
      <c r="BW266" s="143"/>
      <c r="BX266" s="143"/>
      <c r="BY266" s="143"/>
      <c r="BZ266" s="143"/>
      <c r="CA266" s="143"/>
      <c r="CB266" s="143"/>
      <c r="CC266" s="143"/>
      <c r="CD266" s="143"/>
      <c r="CE266" s="143"/>
      <c r="CF266" s="143"/>
      <c r="CG266" s="143"/>
      <c r="CH266" s="143"/>
      <c r="CI266" s="143"/>
      <c r="CJ266" s="143"/>
      <c r="CK266" s="143"/>
      <c r="CL266" s="143"/>
      <c r="CM266" s="143"/>
      <c r="CN266" s="143"/>
      <c r="CO266" s="143"/>
      <c r="CP266" s="143"/>
      <c r="CQ266" s="143"/>
      <c r="CR266" s="143"/>
      <c r="CS266" s="143"/>
      <c r="CT266" s="143"/>
      <c r="CU266" s="143"/>
      <c r="CV266" s="143"/>
      <c r="CW266" s="143"/>
      <c r="CX266" s="143"/>
      <c r="CY266" s="143"/>
      <c r="CZ266" s="143"/>
      <c r="DA266" s="143"/>
      <c r="DB266" s="143"/>
      <c r="DC266" s="143"/>
      <c r="DD266" s="143"/>
      <c r="DE266" s="143"/>
      <c r="DF266" s="143"/>
      <c r="DG266" s="143"/>
      <c r="DH266" s="143"/>
      <c r="DI266" s="143"/>
      <c r="DJ266" s="143"/>
      <c r="DK266" s="143"/>
      <c r="DL266" s="143"/>
      <c r="DM266" s="143"/>
      <c r="DN266" s="143"/>
      <c r="DO266" s="143"/>
      <c r="DP266" s="143"/>
      <c r="DQ266" s="143"/>
      <c r="DR266" s="143"/>
      <c r="DS266" s="143"/>
      <c r="DT266" s="143"/>
      <c r="DU266" s="143"/>
      <c r="DV266" s="143"/>
      <c r="DW266" s="143"/>
      <c r="DX266" s="143"/>
      <c r="DY266" s="143"/>
      <c r="DZ266" s="143"/>
      <c r="EA266" s="143"/>
      <c r="EB266" s="143"/>
      <c r="EC266" s="143"/>
      <c r="ED266" s="143"/>
      <c r="EE266" s="143"/>
      <c r="EF266" s="143"/>
      <c r="EG266" s="143"/>
      <c r="EH266" s="143"/>
      <c r="EI266" s="143"/>
      <c r="EJ266" s="143"/>
      <c r="EK266" s="143"/>
      <c r="EL266" s="143"/>
      <c r="EM266" s="143"/>
      <c r="EN266" s="143"/>
      <c r="EO266" s="143"/>
      <c r="EP266" s="143"/>
      <c r="EQ266" s="143"/>
      <c r="ER266" s="143"/>
      <c r="ES266" s="143"/>
      <c r="ET266" s="143"/>
      <c r="EU266" s="143"/>
      <c r="EV266" s="143"/>
      <c r="EW266" s="143"/>
      <c r="EX266" s="143"/>
      <c r="EY266" s="143"/>
      <c r="EZ266" s="143"/>
      <c r="FA266" s="143"/>
      <c r="FB266" s="143"/>
      <c r="FC266" s="143"/>
      <c r="FD266" s="143"/>
      <c r="FE266" s="143"/>
      <c r="FF266" s="143"/>
      <c r="FG266" s="143"/>
      <c r="FH266" s="143"/>
      <c r="FI266" s="143"/>
      <c r="FJ266" s="143"/>
      <c r="FK266" s="143"/>
      <c r="FL266" s="143"/>
      <c r="FM266" s="143"/>
      <c r="FN266" s="143"/>
      <c r="FO266" s="143"/>
      <c r="FP266" s="143"/>
      <c r="FQ266" s="143"/>
      <c r="FR266" s="143"/>
      <c r="FS266" s="143"/>
      <c r="FT266" s="143"/>
      <c r="FU266" s="143"/>
      <c r="FV266" s="143"/>
      <c r="FW266" s="143"/>
      <c r="FX266" s="143"/>
      <c r="FY266" s="143"/>
      <c r="FZ266" s="143"/>
      <c r="GA266" s="143"/>
      <c r="GB266" s="143"/>
      <c r="GC266" s="143"/>
      <c r="GD266" s="143"/>
      <c r="GE266" s="143"/>
      <c r="GF266" s="143"/>
      <c r="GG266" s="143"/>
      <c r="GH266" s="143"/>
      <c r="GI266" s="143"/>
      <c r="GJ266" s="143"/>
      <c r="GK266" s="143"/>
      <c r="GL266" s="143"/>
      <c r="GM266" s="143"/>
      <c r="GN266" s="143"/>
      <c r="GO266" s="143"/>
      <c r="GP266" s="143"/>
      <c r="GQ266" s="143"/>
      <c r="GR266" s="143"/>
      <c r="GS266" s="143"/>
      <c r="GT266" s="143"/>
      <c r="GU266" s="143"/>
      <c r="GV266" s="143"/>
      <c r="GW266" s="143"/>
      <c r="GX266" s="143"/>
      <c r="GY266" s="143"/>
      <c r="GZ266" s="143"/>
      <c r="HA266" s="143"/>
      <c r="HB266" s="143"/>
      <c r="HC266" s="143"/>
      <c r="HD266" s="143"/>
      <c r="HE266" s="143"/>
      <c r="HF266" s="143"/>
      <c r="HG266" s="143"/>
      <c r="HH266" s="143"/>
      <c r="HI266" s="143"/>
      <c r="HJ266" s="143"/>
      <c r="HK266" s="143"/>
      <c r="HL266" s="143"/>
      <c r="HM266" s="143"/>
      <c r="HN266" s="143"/>
      <c r="HO266" s="143"/>
      <c r="HP266" s="143"/>
      <c r="HQ266" s="143"/>
      <c r="HR266" s="143"/>
      <c r="HS266" s="143"/>
      <c r="HT266" s="143"/>
      <c r="HU266" s="143"/>
      <c r="HV266" s="143"/>
      <c r="HW266" s="143"/>
      <c r="HX266" s="143"/>
      <c r="HY266" s="143"/>
      <c r="HZ266" s="143"/>
      <c r="IA266" s="143"/>
      <c r="IB266" s="143"/>
      <c r="IC266" s="143"/>
      <c r="ID266" s="143"/>
      <c r="IE266" s="143"/>
      <c r="IF266" s="143"/>
      <c r="IG266" s="143"/>
      <c r="IH266" s="143"/>
      <c r="II266" s="143"/>
      <c r="IJ266" s="143"/>
      <c r="IK266" s="143"/>
      <c r="IL266" s="143"/>
      <c r="IM266" s="143"/>
      <c r="IN266" s="143"/>
      <c r="IO266" s="143"/>
      <c r="IP266" s="143"/>
      <c r="IQ266" s="143"/>
      <c r="IR266" s="143"/>
      <c r="IS266" s="143"/>
      <c r="IT266" s="143"/>
      <c r="IU266" s="143"/>
      <c r="IV266" s="143"/>
      <c r="IW266" s="143"/>
      <c r="IX266" s="143"/>
      <c r="IY266" s="143"/>
      <c r="IZ266" s="143"/>
      <c r="JA266" s="143"/>
      <c r="JB266" s="143"/>
      <c r="JC266" s="143"/>
      <c r="JD266" s="143"/>
      <c r="JE266" s="143"/>
      <c r="JF266" s="143"/>
      <c r="JG266" s="143"/>
      <c r="JH266" s="143"/>
      <c r="JI266" s="143"/>
    </row>
    <row r="267" spans="1:269" outlineLevel="1">
      <c r="A267" s="319" t="s">
        <v>452</v>
      </c>
      <c r="B267" s="143"/>
      <c r="C267" s="277"/>
      <c r="D267" s="277"/>
      <c r="E267" s="277"/>
      <c r="F267" s="143"/>
      <c r="G267" s="143"/>
      <c r="H267" s="278"/>
      <c r="I267" s="278"/>
      <c r="J267" s="277"/>
      <c r="K267" s="143"/>
      <c r="L267" s="143"/>
      <c r="M267" s="278"/>
      <c r="N267" s="278"/>
      <c r="O267" s="277"/>
      <c r="P267" s="278">
        <v>25</v>
      </c>
      <c r="Q267" s="278">
        <v>25</v>
      </c>
      <c r="R267" s="278">
        <v>30</v>
      </c>
      <c r="S267" s="278">
        <v>50</v>
      </c>
      <c r="T267" s="277"/>
      <c r="U267" s="278">
        <v>50</v>
      </c>
      <c r="V267" s="278">
        <v>50</v>
      </c>
      <c r="W267" s="278">
        <v>45</v>
      </c>
      <c r="X267" s="413">
        <v>0.18</v>
      </c>
      <c r="Y267" s="277"/>
      <c r="Z267" s="413">
        <v>0.18</v>
      </c>
      <c r="AA267" s="413">
        <v>0.18</v>
      </c>
      <c r="AB267" s="413">
        <v>0.05</v>
      </c>
      <c r="AC267" s="278"/>
      <c r="AD267" s="536"/>
      <c r="AE267" s="143"/>
      <c r="AF267" s="143"/>
      <c r="AG267" s="143"/>
      <c r="AH267" s="143"/>
      <c r="AI267" s="279"/>
      <c r="AJ267" s="143"/>
      <c r="AK267" s="143"/>
      <c r="AL267" s="143"/>
      <c r="AM267" s="143"/>
      <c r="AN267" s="279"/>
      <c r="AO267" s="143"/>
      <c r="AP267" s="143"/>
      <c r="AQ267" s="143"/>
      <c r="AR267" s="143"/>
      <c r="AS267" s="279"/>
      <c r="AT267" s="315"/>
      <c r="AU267" s="508"/>
      <c r="AV267" s="143"/>
      <c r="AW267" s="143"/>
      <c r="AX267" s="143"/>
      <c r="AY267" s="143"/>
      <c r="AZ267" s="143"/>
      <c r="BA267" s="143"/>
      <c r="BB267" s="143"/>
      <c r="BC267" s="143"/>
      <c r="BD267" s="143"/>
      <c r="BE267" s="143"/>
      <c r="BF267" s="143"/>
      <c r="BG267" s="143"/>
      <c r="BH267" s="143"/>
      <c r="BI267" s="143"/>
      <c r="BJ267" s="143"/>
      <c r="BK267" s="143"/>
      <c r="BL267" s="143"/>
      <c r="BM267" s="143"/>
      <c r="BN267" s="143"/>
      <c r="BO267" s="143"/>
      <c r="BP267" s="143"/>
      <c r="BQ267" s="143"/>
      <c r="BR267" s="143"/>
      <c r="BS267" s="143"/>
      <c r="BT267" s="143"/>
      <c r="BU267" s="143"/>
      <c r="BV267" s="143"/>
      <c r="BW267" s="143"/>
      <c r="BX267" s="143"/>
      <c r="BY267" s="143"/>
      <c r="BZ267" s="143"/>
      <c r="CA267" s="143"/>
      <c r="CB267" s="143"/>
      <c r="CC267" s="143"/>
      <c r="CD267" s="143"/>
      <c r="CE267" s="143"/>
      <c r="CF267" s="143"/>
      <c r="CG267" s="143"/>
      <c r="CH267" s="143"/>
      <c r="CI267" s="143"/>
      <c r="CJ267" s="143"/>
      <c r="CK267" s="143"/>
      <c r="CL267" s="143"/>
      <c r="CM267" s="143"/>
      <c r="CN267" s="143"/>
      <c r="CO267" s="143"/>
      <c r="CP267" s="143"/>
      <c r="CQ267" s="143"/>
      <c r="CR267" s="143"/>
      <c r="CS267" s="143"/>
      <c r="CT267" s="143"/>
      <c r="CU267" s="143"/>
      <c r="CV267" s="143"/>
      <c r="CW267" s="143"/>
      <c r="CX267" s="143"/>
      <c r="CY267" s="143"/>
      <c r="CZ267" s="143"/>
      <c r="DA267" s="143"/>
      <c r="DB267" s="143"/>
      <c r="DC267" s="143"/>
      <c r="DD267" s="143"/>
      <c r="DE267" s="143"/>
      <c r="DF267" s="143"/>
      <c r="DG267" s="143"/>
      <c r="DH267" s="143"/>
      <c r="DI267" s="143"/>
      <c r="DJ267" s="143"/>
      <c r="DK267" s="143"/>
      <c r="DL267" s="143"/>
      <c r="DM267" s="143"/>
      <c r="DN267" s="143"/>
      <c r="DO267" s="143"/>
      <c r="DP267" s="143"/>
      <c r="DQ267" s="143"/>
      <c r="DR267" s="143"/>
      <c r="DS267" s="143"/>
      <c r="DT267" s="143"/>
      <c r="DU267" s="143"/>
      <c r="DV267" s="143"/>
      <c r="DW267" s="143"/>
      <c r="DX267" s="143"/>
      <c r="DY267" s="143"/>
      <c r="DZ267" s="143"/>
      <c r="EA267" s="143"/>
      <c r="EB267" s="143"/>
      <c r="EC267" s="143"/>
      <c r="ED267" s="143"/>
      <c r="EE267" s="143"/>
      <c r="EF267" s="143"/>
      <c r="EG267" s="143"/>
      <c r="EH267" s="143"/>
      <c r="EI267" s="143"/>
      <c r="EJ267" s="143"/>
      <c r="EK267" s="143"/>
      <c r="EL267" s="143"/>
      <c r="EM267" s="143"/>
      <c r="EN267" s="143"/>
      <c r="EO267" s="143"/>
      <c r="EP267" s="143"/>
      <c r="EQ267" s="143"/>
      <c r="ER267" s="143"/>
      <c r="ES267" s="143"/>
      <c r="ET267" s="143"/>
      <c r="EU267" s="143"/>
      <c r="EV267" s="143"/>
      <c r="EW267" s="143"/>
      <c r="EX267" s="143"/>
      <c r="EY267" s="143"/>
      <c r="EZ267" s="143"/>
      <c r="FA267" s="143"/>
      <c r="FB267" s="143"/>
      <c r="FC267" s="143"/>
      <c r="FD267" s="143"/>
      <c r="FE267" s="143"/>
      <c r="FF267" s="143"/>
      <c r="FG267" s="143"/>
      <c r="FH267" s="143"/>
      <c r="FI267" s="143"/>
      <c r="FJ267" s="143"/>
      <c r="FK267" s="143"/>
      <c r="FL267" s="143"/>
      <c r="FM267" s="143"/>
      <c r="FN267" s="143"/>
      <c r="FO267" s="143"/>
      <c r="FP267" s="143"/>
      <c r="FQ267" s="143"/>
      <c r="FR267" s="143"/>
      <c r="FS267" s="143"/>
      <c r="FT267" s="143"/>
      <c r="FU267" s="143"/>
      <c r="FV267" s="143"/>
      <c r="FW267" s="143"/>
      <c r="FX267" s="143"/>
      <c r="FY267" s="143"/>
      <c r="FZ267" s="143"/>
      <c r="GA267" s="143"/>
      <c r="GB267" s="143"/>
      <c r="GC267" s="143"/>
      <c r="GD267" s="143"/>
      <c r="GE267" s="143"/>
      <c r="GF267" s="143"/>
      <c r="GG267" s="143"/>
      <c r="GH267" s="143"/>
      <c r="GI267" s="143"/>
      <c r="GJ267" s="143"/>
      <c r="GK267" s="143"/>
      <c r="GL267" s="143"/>
      <c r="GM267" s="143"/>
      <c r="GN267" s="143"/>
      <c r="GO267" s="143"/>
      <c r="GP267" s="143"/>
      <c r="GQ267" s="143"/>
      <c r="GR267" s="143"/>
      <c r="GS267" s="143"/>
      <c r="GT267" s="143"/>
      <c r="GU267" s="143"/>
      <c r="GV267" s="143"/>
      <c r="GW267" s="143"/>
      <c r="GX267" s="143"/>
      <c r="GY267" s="143"/>
      <c r="GZ267" s="143"/>
      <c r="HA267" s="143"/>
      <c r="HB267" s="143"/>
      <c r="HC267" s="143"/>
      <c r="HD267" s="143"/>
      <c r="HE267" s="143"/>
      <c r="HF267" s="143"/>
      <c r="HG267" s="143"/>
      <c r="HH267" s="143"/>
      <c r="HI267" s="143"/>
      <c r="HJ267" s="143"/>
      <c r="HK267" s="143"/>
      <c r="HL267" s="143"/>
      <c r="HM267" s="143"/>
      <c r="HN267" s="143"/>
      <c r="HO267" s="143"/>
      <c r="HP267" s="143"/>
      <c r="HQ267" s="143"/>
      <c r="HR267" s="143"/>
      <c r="HS267" s="143"/>
      <c r="HT267" s="143"/>
      <c r="HU267" s="143"/>
      <c r="HV267" s="143"/>
      <c r="HW267" s="143"/>
      <c r="HX267" s="143"/>
      <c r="HY267" s="143"/>
      <c r="HZ267" s="143"/>
      <c r="IA267" s="143"/>
      <c r="IB267" s="143"/>
      <c r="IC267" s="143"/>
      <c r="ID267" s="143"/>
      <c r="IE267" s="143"/>
      <c r="IF267" s="143"/>
      <c r="IG267" s="143"/>
      <c r="IH267" s="143"/>
      <c r="II267" s="143"/>
      <c r="IJ267" s="143"/>
      <c r="IK267" s="143"/>
      <c r="IL267" s="143"/>
      <c r="IM267" s="143"/>
      <c r="IN267" s="143"/>
      <c r="IO267" s="143"/>
      <c r="IP267" s="143"/>
      <c r="IQ267" s="143"/>
      <c r="IR267" s="143"/>
      <c r="IS267" s="143"/>
      <c r="IT267" s="143"/>
      <c r="IU267" s="143"/>
      <c r="IV267" s="143"/>
      <c r="IW267" s="143"/>
      <c r="IX267" s="143"/>
      <c r="IY267" s="143"/>
      <c r="IZ267" s="143"/>
      <c r="JA267" s="143"/>
      <c r="JB267" s="143"/>
      <c r="JC267" s="143"/>
      <c r="JD267" s="143"/>
      <c r="JE267" s="143"/>
      <c r="JF267" s="143"/>
      <c r="JG267" s="143"/>
      <c r="JH267" s="143"/>
      <c r="JI267" s="143"/>
    </row>
    <row r="268" spans="1:269" outlineLevel="1">
      <c r="A268" s="319" t="s">
        <v>453</v>
      </c>
      <c r="B268" s="143"/>
      <c r="C268" s="277"/>
      <c r="D268" s="277"/>
      <c r="E268" s="277"/>
      <c r="F268" s="143"/>
      <c r="G268" s="143"/>
      <c r="H268" s="278"/>
      <c r="I268" s="278"/>
      <c r="J268" s="277"/>
      <c r="K268" s="143"/>
      <c r="L268" s="143"/>
      <c r="M268" s="278"/>
      <c r="N268" s="278"/>
      <c r="O268" s="277"/>
      <c r="P268" s="278">
        <v>25</v>
      </c>
      <c r="Q268" s="278">
        <v>25</v>
      </c>
      <c r="R268" s="278">
        <v>30</v>
      </c>
      <c r="S268" s="278">
        <v>50</v>
      </c>
      <c r="T268" s="277"/>
      <c r="U268" s="278">
        <v>50</v>
      </c>
      <c r="V268" s="278">
        <v>50</v>
      </c>
      <c r="W268" s="278">
        <v>50</v>
      </c>
      <c r="X268" s="413">
        <v>0.2</v>
      </c>
      <c r="Y268" s="277"/>
      <c r="Z268" s="413">
        <v>0.2</v>
      </c>
      <c r="AA268" s="413">
        <v>0.19</v>
      </c>
      <c r="AB268" s="413">
        <v>0.06</v>
      </c>
      <c r="AC268" s="278"/>
      <c r="AD268" s="536"/>
      <c r="AE268" s="143"/>
      <c r="AF268" s="143"/>
      <c r="AG268" s="143"/>
      <c r="AH268" s="143"/>
      <c r="AI268" s="279"/>
      <c r="AJ268" s="143"/>
      <c r="AK268" s="143"/>
      <c r="AL268" s="143"/>
      <c r="AM268" s="143"/>
      <c r="AN268" s="279"/>
      <c r="AO268" s="143"/>
      <c r="AP268" s="143"/>
      <c r="AQ268" s="143"/>
      <c r="AR268" s="143"/>
      <c r="AS268" s="279"/>
      <c r="AT268" s="315"/>
      <c r="AU268" s="508"/>
      <c r="AV268" s="143"/>
      <c r="AW268" s="143"/>
      <c r="AX268" s="143"/>
      <c r="AY268" s="143"/>
      <c r="AZ268" s="143"/>
      <c r="BA268" s="143"/>
      <c r="BB268" s="143"/>
      <c r="BC268" s="143"/>
      <c r="BD268" s="143"/>
      <c r="BE268" s="143"/>
      <c r="BF268" s="143"/>
      <c r="BG268" s="143"/>
      <c r="BH268" s="143"/>
      <c r="BI268" s="143"/>
      <c r="BJ268" s="143"/>
      <c r="BK268" s="143"/>
      <c r="BL268" s="143"/>
      <c r="BM268" s="143"/>
      <c r="BN268" s="143"/>
      <c r="BO268" s="143"/>
      <c r="BP268" s="143"/>
      <c r="BQ268" s="143"/>
      <c r="BR268" s="143"/>
      <c r="BS268" s="143"/>
      <c r="BT268" s="143"/>
      <c r="BU268" s="143"/>
      <c r="BV268" s="143"/>
      <c r="BW268" s="143"/>
      <c r="BX268" s="143"/>
      <c r="BY268" s="143"/>
      <c r="BZ268" s="143"/>
      <c r="CA268" s="143"/>
      <c r="CB268" s="143"/>
      <c r="CC268" s="143"/>
      <c r="CD268" s="143"/>
      <c r="CE268" s="143"/>
      <c r="CF268" s="143"/>
      <c r="CG268" s="143"/>
      <c r="CH268" s="143"/>
      <c r="CI268" s="143"/>
      <c r="CJ268" s="143"/>
      <c r="CK268" s="143"/>
      <c r="CL268" s="143"/>
      <c r="CM268" s="143"/>
      <c r="CN268" s="143"/>
      <c r="CO268" s="143"/>
      <c r="CP268" s="143"/>
      <c r="CQ268" s="143"/>
      <c r="CR268" s="143"/>
      <c r="CS268" s="143"/>
      <c r="CT268" s="143"/>
      <c r="CU268" s="143"/>
      <c r="CV268" s="143"/>
      <c r="CW268" s="143"/>
      <c r="CX268" s="143"/>
      <c r="CY268" s="143"/>
      <c r="CZ268" s="143"/>
      <c r="DA268" s="143"/>
      <c r="DB268" s="143"/>
      <c r="DC268" s="143"/>
      <c r="DD268" s="143"/>
      <c r="DE268" s="143"/>
      <c r="DF268" s="143"/>
      <c r="DG268" s="143"/>
      <c r="DH268" s="143"/>
      <c r="DI268" s="143"/>
      <c r="DJ268" s="143"/>
      <c r="DK268" s="143"/>
      <c r="DL268" s="143"/>
      <c r="DM268" s="143"/>
      <c r="DN268" s="143"/>
      <c r="DO268" s="143"/>
      <c r="DP268" s="143"/>
      <c r="DQ268" s="143"/>
      <c r="DR268" s="143"/>
      <c r="DS268" s="143"/>
      <c r="DT268" s="143"/>
      <c r="DU268" s="143"/>
      <c r="DV268" s="143"/>
      <c r="DW268" s="143"/>
      <c r="DX268" s="143"/>
      <c r="DY268" s="143"/>
      <c r="DZ268" s="143"/>
      <c r="EA268" s="143"/>
      <c r="EB268" s="143"/>
      <c r="EC268" s="143"/>
      <c r="ED268" s="143"/>
      <c r="EE268" s="143"/>
      <c r="EF268" s="143"/>
      <c r="EG268" s="143"/>
      <c r="EH268" s="143"/>
      <c r="EI268" s="143"/>
      <c r="EJ268" s="143"/>
      <c r="EK268" s="143"/>
      <c r="EL268" s="143"/>
      <c r="EM268" s="143"/>
      <c r="EN268" s="143"/>
      <c r="EO268" s="143"/>
      <c r="EP268" s="143"/>
      <c r="EQ268" s="143"/>
      <c r="ER268" s="143"/>
      <c r="ES268" s="143"/>
      <c r="ET268" s="143"/>
      <c r="EU268" s="143"/>
      <c r="EV268" s="143"/>
      <c r="EW268" s="143"/>
      <c r="EX268" s="143"/>
      <c r="EY268" s="143"/>
      <c r="EZ268" s="143"/>
      <c r="FA268" s="143"/>
      <c r="FB268" s="143"/>
      <c r="FC268" s="143"/>
      <c r="FD268" s="143"/>
      <c r="FE268" s="143"/>
      <c r="FF268" s="143"/>
      <c r="FG268" s="143"/>
      <c r="FH268" s="143"/>
      <c r="FI268" s="143"/>
      <c r="FJ268" s="143"/>
      <c r="FK268" s="143"/>
      <c r="FL268" s="143"/>
      <c r="FM268" s="143"/>
      <c r="FN268" s="143"/>
      <c r="FO268" s="143"/>
      <c r="FP268" s="143"/>
      <c r="FQ268" s="143"/>
      <c r="FR268" s="143"/>
      <c r="FS268" s="143"/>
      <c r="FT268" s="143"/>
      <c r="FU268" s="143"/>
      <c r="FV268" s="143"/>
      <c r="FW268" s="143"/>
      <c r="FX268" s="143"/>
      <c r="FY268" s="143"/>
      <c r="FZ268" s="143"/>
      <c r="GA268" s="143"/>
      <c r="GB268" s="143"/>
      <c r="GC268" s="143"/>
      <c r="GD268" s="143"/>
      <c r="GE268" s="143"/>
      <c r="GF268" s="143"/>
      <c r="GG268" s="143"/>
      <c r="GH268" s="143"/>
      <c r="GI268" s="143"/>
      <c r="GJ268" s="143"/>
      <c r="GK268" s="143"/>
      <c r="GL268" s="143"/>
      <c r="GM268" s="143"/>
      <c r="GN268" s="143"/>
      <c r="GO268" s="143"/>
      <c r="GP268" s="143"/>
      <c r="GQ268" s="143"/>
      <c r="GR268" s="143"/>
      <c r="GS268" s="143"/>
      <c r="GT268" s="143"/>
      <c r="GU268" s="143"/>
      <c r="GV268" s="143"/>
      <c r="GW268" s="143"/>
      <c r="GX268" s="143"/>
      <c r="GY268" s="143"/>
      <c r="GZ268" s="143"/>
      <c r="HA268" s="143"/>
      <c r="HB268" s="143"/>
      <c r="HC268" s="143"/>
      <c r="HD268" s="143"/>
      <c r="HE268" s="143"/>
      <c r="HF268" s="143"/>
      <c r="HG268" s="143"/>
      <c r="HH268" s="143"/>
      <c r="HI268" s="143"/>
      <c r="HJ268" s="143"/>
      <c r="HK268" s="143"/>
      <c r="HL268" s="143"/>
      <c r="HM268" s="143"/>
      <c r="HN268" s="143"/>
      <c r="HO268" s="143"/>
      <c r="HP268" s="143"/>
      <c r="HQ268" s="143"/>
      <c r="HR268" s="143"/>
      <c r="HS268" s="143"/>
      <c r="HT268" s="143"/>
      <c r="HU268" s="143"/>
      <c r="HV268" s="143"/>
      <c r="HW268" s="143"/>
      <c r="HX268" s="143"/>
      <c r="HY268" s="143"/>
      <c r="HZ268" s="143"/>
      <c r="IA268" s="143"/>
      <c r="IB268" s="143"/>
      <c r="IC268" s="143"/>
      <c r="ID268" s="143"/>
      <c r="IE268" s="143"/>
      <c r="IF268" s="143"/>
      <c r="IG268" s="143"/>
      <c r="IH268" s="143"/>
      <c r="II268" s="143"/>
      <c r="IJ268" s="143"/>
      <c r="IK268" s="143"/>
      <c r="IL268" s="143"/>
      <c r="IM268" s="143"/>
      <c r="IN268" s="143"/>
      <c r="IO268" s="143"/>
      <c r="IP268" s="143"/>
      <c r="IQ268" s="143"/>
      <c r="IR268" s="143"/>
      <c r="IS268" s="143"/>
      <c r="IT268" s="143"/>
      <c r="IU268" s="143"/>
      <c r="IV268" s="143"/>
      <c r="IW268" s="143"/>
      <c r="IX268" s="143"/>
      <c r="IY268" s="143"/>
      <c r="IZ268" s="143"/>
      <c r="JA268" s="143"/>
      <c r="JB268" s="143"/>
      <c r="JC268" s="143"/>
      <c r="JD268" s="143"/>
      <c r="JE268" s="143"/>
      <c r="JF268" s="143"/>
      <c r="JG268" s="143"/>
      <c r="JH268" s="143"/>
      <c r="JI268" s="143"/>
    </row>
    <row r="269" spans="1:269" outlineLevel="1">
      <c r="A269" s="319" t="s">
        <v>449</v>
      </c>
      <c r="B269" s="143"/>
      <c r="C269" s="277"/>
      <c r="D269" s="277"/>
      <c r="E269" s="277"/>
      <c r="F269" s="278"/>
      <c r="G269" s="278"/>
      <c r="H269" s="278"/>
      <c r="I269" s="278"/>
      <c r="J269" s="277"/>
      <c r="K269" s="278"/>
      <c r="L269" s="278"/>
      <c r="M269" s="278"/>
      <c r="N269" s="278"/>
      <c r="O269" s="277"/>
      <c r="P269" s="278"/>
      <c r="Q269" s="278"/>
      <c r="R269" s="278"/>
      <c r="S269" s="278">
        <v>30.2</v>
      </c>
      <c r="T269" s="277"/>
      <c r="U269" s="278"/>
      <c r="V269" s="278"/>
      <c r="W269" s="278"/>
      <c r="X269" s="278">
        <v>47.9</v>
      </c>
      <c r="Y269" s="277"/>
      <c r="Z269" s="278"/>
      <c r="AA269" s="278"/>
      <c r="AB269" s="278"/>
      <c r="AC269" s="278"/>
      <c r="AD269" s="536"/>
      <c r="AE269" s="143"/>
      <c r="AF269" s="143"/>
      <c r="AG269" s="143"/>
      <c r="AH269" s="143"/>
      <c r="AI269" s="279"/>
      <c r="AJ269" s="143"/>
      <c r="AK269" s="143"/>
      <c r="AL269" s="143"/>
      <c r="AM269" s="143"/>
      <c r="AN269" s="279"/>
      <c r="AO269" s="143"/>
      <c r="AP269" s="143"/>
      <c r="AQ269" s="143"/>
      <c r="AR269" s="143"/>
      <c r="AS269" s="279"/>
      <c r="AT269" s="315"/>
      <c r="AU269" s="508"/>
      <c r="AV269" s="143"/>
      <c r="AW269" s="143"/>
      <c r="AX269" s="143"/>
      <c r="AY269" s="143"/>
      <c r="AZ269" s="143"/>
      <c r="BA269" s="143"/>
      <c r="BB269" s="143"/>
      <c r="BC269" s="143"/>
      <c r="BD269" s="143"/>
      <c r="BE269" s="143"/>
      <c r="BF269" s="143"/>
      <c r="BG269" s="143"/>
      <c r="BH269" s="143"/>
      <c r="BI269" s="143"/>
      <c r="BJ269" s="143"/>
      <c r="BK269" s="143"/>
      <c r="BL269" s="143"/>
      <c r="BM269" s="143"/>
      <c r="BN269" s="143"/>
      <c r="BO269" s="143"/>
      <c r="BP269" s="143"/>
      <c r="BQ269" s="143"/>
      <c r="BR269" s="143"/>
      <c r="BS269" s="143"/>
      <c r="BT269" s="143"/>
      <c r="BU269" s="143"/>
      <c r="BV269" s="143"/>
      <c r="BW269" s="143"/>
      <c r="BX269" s="143"/>
      <c r="BY269" s="143"/>
      <c r="BZ269" s="143"/>
      <c r="CA269" s="143"/>
      <c r="CB269" s="143"/>
      <c r="CC269" s="143"/>
      <c r="CD269" s="143"/>
      <c r="CE269" s="143"/>
      <c r="CF269" s="143"/>
      <c r="CG269" s="143"/>
      <c r="CH269" s="143"/>
      <c r="CI269" s="143"/>
      <c r="CJ269" s="143"/>
      <c r="CK269" s="143"/>
      <c r="CL269" s="143"/>
      <c r="CM269" s="143"/>
      <c r="CN269" s="143"/>
      <c r="CO269" s="143"/>
      <c r="CP269" s="143"/>
      <c r="CQ269" s="143"/>
      <c r="CR269" s="143"/>
      <c r="CS269" s="143"/>
      <c r="CT269" s="143"/>
      <c r="CU269" s="143"/>
      <c r="CV269" s="143"/>
      <c r="CW269" s="143"/>
      <c r="CX269" s="143"/>
      <c r="CY269" s="143"/>
      <c r="CZ269" s="143"/>
      <c r="DA269" s="143"/>
      <c r="DB269" s="143"/>
      <c r="DC269" s="143"/>
      <c r="DD269" s="143"/>
      <c r="DE269" s="143"/>
      <c r="DF269" s="143"/>
      <c r="DG269" s="143"/>
      <c r="DH269" s="143"/>
      <c r="DI269" s="143"/>
      <c r="DJ269" s="143"/>
      <c r="DK269" s="143"/>
      <c r="DL269" s="143"/>
      <c r="DM269" s="143"/>
      <c r="DN269" s="143"/>
      <c r="DO269" s="143"/>
      <c r="DP269" s="143"/>
      <c r="DQ269" s="143"/>
      <c r="DR269" s="143"/>
      <c r="DS269" s="143"/>
      <c r="DT269" s="143"/>
      <c r="DU269" s="143"/>
      <c r="DV269" s="143"/>
      <c r="DW269" s="143"/>
      <c r="DX269" s="143"/>
      <c r="DY269" s="143"/>
      <c r="DZ269" s="143"/>
      <c r="EA269" s="143"/>
      <c r="EB269" s="143"/>
      <c r="EC269" s="143"/>
      <c r="ED269" s="143"/>
      <c r="EE269" s="143"/>
      <c r="EF269" s="143"/>
      <c r="EG269" s="143"/>
      <c r="EH269" s="143"/>
      <c r="EI269" s="143"/>
      <c r="EJ269" s="143"/>
      <c r="EK269" s="143"/>
      <c r="EL269" s="143"/>
      <c r="EM269" s="143"/>
      <c r="EN269" s="143"/>
      <c r="EO269" s="143"/>
      <c r="EP269" s="143"/>
      <c r="EQ269" s="143"/>
      <c r="ER269" s="143"/>
      <c r="ES269" s="143"/>
      <c r="ET269" s="143"/>
      <c r="EU269" s="143"/>
      <c r="EV269" s="143"/>
      <c r="EW269" s="143"/>
      <c r="EX269" s="143"/>
      <c r="EY269" s="143"/>
      <c r="EZ269" s="143"/>
      <c r="FA269" s="143"/>
      <c r="FB269" s="143"/>
      <c r="FC269" s="143"/>
      <c r="FD269" s="143"/>
      <c r="FE269" s="143"/>
      <c r="FF269" s="143"/>
      <c r="FG269" s="143"/>
      <c r="FH269" s="143"/>
      <c r="FI269" s="143"/>
      <c r="FJ269" s="143"/>
      <c r="FK269" s="143"/>
      <c r="FL269" s="143"/>
      <c r="FM269" s="143"/>
      <c r="FN269" s="143"/>
      <c r="FO269" s="143"/>
      <c r="FP269" s="143"/>
      <c r="FQ269" s="143"/>
      <c r="FR269" s="143"/>
      <c r="FS269" s="143"/>
      <c r="FT269" s="143"/>
      <c r="FU269" s="143"/>
      <c r="FV269" s="143"/>
      <c r="FW269" s="143"/>
      <c r="FX269" s="143"/>
      <c r="FY269" s="143"/>
      <c r="FZ269" s="143"/>
      <c r="GA269" s="143"/>
      <c r="GB269" s="143"/>
      <c r="GC269" s="143"/>
      <c r="GD269" s="143"/>
      <c r="GE269" s="143"/>
      <c r="GF269" s="143"/>
      <c r="GG269" s="143"/>
      <c r="GH269" s="143"/>
      <c r="GI269" s="143"/>
      <c r="GJ269" s="143"/>
      <c r="GK269" s="143"/>
      <c r="GL269" s="143"/>
      <c r="GM269" s="143"/>
      <c r="GN269" s="143"/>
      <c r="GO269" s="143"/>
      <c r="GP269" s="143"/>
      <c r="GQ269" s="143"/>
      <c r="GR269" s="143"/>
      <c r="GS269" s="143"/>
      <c r="GT269" s="143"/>
      <c r="GU269" s="143"/>
      <c r="GV269" s="143"/>
      <c r="GW269" s="143"/>
      <c r="GX269" s="143"/>
      <c r="GY269" s="143"/>
      <c r="GZ269" s="143"/>
      <c r="HA269" s="143"/>
      <c r="HB269" s="143"/>
      <c r="HC269" s="143"/>
      <c r="HD269" s="143"/>
      <c r="HE269" s="143"/>
      <c r="HF269" s="143"/>
      <c r="HG269" s="143"/>
      <c r="HH269" s="143"/>
      <c r="HI269" s="143"/>
      <c r="HJ269" s="143"/>
      <c r="HK269" s="143"/>
      <c r="HL269" s="143"/>
      <c r="HM269" s="143"/>
      <c r="HN269" s="143"/>
      <c r="HO269" s="143"/>
      <c r="HP269" s="143"/>
      <c r="HQ269" s="143"/>
      <c r="HR269" s="143"/>
      <c r="HS269" s="143"/>
      <c r="HT269" s="143"/>
      <c r="HU269" s="143"/>
      <c r="HV269" s="143"/>
      <c r="HW269" s="143"/>
      <c r="HX269" s="143"/>
      <c r="HY269" s="143"/>
      <c r="HZ269" s="143"/>
      <c r="IA269" s="143"/>
      <c r="IB269" s="143"/>
      <c r="IC269" s="143"/>
      <c r="ID269" s="143"/>
      <c r="IE269" s="143"/>
      <c r="IF269" s="143"/>
      <c r="IG269" s="143"/>
      <c r="IH269" s="143"/>
      <c r="II269" s="143"/>
      <c r="IJ269" s="143"/>
      <c r="IK269" s="143"/>
      <c r="IL269" s="143"/>
      <c r="IM269" s="143"/>
      <c r="IN269" s="143"/>
      <c r="IO269" s="143"/>
      <c r="IP269" s="143"/>
      <c r="IQ269" s="143"/>
      <c r="IR269" s="143"/>
      <c r="IS269" s="143"/>
      <c r="IT269" s="143"/>
      <c r="IU269" s="143"/>
      <c r="IV269" s="143"/>
      <c r="IW269" s="143"/>
      <c r="IX269" s="143"/>
      <c r="IY269" s="143"/>
      <c r="IZ269" s="143"/>
      <c r="JA269" s="143"/>
      <c r="JB269" s="143"/>
      <c r="JC269" s="143"/>
      <c r="JD269" s="143"/>
      <c r="JE269" s="143"/>
      <c r="JF269" s="143"/>
      <c r="JG269" s="143"/>
      <c r="JH269" s="143"/>
      <c r="JI269" s="143"/>
    </row>
    <row r="270" spans="1:269" outlineLevel="1">
      <c r="A270" s="319" t="s">
        <v>450</v>
      </c>
      <c r="B270" s="143"/>
      <c r="C270" s="277"/>
      <c r="D270" s="277"/>
      <c r="E270" s="277"/>
      <c r="F270" s="278"/>
      <c r="G270" s="278"/>
      <c r="H270" s="278"/>
      <c r="I270" s="278"/>
      <c r="J270" s="277"/>
      <c r="K270" s="278"/>
      <c r="L270" s="278"/>
      <c r="M270" s="278"/>
      <c r="N270" s="278"/>
      <c r="O270" s="277"/>
      <c r="P270" s="278"/>
      <c r="Q270" s="278"/>
      <c r="R270" s="278"/>
      <c r="S270" s="554">
        <v>32.700000000000003</v>
      </c>
      <c r="T270" s="277"/>
      <c r="U270" s="278"/>
      <c r="V270" s="278"/>
      <c r="W270" s="278"/>
      <c r="X270" s="555">
        <v>47.6</v>
      </c>
      <c r="Y270" s="277"/>
      <c r="Z270" s="278"/>
      <c r="AA270" s="278"/>
      <c r="AB270" s="278"/>
      <c r="AC270" s="278"/>
      <c r="AD270" s="536"/>
      <c r="AE270" s="143"/>
      <c r="AF270" s="143"/>
      <c r="AG270" s="143"/>
      <c r="AH270" s="143"/>
      <c r="AI270" s="279"/>
      <c r="AJ270" s="143"/>
      <c r="AK270" s="143"/>
      <c r="AL270" s="143"/>
      <c r="AM270" s="143"/>
      <c r="AN270" s="279"/>
      <c r="AO270" s="143"/>
      <c r="AP270" s="143"/>
      <c r="AQ270" s="143"/>
      <c r="AR270" s="143"/>
      <c r="AS270" s="279"/>
      <c r="AT270" s="315"/>
      <c r="AU270" s="508"/>
      <c r="AV270" s="143"/>
      <c r="AW270" s="143"/>
      <c r="AX270" s="143"/>
      <c r="AY270" s="143"/>
      <c r="AZ270" s="143"/>
      <c r="BA270" s="143"/>
      <c r="BB270" s="143"/>
      <c r="BC270" s="143"/>
      <c r="BD270" s="143"/>
      <c r="BE270" s="143"/>
      <c r="BF270" s="143"/>
      <c r="BG270" s="143"/>
      <c r="BH270" s="143"/>
      <c r="BI270" s="143"/>
      <c r="BJ270" s="143"/>
      <c r="BK270" s="143"/>
      <c r="BL270" s="143"/>
      <c r="BM270" s="143"/>
      <c r="BN270" s="143"/>
      <c r="BO270" s="143"/>
      <c r="BP270" s="143"/>
      <c r="BQ270" s="143"/>
      <c r="BR270" s="143"/>
      <c r="BS270" s="143"/>
      <c r="BT270" s="143"/>
      <c r="BU270" s="143"/>
      <c r="BV270" s="143"/>
      <c r="BW270" s="143"/>
      <c r="BX270" s="143"/>
      <c r="BY270" s="143"/>
      <c r="BZ270" s="143"/>
      <c r="CA270" s="143"/>
      <c r="CB270" s="143"/>
      <c r="CC270" s="143"/>
      <c r="CD270" s="143"/>
      <c r="CE270" s="143"/>
      <c r="CF270" s="143"/>
      <c r="CG270" s="143"/>
      <c r="CH270" s="143"/>
      <c r="CI270" s="143"/>
      <c r="CJ270" s="143"/>
      <c r="CK270" s="143"/>
      <c r="CL270" s="143"/>
      <c r="CM270" s="143"/>
      <c r="CN270" s="143"/>
      <c r="CO270" s="143"/>
      <c r="CP270" s="143"/>
      <c r="CQ270" s="143"/>
      <c r="CR270" s="143"/>
      <c r="CS270" s="143"/>
      <c r="CT270" s="143"/>
      <c r="CU270" s="143"/>
      <c r="CV270" s="143"/>
      <c r="CW270" s="143"/>
      <c r="CX270" s="143"/>
      <c r="CY270" s="143"/>
      <c r="CZ270" s="143"/>
      <c r="DA270" s="143"/>
      <c r="DB270" s="143"/>
      <c r="DC270" s="143"/>
      <c r="DD270" s="143"/>
      <c r="DE270" s="143"/>
      <c r="DF270" s="143"/>
      <c r="DG270" s="143"/>
      <c r="DH270" s="143"/>
      <c r="DI270" s="143"/>
      <c r="DJ270" s="143"/>
      <c r="DK270" s="143"/>
      <c r="DL270" s="143"/>
      <c r="DM270" s="143"/>
      <c r="DN270" s="143"/>
      <c r="DO270" s="143"/>
      <c r="DP270" s="143"/>
      <c r="DQ270" s="143"/>
      <c r="DR270" s="143"/>
      <c r="DS270" s="143"/>
      <c r="DT270" s="143"/>
      <c r="DU270" s="143"/>
      <c r="DV270" s="143"/>
      <c r="DW270" s="143"/>
      <c r="DX270" s="143"/>
      <c r="DY270" s="143"/>
      <c r="DZ270" s="143"/>
      <c r="EA270" s="143"/>
      <c r="EB270" s="143"/>
      <c r="EC270" s="143"/>
      <c r="ED270" s="143"/>
      <c r="EE270" s="143"/>
      <c r="EF270" s="143"/>
      <c r="EG270" s="143"/>
      <c r="EH270" s="143"/>
      <c r="EI270" s="143"/>
      <c r="EJ270" s="143"/>
      <c r="EK270" s="143"/>
      <c r="EL270" s="143"/>
      <c r="EM270" s="143"/>
      <c r="EN270" s="143"/>
      <c r="EO270" s="143"/>
      <c r="EP270" s="143"/>
      <c r="EQ270" s="143"/>
      <c r="ER270" s="143"/>
      <c r="ES270" s="143"/>
      <c r="ET270" s="143"/>
      <c r="EU270" s="143"/>
      <c r="EV270" s="143"/>
      <c r="EW270" s="143"/>
      <c r="EX270" s="143"/>
      <c r="EY270" s="143"/>
      <c r="EZ270" s="143"/>
      <c r="FA270" s="143"/>
      <c r="FB270" s="143"/>
      <c r="FC270" s="143"/>
      <c r="FD270" s="143"/>
      <c r="FE270" s="143"/>
      <c r="FF270" s="143"/>
      <c r="FG270" s="143"/>
      <c r="FH270" s="143"/>
      <c r="FI270" s="143"/>
      <c r="FJ270" s="143"/>
      <c r="FK270" s="143"/>
      <c r="FL270" s="143"/>
      <c r="FM270" s="143"/>
      <c r="FN270" s="143"/>
      <c r="FO270" s="143"/>
      <c r="FP270" s="143"/>
      <c r="FQ270" s="143"/>
      <c r="FR270" s="143"/>
      <c r="FS270" s="143"/>
      <c r="FT270" s="143"/>
      <c r="FU270" s="143"/>
      <c r="FV270" s="143"/>
      <c r="FW270" s="143"/>
      <c r="FX270" s="143"/>
      <c r="FY270" s="143"/>
      <c r="FZ270" s="143"/>
      <c r="GA270" s="143"/>
      <c r="GB270" s="143"/>
      <c r="GC270" s="143"/>
      <c r="GD270" s="143"/>
      <c r="GE270" s="143"/>
      <c r="GF270" s="143"/>
      <c r="GG270" s="143"/>
      <c r="GH270" s="143"/>
      <c r="GI270" s="143"/>
      <c r="GJ270" s="143"/>
      <c r="GK270" s="143"/>
      <c r="GL270" s="143"/>
      <c r="GM270" s="143"/>
      <c r="GN270" s="143"/>
      <c r="GO270" s="143"/>
      <c r="GP270" s="143"/>
      <c r="GQ270" s="143"/>
      <c r="GR270" s="143"/>
      <c r="GS270" s="143"/>
      <c r="GT270" s="143"/>
      <c r="GU270" s="143"/>
      <c r="GV270" s="143"/>
      <c r="GW270" s="143"/>
      <c r="GX270" s="143"/>
      <c r="GY270" s="143"/>
      <c r="GZ270" s="143"/>
      <c r="HA270" s="143"/>
      <c r="HB270" s="143"/>
      <c r="HC270" s="143"/>
      <c r="HD270" s="143"/>
      <c r="HE270" s="143"/>
      <c r="HF270" s="143"/>
      <c r="HG270" s="143"/>
      <c r="HH270" s="143"/>
      <c r="HI270" s="143"/>
      <c r="HJ270" s="143"/>
      <c r="HK270" s="143"/>
      <c r="HL270" s="143"/>
      <c r="HM270" s="143"/>
      <c r="HN270" s="143"/>
      <c r="HO270" s="143"/>
      <c r="HP270" s="143"/>
      <c r="HQ270" s="143"/>
      <c r="HR270" s="143"/>
      <c r="HS270" s="143"/>
      <c r="HT270" s="143"/>
      <c r="HU270" s="143"/>
      <c r="HV270" s="143"/>
      <c r="HW270" s="143"/>
      <c r="HX270" s="143"/>
      <c r="HY270" s="143"/>
      <c r="HZ270" s="143"/>
      <c r="IA270" s="143"/>
      <c r="IB270" s="143"/>
      <c r="IC270" s="143"/>
      <c r="ID270" s="143"/>
      <c r="IE270" s="143"/>
      <c r="IF270" s="143"/>
      <c r="IG270" s="143"/>
      <c r="IH270" s="143"/>
      <c r="II270" s="143"/>
      <c r="IJ270" s="143"/>
      <c r="IK270" s="143"/>
      <c r="IL270" s="143"/>
      <c r="IM270" s="143"/>
      <c r="IN270" s="143"/>
      <c r="IO270" s="143"/>
      <c r="IP270" s="143"/>
      <c r="IQ270" s="143"/>
      <c r="IR270" s="143"/>
      <c r="IS270" s="143"/>
      <c r="IT270" s="143"/>
      <c r="IU270" s="143"/>
      <c r="IV270" s="143"/>
      <c r="IW270" s="143"/>
      <c r="IX270" s="143"/>
      <c r="IY270" s="143"/>
      <c r="IZ270" s="143"/>
      <c r="JA270" s="143"/>
      <c r="JB270" s="143"/>
      <c r="JC270" s="143"/>
      <c r="JD270" s="143"/>
      <c r="JE270" s="143"/>
      <c r="JF270" s="143"/>
      <c r="JG270" s="143"/>
      <c r="JH270" s="143"/>
      <c r="JI270" s="143"/>
    </row>
    <row r="271" spans="1:269" outlineLevel="1">
      <c r="A271" s="319"/>
      <c r="B271" s="143"/>
      <c r="C271" s="277"/>
      <c r="D271" s="277"/>
      <c r="E271" s="277"/>
      <c r="F271" s="278"/>
      <c r="G271" s="278"/>
      <c r="H271" s="278"/>
      <c r="I271" s="278"/>
      <c r="J271" s="277"/>
      <c r="K271" s="278"/>
      <c r="L271" s="278"/>
      <c r="M271" s="278"/>
      <c r="N271" s="278"/>
      <c r="O271" s="277"/>
      <c r="P271" s="278"/>
      <c r="Q271" s="278"/>
      <c r="R271" s="278"/>
      <c r="S271" s="278"/>
      <c r="T271" s="277"/>
      <c r="U271" s="278"/>
      <c r="V271" s="278"/>
      <c r="W271" s="278"/>
      <c r="X271" s="278"/>
      <c r="Y271" s="277"/>
      <c r="Z271" s="278"/>
      <c r="AA271" s="278"/>
      <c r="AB271" s="278"/>
      <c r="AC271" s="278"/>
      <c r="AD271" s="536"/>
      <c r="AE271" s="143"/>
      <c r="AF271" s="143"/>
      <c r="AG271" s="143"/>
      <c r="AH271" s="143"/>
      <c r="AI271" s="279"/>
      <c r="AJ271" s="143"/>
      <c r="AK271" s="143"/>
      <c r="AL271" s="143"/>
      <c r="AM271" s="143"/>
      <c r="AN271" s="279"/>
      <c r="AO271" s="143"/>
      <c r="AP271" s="143"/>
      <c r="AQ271" s="143"/>
      <c r="AR271" s="143"/>
      <c r="AS271" s="279"/>
      <c r="AT271" s="315"/>
      <c r="AU271" s="508"/>
      <c r="AV271" s="143"/>
      <c r="AW271" s="143"/>
      <c r="AX271" s="143"/>
      <c r="AY271" s="143"/>
      <c r="AZ271" s="143"/>
      <c r="BA271" s="143"/>
      <c r="BB271" s="143"/>
      <c r="BC271" s="143"/>
      <c r="BD271" s="143"/>
      <c r="BE271" s="143"/>
      <c r="BF271" s="143"/>
      <c r="BG271" s="143"/>
      <c r="BH271" s="143"/>
      <c r="BI271" s="143"/>
      <c r="BJ271" s="143"/>
      <c r="BK271" s="143"/>
      <c r="BL271" s="143"/>
      <c r="BM271" s="143"/>
      <c r="BN271" s="143"/>
      <c r="BO271" s="143"/>
      <c r="BP271" s="143"/>
      <c r="BQ271" s="143"/>
      <c r="BR271" s="143"/>
      <c r="BS271" s="143"/>
      <c r="BT271" s="143"/>
      <c r="BU271" s="143"/>
      <c r="BV271" s="143"/>
      <c r="BW271" s="143"/>
      <c r="BX271" s="143"/>
      <c r="BY271" s="143"/>
      <c r="BZ271" s="143"/>
      <c r="CA271" s="143"/>
      <c r="CB271" s="143"/>
      <c r="CC271" s="143"/>
      <c r="CD271" s="143"/>
      <c r="CE271" s="143"/>
      <c r="CF271" s="143"/>
      <c r="CG271" s="143"/>
      <c r="CH271" s="143"/>
      <c r="CI271" s="143"/>
      <c r="CJ271" s="143"/>
      <c r="CK271" s="143"/>
      <c r="CL271" s="143"/>
      <c r="CM271" s="143"/>
      <c r="CN271" s="143"/>
      <c r="CO271" s="143"/>
      <c r="CP271" s="143"/>
      <c r="CQ271" s="143"/>
      <c r="CR271" s="143"/>
      <c r="CS271" s="143"/>
      <c r="CT271" s="143"/>
      <c r="CU271" s="143"/>
      <c r="CV271" s="143"/>
      <c r="CW271" s="143"/>
      <c r="CX271" s="143"/>
      <c r="CY271" s="143"/>
      <c r="CZ271" s="143"/>
      <c r="DA271" s="143"/>
      <c r="DB271" s="143"/>
      <c r="DC271" s="143"/>
      <c r="DD271" s="143"/>
      <c r="DE271" s="143"/>
      <c r="DF271" s="143"/>
      <c r="DG271" s="143"/>
      <c r="DH271" s="143"/>
      <c r="DI271" s="143"/>
      <c r="DJ271" s="143"/>
      <c r="DK271" s="143"/>
      <c r="DL271" s="143"/>
      <c r="DM271" s="143"/>
      <c r="DN271" s="143"/>
      <c r="DO271" s="143"/>
      <c r="DP271" s="143"/>
      <c r="DQ271" s="143"/>
      <c r="DR271" s="143"/>
      <c r="DS271" s="143"/>
      <c r="DT271" s="143"/>
      <c r="DU271" s="143"/>
      <c r="DV271" s="143"/>
      <c r="DW271" s="143"/>
      <c r="DX271" s="143"/>
      <c r="DY271" s="143"/>
      <c r="DZ271" s="143"/>
      <c r="EA271" s="143"/>
      <c r="EB271" s="143"/>
      <c r="EC271" s="143"/>
      <c r="ED271" s="143"/>
      <c r="EE271" s="143"/>
      <c r="EF271" s="143"/>
      <c r="EG271" s="143"/>
      <c r="EH271" s="143"/>
      <c r="EI271" s="143"/>
      <c r="EJ271" s="143"/>
      <c r="EK271" s="143"/>
      <c r="EL271" s="143"/>
      <c r="EM271" s="143"/>
      <c r="EN271" s="143"/>
      <c r="EO271" s="143"/>
      <c r="EP271" s="143"/>
      <c r="EQ271" s="143"/>
      <c r="ER271" s="143"/>
      <c r="ES271" s="143"/>
      <c r="ET271" s="143"/>
      <c r="EU271" s="143"/>
      <c r="EV271" s="143"/>
      <c r="EW271" s="143"/>
      <c r="EX271" s="143"/>
      <c r="EY271" s="143"/>
      <c r="EZ271" s="143"/>
      <c r="FA271" s="143"/>
      <c r="FB271" s="143"/>
      <c r="FC271" s="143"/>
      <c r="FD271" s="143"/>
      <c r="FE271" s="143"/>
      <c r="FF271" s="143"/>
      <c r="FG271" s="143"/>
      <c r="FH271" s="143"/>
      <c r="FI271" s="143"/>
      <c r="FJ271" s="143"/>
      <c r="FK271" s="143"/>
      <c r="FL271" s="143"/>
      <c r="FM271" s="143"/>
      <c r="FN271" s="143"/>
      <c r="FO271" s="143"/>
      <c r="FP271" s="143"/>
      <c r="FQ271" s="143"/>
      <c r="FR271" s="143"/>
      <c r="FS271" s="143"/>
      <c r="FT271" s="143"/>
      <c r="FU271" s="143"/>
      <c r="FV271" s="143"/>
      <c r="FW271" s="143"/>
      <c r="FX271" s="143"/>
      <c r="FY271" s="143"/>
      <c r="FZ271" s="143"/>
      <c r="GA271" s="143"/>
      <c r="GB271" s="143"/>
      <c r="GC271" s="143"/>
      <c r="GD271" s="143"/>
      <c r="GE271" s="143"/>
      <c r="GF271" s="143"/>
      <c r="GG271" s="143"/>
      <c r="GH271" s="143"/>
      <c r="GI271" s="143"/>
      <c r="GJ271" s="143"/>
      <c r="GK271" s="143"/>
      <c r="GL271" s="143"/>
      <c r="GM271" s="143"/>
      <c r="GN271" s="143"/>
      <c r="GO271" s="143"/>
      <c r="GP271" s="143"/>
      <c r="GQ271" s="143"/>
      <c r="GR271" s="143"/>
      <c r="GS271" s="143"/>
      <c r="GT271" s="143"/>
      <c r="GU271" s="143"/>
      <c r="GV271" s="143"/>
      <c r="GW271" s="143"/>
      <c r="GX271" s="143"/>
      <c r="GY271" s="143"/>
      <c r="GZ271" s="143"/>
      <c r="HA271" s="143"/>
      <c r="HB271" s="143"/>
      <c r="HC271" s="143"/>
      <c r="HD271" s="143"/>
      <c r="HE271" s="143"/>
      <c r="HF271" s="143"/>
      <c r="HG271" s="143"/>
      <c r="HH271" s="143"/>
      <c r="HI271" s="143"/>
      <c r="HJ271" s="143"/>
      <c r="HK271" s="143"/>
      <c r="HL271" s="143"/>
      <c r="HM271" s="143"/>
      <c r="HN271" s="143"/>
      <c r="HO271" s="143"/>
      <c r="HP271" s="143"/>
      <c r="HQ271" s="143"/>
      <c r="HR271" s="143"/>
      <c r="HS271" s="143"/>
      <c r="HT271" s="143"/>
      <c r="HU271" s="143"/>
      <c r="HV271" s="143"/>
      <c r="HW271" s="143"/>
      <c r="HX271" s="143"/>
      <c r="HY271" s="143"/>
      <c r="HZ271" s="143"/>
      <c r="IA271" s="143"/>
      <c r="IB271" s="143"/>
      <c r="IC271" s="143"/>
      <c r="ID271" s="143"/>
      <c r="IE271" s="143"/>
      <c r="IF271" s="143"/>
      <c r="IG271" s="143"/>
      <c r="IH271" s="143"/>
      <c r="II271" s="143"/>
      <c r="IJ271" s="143"/>
      <c r="IK271" s="143"/>
      <c r="IL271" s="143"/>
      <c r="IM271" s="143"/>
      <c r="IN271" s="143"/>
      <c r="IO271" s="143"/>
      <c r="IP271" s="143"/>
      <c r="IQ271" s="143"/>
      <c r="IR271" s="143"/>
      <c r="IS271" s="143"/>
      <c r="IT271" s="143"/>
      <c r="IU271" s="143"/>
      <c r="IV271" s="143"/>
      <c r="IW271" s="143"/>
      <c r="IX271" s="143"/>
      <c r="IY271" s="143"/>
      <c r="IZ271" s="143"/>
      <c r="JA271" s="143"/>
      <c r="JB271" s="143"/>
      <c r="JC271" s="143"/>
      <c r="JD271" s="143"/>
      <c r="JE271" s="143"/>
      <c r="JF271" s="143"/>
      <c r="JG271" s="143"/>
      <c r="JH271" s="143"/>
      <c r="JI271" s="143"/>
    </row>
    <row r="272" spans="1:269" s="81" customFormat="1">
      <c r="A272" s="418"/>
      <c r="C272" s="417"/>
      <c r="D272" s="417"/>
      <c r="E272" s="417"/>
      <c r="F272" s="414"/>
      <c r="G272" s="414"/>
      <c r="H272" s="414"/>
      <c r="I272" s="414"/>
      <c r="J272" s="417"/>
      <c r="K272" s="414"/>
      <c r="L272" s="414"/>
      <c r="M272" s="414"/>
      <c r="N272" s="414"/>
      <c r="O272" s="417"/>
      <c r="P272" s="414"/>
      <c r="Q272" s="414"/>
      <c r="R272" s="414"/>
      <c r="S272" s="414"/>
      <c r="T272" s="417"/>
      <c r="U272" s="414"/>
      <c r="V272" s="414"/>
      <c r="W272" s="414"/>
      <c r="X272" s="414"/>
      <c r="Y272" s="417"/>
      <c r="Z272" s="414"/>
      <c r="AA272" s="414"/>
      <c r="AB272" s="359"/>
      <c r="AC272" s="359"/>
      <c r="AD272" s="422"/>
      <c r="AE272" s="359"/>
      <c r="AF272" s="359"/>
      <c r="AG272" s="359"/>
      <c r="AH272" s="359"/>
      <c r="AI272" s="422"/>
      <c r="AJ272" s="359"/>
      <c r="AK272" s="359"/>
      <c r="AL272" s="359"/>
      <c r="AM272" s="359"/>
      <c r="AN272" s="422"/>
      <c r="AO272" s="359"/>
      <c r="AP272" s="359"/>
      <c r="AQ272" s="359"/>
      <c r="AR272" s="359"/>
      <c r="AS272" s="422"/>
      <c r="AT272" s="456"/>
      <c r="AU272" s="508"/>
    </row>
    <row r="273" spans="1:269" s="81" customFormat="1">
      <c r="A273" s="430" t="s">
        <v>444</v>
      </c>
      <c r="B273" s="431"/>
      <c r="C273" s="432"/>
      <c r="D273" s="432"/>
      <c r="E273" s="432"/>
      <c r="F273" s="432"/>
      <c r="G273" s="432"/>
      <c r="H273" s="432"/>
      <c r="I273" s="432"/>
      <c r="J273" s="432"/>
      <c r="K273" s="432"/>
      <c r="L273" s="432"/>
      <c r="M273" s="432"/>
      <c r="N273" s="432"/>
      <c r="O273" s="432"/>
      <c r="P273" s="432"/>
      <c r="Q273" s="432"/>
      <c r="R273" s="432"/>
      <c r="S273" s="432"/>
      <c r="T273" s="432"/>
      <c r="U273" s="432"/>
      <c r="V273" s="432"/>
      <c r="W273" s="432"/>
      <c r="X273" s="432"/>
      <c r="Y273" s="432"/>
      <c r="Z273" s="432"/>
      <c r="AA273" s="432"/>
      <c r="AB273" s="432"/>
      <c r="AC273" s="55"/>
      <c r="AD273" s="55"/>
      <c r="AE273" s="55"/>
      <c r="AF273" s="55"/>
      <c r="AG273" s="55"/>
      <c r="AH273" s="55"/>
      <c r="AI273" s="55"/>
      <c r="AJ273" s="55"/>
      <c r="AK273" s="55"/>
      <c r="AL273" s="55"/>
      <c r="AM273" s="55"/>
      <c r="AN273" s="55"/>
      <c r="AO273" s="55"/>
      <c r="AP273" s="55"/>
      <c r="AQ273" s="55"/>
      <c r="AR273" s="55"/>
      <c r="AS273" s="55"/>
      <c r="AT273" s="459"/>
      <c r="AU273" s="508"/>
    </row>
    <row r="274" spans="1:269" s="81" customFormat="1">
      <c r="A274" s="450"/>
      <c r="B274" s="442"/>
      <c r="C274" s="310"/>
      <c r="D274" s="310"/>
      <c r="E274" s="310"/>
      <c r="F274" s="312"/>
      <c r="G274" s="312"/>
      <c r="H274" s="312"/>
      <c r="I274" s="312"/>
      <c r="J274" s="310"/>
      <c r="K274" s="312"/>
      <c r="L274" s="312"/>
      <c r="M274" s="312"/>
      <c r="N274" s="312"/>
      <c r="O274" s="310"/>
      <c r="P274" s="312"/>
      <c r="Q274" s="312"/>
      <c r="R274" s="312"/>
      <c r="S274" s="312"/>
      <c r="T274" s="310"/>
      <c r="U274" s="312"/>
      <c r="V274" s="312"/>
      <c r="W274" s="312"/>
      <c r="X274" s="312"/>
      <c r="Y274" s="310"/>
      <c r="Z274" s="312"/>
      <c r="AA274" s="312"/>
      <c r="AB274" s="312"/>
      <c r="AC274" s="312"/>
      <c r="AD274" s="534"/>
      <c r="AE274" s="312"/>
      <c r="AF274" s="312"/>
      <c r="AG274" s="311"/>
      <c r="AH274" s="311"/>
      <c r="AI274" s="321"/>
      <c r="AJ274" s="311"/>
      <c r="AK274" s="311"/>
      <c r="AL274" s="311"/>
      <c r="AM274" s="311"/>
      <c r="AN274" s="321"/>
      <c r="AO274" s="311"/>
      <c r="AP274" s="311"/>
      <c r="AQ274" s="311"/>
      <c r="AR274" s="311"/>
      <c r="AS274" s="321"/>
      <c r="AT274" s="459"/>
      <c r="AU274" s="508"/>
    </row>
    <row r="275" spans="1:269" s="313" customFormat="1">
      <c r="A275" s="418" t="s">
        <v>439</v>
      </c>
      <c r="C275" s="568" t="s">
        <v>441</v>
      </c>
      <c r="D275" s="568" t="s">
        <v>441</v>
      </c>
      <c r="E275" s="568" t="s">
        <v>441</v>
      </c>
      <c r="F275" s="568" t="s">
        <v>441</v>
      </c>
      <c r="G275" s="568" t="s">
        <v>441</v>
      </c>
      <c r="H275" s="568" t="s">
        <v>441</v>
      </c>
      <c r="I275" s="568" t="s">
        <v>441</v>
      </c>
      <c r="J275" s="568" t="s">
        <v>441</v>
      </c>
      <c r="K275" s="568" t="s">
        <v>441</v>
      </c>
      <c r="L275" s="568" t="s">
        <v>441</v>
      </c>
      <c r="M275" s="568" t="s">
        <v>441</v>
      </c>
      <c r="N275" s="568" t="s">
        <v>441</v>
      </c>
      <c r="O275" s="568" t="s">
        <v>441</v>
      </c>
      <c r="P275" s="568" t="s">
        <v>441</v>
      </c>
      <c r="Q275" s="568" t="s">
        <v>441</v>
      </c>
      <c r="R275" s="568" t="s">
        <v>441</v>
      </c>
      <c r="S275" s="569" t="s">
        <v>445</v>
      </c>
      <c r="T275" s="569" t="str">
        <f>S275</f>
        <v>Andrew Stanleick</v>
      </c>
      <c r="U275" s="569" t="str">
        <f t="shared" ref="U275:AA275" si="554">T275</f>
        <v>Andrew Stanleick</v>
      </c>
      <c r="V275" s="569" t="str">
        <f t="shared" si="554"/>
        <v>Andrew Stanleick</v>
      </c>
      <c r="W275" s="569" t="str">
        <f t="shared" si="554"/>
        <v>Andrew Stanleick</v>
      </c>
      <c r="X275" s="569" t="str">
        <f t="shared" si="554"/>
        <v>Andrew Stanleick</v>
      </c>
      <c r="Y275" s="569" t="str">
        <f t="shared" si="554"/>
        <v>Andrew Stanleick</v>
      </c>
      <c r="Z275" s="569" t="str">
        <f t="shared" si="554"/>
        <v>Andrew Stanleick</v>
      </c>
      <c r="AA275" s="569" t="str">
        <f t="shared" si="554"/>
        <v>Andrew Stanleick</v>
      </c>
      <c r="AB275" s="568" t="s">
        <v>505</v>
      </c>
      <c r="AC275" s="414"/>
      <c r="AD275" s="422"/>
      <c r="AE275" s="414"/>
      <c r="AF275" s="414"/>
      <c r="AG275" s="421"/>
      <c r="AH275" s="421"/>
      <c r="AI275" s="420"/>
      <c r="AJ275" s="421"/>
      <c r="AK275" s="421"/>
      <c r="AL275" s="421"/>
      <c r="AM275" s="421"/>
      <c r="AN275" s="420"/>
      <c r="AO275" s="421"/>
      <c r="AP275" s="421"/>
      <c r="AQ275" s="421"/>
      <c r="AR275" s="421"/>
      <c r="AS275" s="420"/>
      <c r="AT275" s="455"/>
      <c r="AU275" s="508"/>
    </row>
    <row r="276" spans="1:269" s="81" customFormat="1">
      <c r="A276" s="418" t="s">
        <v>440</v>
      </c>
      <c r="C276" s="423"/>
      <c r="D276" s="423"/>
      <c r="E276" s="423"/>
      <c r="F276" s="424"/>
      <c r="G276" s="568" t="s">
        <v>442</v>
      </c>
      <c r="H276" s="568" t="s">
        <v>442</v>
      </c>
      <c r="I276" s="568" t="s">
        <v>442</v>
      </c>
      <c r="J276" s="423"/>
      <c r="K276" s="424"/>
      <c r="L276" s="568" t="s">
        <v>442</v>
      </c>
      <c r="M276" s="568" t="s">
        <v>442</v>
      </c>
      <c r="N276" s="568" t="s">
        <v>442</v>
      </c>
      <c r="O276" s="568" t="s">
        <v>442</v>
      </c>
      <c r="P276" s="568" t="s">
        <v>442</v>
      </c>
      <c r="Q276" s="568" t="s">
        <v>442</v>
      </c>
      <c r="R276" s="568" t="s">
        <v>442</v>
      </c>
      <c r="S276" s="568" t="s">
        <v>442</v>
      </c>
      <c r="T276" s="568" t="s">
        <v>442</v>
      </c>
      <c r="U276" s="568" t="s">
        <v>442</v>
      </c>
      <c r="V276" s="568" t="s">
        <v>442</v>
      </c>
      <c r="W276" s="568" t="s">
        <v>442</v>
      </c>
      <c r="X276" s="568" t="s">
        <v>442</v>
      </c>
      <c r="Y276" s="568" t="s">
        <v>442</v>
      </c>
      <c r="Z276" s="568" t="s">
        <v>442</v>
      </c>
      <c r="AA276" s="569" t="s">
        <v>506</v>
      </c>
      <c r="AB276" s="569" t="str">
        <f>AA276</f>
        <v xml:space="preserve">Michael Monahan </v>
      </c>
      <c r="AC276" s="414"/>
      <c r="AD276" s="422"/>
      <c r="AE276" s="414"/>
      <c r="AF276" s="414"/>
      <c r="AG276" s="414"/>
      <c r="AH276" s="414"/>
      <c r="AI276" s="422"/>
      <c r="AJ276" s="414"/>
      <c r="AK276" s="414"/>
      <c r="AL276" s="414"/>
      <c r="AM276" s="414"/>
      <c r="AN276" s="422"/>
      <c r="AO276" s="414"/>
      <c r="AP276" s="414"/>
      <c r="AQ276" s="414"/>
      <c r="AR276" s="414"/>
      <c r="AS276" s="422"/>
      <c r="AT276" s="456"/>
      <c r="AU276" s="508"/>
    </row>
    <row r="277" spans="1:269" hidden="1" outlineLevel="1">
      <c r="A277" s="143"/>
      <c r="B277" s="143"/>
      <c r="C277" s="277"/>
      <c r="D277" s="277"/>
      <c r="E277" s="277"/>
      <c r="F277" s="278"/>
      <c r="G277" s="278"/>
      <c r="H277" s="278"/>
      <c r="I277" s="278"/>
      <c r="J277" s="277"/>
      <c r="K277" s="278"/>
      <c r="L277" s="278"/>
      <c r="M277" s="278"/>
      <c r="N277" s="278"/>
      <c r="O277" s="277"/>
      <c r="P277" s="278"/>
      <c r="Q277" s="278"/>
      <c r="R277" s="278"/>
      <c r="S277" s="278"/>
      <c r="T277" s="277"/>
      <c r="U277" s="278"/>
      <c r="V277" s="278"/>
      <c r="W277" s="278"/>
      <c r="X277" s="278"/>
      <c r="Y277" s="277"/>
      <c r="Z277" s="278"/>
      <c r="AA277" s="278"/>
      <c r="AB277" s="278"/>
      <c r="AC277" s="278"/>
      <c r="AD277" s="536"/>
      <c r="AE277" s="143"/>
      <c r="AF277" s="143"/>
      <c r="AG277" s="143"/>
      <c r="AH277" s="143"/>
      <c r="AI277" s="279"/>
      <c r="AJ277" s="143"/>
      <c r="AK277" s="143"/>
      <c r="AL277" s="143"/>
      <c r="AM277" s="143"/>
      <c r="AN277" s="279"/>
      <c r="AO277" s="143"/>
      <c r="AP277" s="143"/>
      <c r="AQ277" s="143"/>
      <c r="AR277" s="143"/>
      <c r="AS277" s="279"/>
      <c r="AT277" s="315"/>
      <c r="AU277" s="508"/>
      <c r="AV277" s="143"/>
      <c r="AW277" s="143"/>
      <c r="AX277" s="143"/>
      <c r="AY277" s="143"/>
      <c r="AZ277" s="143"/>
      <c r="BA277" s="143"/>
      <c r="BB277" s="143"/>
      <c r="BC277" s="143"/>
      <c r="BD277" s="143"/>
      <c r="BE277" s="143"/>
      <c r="BF277" s="143"/>
      <c r="BG277" s="143"/>
      <c r="BH277" s="143"/>
      <c r="BI277" s="143"/>
      <c r="BJ277" s="143"/>
      <c r="BK277" s="143"/>
      <c r="BL277" s="143"/>
      <c r="BM277" s="143"/>
      <c r="BN277" s="143"/>
      <c r="BO277" s="143"/>
      <c r="BP277" s="143"/>
      <c r="BQ277" s="143"/>
      <c r="BR277" s="143"/>
      <c r="BS277" s="143"/>
      <c r="BT277" s="143"/>
      <c r="BU277" s="143"/>
      <c r="BV277" s="143"/>
      <c r="BW277" s="143"/>
      <c r="BX277" s="143"/>
      <c r="BY277" s="143"/>
      <c r="BZ277" s="143"/>
      <c r="CA277" s="143"/>
      <c r="CB277" s="143"/>
      <c r="CC277" s="143"/>
      <c r="CD277" s="143"/>
      <c r="CE277" s="143"/>
      <c r="CF277" s="143"/>
      <c r="CG277" s="143"/>
      <c r="CH277" s="143"/>
      <c r="CI277" s="143"/>
      <c r="CJ277" s="143"/>
      <c r="CK277" s="143"/>
      <c r="CL277" s="143"/>
      <c r="CM277" s="143"/>
      <c r="CN277" s="143"/>
      <c r="CO277" s="143"/>
      <c r="CP277" s="143"/>
      <c r="CQ277" s="143"/>
      <c r="CR277" s="143"/>
      <c r="CS277" s="143"/>
      <c r="CT277" s="143"/>
      <c r="CU277" s="143"/>
      <c r="CV277" s="143"/>
      <c r="CW277" s="143"/>
      <c r="CX277" s="143"/>
      <c r="CY277" s="143"/>
      <c r="CZ277" s="143"/>
      <c r="DA277" s="143"/>
      <c r="DB277" s="143"/>
      <c r="DC277" s="143"/>
      <c r="DD277" s="143"/>
      <c r="DE277" s="143"/>
      <c r="DF277" s="143"/>
      <c r="DG277" s="143"/>
      <c r="DH277" s="143"/>
      <c r="DI277" s="143"/>
      <c r="DJ277" s="143"/>
      <c r="DK277" s="143"/>
      <c r="DL277" s="143"/>
      <c r="DM277" s="143"/>
      <c r="DN277" s="143"/>
      <c r="DO277" s="143"/>
      <c r="DP277" s="143"/>
      <c r="DQ277" s="143"/>
      <c r="DR277" s="143"/>
      <c r="DS277" s="143"/>
      <c r="DT277" s="143"/>
      <c r="DU277" s="143"/>
      <c r="DV277" s="143"/>
      <c r="DW277" s="143"/>
      <c r="DX277" s="143"/>
      <c r="DY277" s="143"/>
      <c r="DZ277" s="143"/>
      <c r="EA277" s="143"/>
      <c r="EB277" s="143"/>
      <c r="EC277" s="143"/>
      <c r="ED277" s="143"/>
      <c r="EE277" s="143"/>
      <c r="EF277" s="143"/>
      <c r="EG277" s="143"/>
      <c r="EH277" s="143"/>
      <c r="EI277" s="143"/>
      <c r="EJ277" s="143"/>
      <c r="EK277" s="143"/>
      <c r="EL277" s="143"/>
      <c r="EM277" s="143"/>
      <c r="EN277" s="143"/>
      <c r="EO277" s="143"/>
      <c r="EP277" s="143"/>
      <c r="EQ277" s="143"/>
      <c r="ER277" s="143"/>
      <c r="ES277" s="143"/>
      <c r="ET277" s="143"/>
      <c r="EU277" s="143"/>
      <c r="EV277" s="143"/>
      <c r="EW277" s="143"/>
      <c r="EX277" s="143"/>
      <c r="EY277" s="143"/>
      <c r="EZ277" s="143"/>
      <c r="FA277" s="143"/>
      <c r="FB277" s="143"/>
      <c r="FC277" s="143"/>
      <c r="FD277" s="143"/>
      <c r="FE277" s="143"/>
      <c r="FF277" s="143"/>
      <c r="FG277" s="143"/>
      <c r="FH277" s="143"/>
      <c r="FI277" s="143"/>
      <c r="FJ277" s="143"/>
      <c r="FK277" s="143"/>
      <c r="FL277" s="143"/>
      <c r="FM277" s="143"/>
      <c r="FN277" s="143"/>
      <c r="FO277" s="143"/>
      <c r="FP277" s="143"/>
      <c r="FQ277" s="143"/>
      <c r="FR277" s="143"/>
      <c r="FS277" s="143"/>
      <c r="FT277" s="143"/>
      <c r="FU277" s="143"/>
      <c r="FV277" s="143"/>
      <c r="FW277" s="143"/>
      <c r="FX277" s="143"/>
      <c r="FY277" s="143"/>
      <c r="FZ277" s="143"/>
      <c r="GA277" s="143"/>
      <c r="GB277" s="143"/>
      <c r="GC277" s="143"/>
      <c r="GD277" s="143"/>
      <c r="GE277" s="143"/>
      <c r="GF277" s="143"/>
      <c r="GG277" s="143"/>
      <c r="GH277" s="143"/>
      <c r="GI277" s="143"/>
      <c r="GJ277" s="143"/>
      <c r="GK277" s="143"/>
      <c r="GL277" s="143"/>
      <c r="GM277" s="143"/>
      <c r="GN277" s="143"/>
      <c r="GO277" s="143"/>
      <c r="GP277" s="143"/>
      <c r="GQ277" s="143"/>
      <c r="GR277" s="143"/>
      <c r="GS277" s="143"/>
      <c r="GT277" s="143"/>
      <c r="GU277" s="143"/>
      <c r="GV277" s="143"/>
      <c r="GW277" s="143"/>
      <c r="GX277" s="143"/>
      <c r="GY277" s="143"/>
      <c r="GZ277" s="143"/>
      <c r="HA277" s="143"/>
      <c r="HB277" s="143"/>
      <c r="HC277" s="143"/>
      <c r="HD277" s="143"/>
      <c r="HE277" s="143"/>
      <c r="HF277" s="143"/>
      <c r="HG277" s="143"/>
      <c r="HH277" s="143"/>
      <c r="HI277" s="143"/>
      <c r="HJ277" s="143"/>
      <c r="HK277" s="143"/>
      <c r="HL277" s="143"/>
      <c r="HM277" s="143"/>
      <c r="HN277" s="143"/>
      <c r="HO277" s="143"/>
      <c r="HP277" s="143"/>
      <c r="HQ277" s="143"/>
      <c r="HR277" s="143"/>
      <c r="HS277" s="143"/>
      <c r="HT277" s="143"/>
      <c r="HU277" s="143"/>
      <c r="HV277" s="143"/>
      <c r="HW277" s="143"/>
      <c r="HX277" s="143"/>
      <c r="HY277" s="143"/>
      <c r="HZ277" s="143"/>
      <c r="IA277" s="143"/>
      <c r="IB277" s="143"/>
      <c r="IC277" s="143"/>
      <c r="ID277" s="143"/>
      <c r="IE277" s="143"/>
      <c r="IF277" s="143"/>
      <c r="IG277" s="143"/>
      <c r="IH277" s="143"/>
      <c r="II277" s="143"/>
      <c r="IJ277" s="143"/>
      <c r="IK277" s="143"/>
      <c r="IL277" s="143"/>
      <c r="IM277" s="143"/>
      <c r="IN277" s="143"/>
      <c r="IO277" s="143"/>
      <c r="IP277" s="143"/>
      <c r="IQ277" s="143"/>
      <c r="IR277" s="143"/>
      <c r="IS277" s="143"/>
      <c r="IT277" s="143"/>
      <c r="IU277" s="143"/>
      <c r="IV277" s="143"/>
      <c r="IW277" s="143"/>
      <c r="IX277" s="143"/>
      <c r="IY277" s="143"/>
      <c r="IZ277" s="143"/>
      <c r="JA277" s="143"/>
      <c r="JB277" s="143"/>
      <c r="JC277" s="143"/>
      <c r="JD277" s="143"/>
      <c r="JE277" s="143"/>
      <c r="JF277" s="143"/>
      <c r="JG277" s="143"/>
      <c r="JH277" s="143"/>
      <c r="JI277" s="143"/>
    </row>
    <row r="278" spans="1:269" hidden="1" outlineLevel="1">
      <c r="A278" s="143"/>
      <c r="B278" s="143"/>
      <c r="C278" s="277"/>
      <c r="D278" s="277"/>
      <c r="E278" s="277"/>
      <c r="F278" s="278"/>
      <c r="G278" s="278"/>
      <c r="H278" s="278"/>
      <c r="I278" s="278"/>
      <c r="J278" s="277"/>
      <c r="K278" s="278"/>
      <c r="L278" s="278"/>
      <c r="M278" s="278"/>
      <c r="N278" s="278"/>
      <c r="O278" s="277"/>
      <c r="P278" s="278"/>
      <c r="Q278" s="278"/>
      <c r="R278" s="278"/>
      <c r="S278" s="278"/>
      <c r="T278" s="277"/>
      <c r="U278" s="278"/>
      <c r="V278" s="278"/>
      <c r="W278" s="278"/>
      <c r="X278" s="278"/>
      <c r="Y278" s="277"/>
      <c r="Z278" s="278"/>
      <c r="AA278" s="278"/>
      <c r="AB278" s="278"/>
      <c r="AC278" s="278"/>
      <c r="AD278" s="536"/>
      <c r="AE278" s="143"/>
      <c r="AF278" s="143"/>
      <c r="AG278" s="143"/>
      <c r="AH278" s="143"/>
      <c r="AI278" s="279"/>
      <c r="AJ278" s="143"/>
      <c r="AK278" s="143"/>
      <c r="AL278" s="143"/>
      <c r="AM278" s="143"/>
      <c r="AN278" s="279"/>
      <c r="AO278" s="143"/>
      <c r="AP278" s="143"/>
      <c r="AQ278" s="143"/>
      <c r="AR278" s="143"/>
      <c r="AS278" s="279"/>
      <c r="AT278" s="315"/>
      <c r="AU278" s="508"/>
      <c r="AV278" s="143"/>
      <c r="AW278" s="143"/>
      <c r="AX278" s="143"/>
      <c r="AY278" s="143"/>
      <c r="AZ278" s="143"/>
      <c r="BA278" s="143"/>
      <c r="BB278" s="143"/>
      <c r="BC278" s="143"/>
      <c r="BD278" s="143"/>
      <c r="BE278" s="143"/>
      <c r="BF278" s="143"/>
      <c r="BG278" s="143"/>
      <c r="BH278" s="143"/>
      <c r="BI278" s="143"/>
      <c r="BJ278" s="143"/>
      <c r="BK278" s="143"/>
      <c r="BL278" s="143"/>
      <c r="BM278" s="143"/>
      <c r="BN278" s="143"/>
      <c r="BO278" s="143"/>
      <c r="BP278" s="143"/>
      <c r="BQ278" s="143"/>
      <c r="BR278" s="143"/>
      <c r="BS278" s="143"/>
      <c r="BT278" s="143"/>
      <c r="BU278" s="143"/>
      <c r="BV278" s="143"/>
      <c r="BW278" s="143"/>
      <c r="BX278" s="143"/>
      <c r="BY278" s="143"/>
      <c r="BZ278" s="143"/>
      <c r="CA278" s="143"/>
      <c r="CB278" s="143"/>
      <c r="CC278" s="143"/>
      <c r="CD278" s="143"/>
      <c r="CE278" s="143"/>
      <c r="CF278" s="143"/>
      <c r="CG278" s="143"/>
      <c r="CH278" s="143"/>
      <c r="CI278" s="143"/>
      <c r="CJ278" s="143"/>
      <c r="CK278" s="143"/>
      <c r="CL278" s="143"/>
      <c r="CM278" s="143"/>
      <c r="CN278" s="143"/>
      <c r="CO278" s="143"/>
      <c r="CP278" s="143"/>
      <c r="CQ278" s="143"/>
      <c r="CR278" s="143"/>
      <c r="CS278" s="143"/>
      <c r="CT278" s="143"/>
      <c r="CU278" s="143"/>
      <c r="CV278" s="143"/>
      <c r="CW278" s="143"/>
      <c r="CX278" s="143"/>
      <c r="CY278" s="143"/>
      <c r="CZ278" s="143"/>
      <c r="DA278" s="143"/>
      <c r="DB278" s="143"/>
      <c r="DC278" s="143"/>
      <c r="DD278" s="143"/>
      <c r="DE278" s="143"/>
      <c r="DF278" s="143"/>
      <c r="DG278" s="143"/>
      <c r="DH278" s="143"/>
      <c r="DI278" s="143"/>
      <c r="DJ278" s="143"/>
      <c r="DK278" s="143"/>
      <c r="DL278" s="143"/>
      <c r="DM278" s="143"/>
      <c r="DN278" s="143"/>
      <c r="DO278" s="143"/>
      <c r="DP278" s="143"/>
      <c r="DQ278" s="143"/>
      <c r="DR278" s="143"/>
      <c r="DS278" s="143"/>
      <c r="DT278" s="143"/>
      <c r="DU278" s="143"/>
      <c r="DV278" s="143"/>
      <c r="DW278" s="143"/>
      <c r="DX278" s="143"/>
      <c r="DY278" s="143"/>
      <c r="DZ278" s="143"/>
      <c r="EA278" s="143"/>
      <c r="EB278" s="143"/>
      <c r="EC278" s="143"/>
      <c r="ED278" s="143"/>
      <c r="EE278" s="143"/>
      <c r="EF278" s="143"/>
      <c r="EG278" s="143"/>
      <c r="EH278" s="143"/>
      <c r="EI278" s="143"/>
      <c r="EJ278" s="143"/>
      <c r="EK278" s="143"/>
      <c r="EL278" s="143"/>
      <c r="EM278" s="143"/>
      <c r="EN278" s="143"/>
      <c r="EO278" s="143"/>
      <c r="EP278" s="143"/>
      <c r="EQ278" s="143"/>
      <c r="ER278" s="143"/>
      <c r="ES278" s="143"/>
      <c r="ET278" s="143"/>
      <c r="EU278" s="143"/>
      <c r="EV278" s="143"/>
      <c r="EW278" s="143"/>
      <c r="EX278" s="143"/>
      <c r="EY278" s="143"/>
      <c r="EZ278" s="143"/>
      <c r="FA278" s="143"/>
      <c r="FB278" s="143"/>
      <c r="FC278" s="143"/>
      <c r="FD278" s="143"/>
      <c r="FE278" s="143"/>
      <c r="FF278" s="143"/>
      <c r="FG278" s="143"/>
      <c r="FH278" s="143"/>
      <c r="FI278" s="143"/>
      <c r="FJ278" s="143"/>
      <c r="FK278" s="143"/>
      <c r="FL278" s="143"/>
      <c r="FM278" s="143"/>
      <c r="FN278" s="143"/>
      <c r="FO278" s="143"/>
      <c r="FP278" s="143"/>
      <c r="FQ278" s="143"/>
      <c r="FR278" s="143"/>
      <c r="FS278" s="143"/>
      <c r="FT278" s="143"/>
      <c r="FU278" s="143"/>
      <c r="FV278" s="143"/>
      <c r="FW278" s="143"/>
      <c r="FX278" s="143"/>
      <c r="FY278" s="143"/>
      <c r="FZ278" s="143"/>
      <c r="GA278" s="143"/>
      <c r="GB278" s="143"/>
      <c r="GC278" s="143"/>
      <c r="GD278" s="143"/>
      <c r="GE278" s="143"/>
      <c r="GF278" s="143"/>
      <c r="GG278" s="143"/>
      <c r="GH278" s="143"/>
      <c r="GI278" s="143"/>
      <c r="GJ278" s="143"/>
      <c r="GK278" s="143"/>
      <c r="GL278" s="143"/>
      <c r="GM278" s="143"/>
      <c r="GN278" s="143"/>
      <c r="GO278" s="143"/>
      <c r="GP278" s="143"/>
      <c r="GQ278" s="143"/>
      <c r="GR278" s="143"/>
      <c r="GS278" s="143"/>
      <c r="GT278" s="143"/>
      <c r="GU278" s="143"/>
      <c r="GV278" s="143"/>
      <c r="GW278" s="143"/>
      <c r="GX278" s="143"/>
      <c r="GY278" s="143"/>
      <c r="GZ278" s="143"/>
      <c r="HA278" s="143"/>
      <c r="HB278" s="143"/>
      <c r="HC278" s="143"/>
      <c r="HD278" s="143"/>
      <c r="HE278" s="143"/>
      <c r="HF278" s="143"/>
      <c r="HG278" s="143"/>
      <c r="HH278" s="143"/>
      <c r="HI278" s="143"/>
      <c r="HJ278" s="143"/>
      <c r="HK278" s="143"/>
      <c r="HL278" s="143"/>
      <c r="HM278" s="143"/>
      <c r="HN278" s="143"/>
      <c r="HO278" s="143"/>
      <c r="HP278" s="143"/>
      <c r="HQ278" s="143"/>
      <c r="HR278" s="143"/>
      <c r="HS278" s="143"/>
      <c r="HT278" s="143"/>
      <c r="HU278" s="143"/>
      <c r="HV278" s="143"/>
      <c r="HW278" s="143"/>
      <c r="HX278" s="143"/>
      <c r="HY278" s="143"/>
      <c r="HZ278" s="143"/>
      <c r="IA278" s="143"/>
      <c r="IB278" s="143"/>
      <c r="IC278" s="143"/>
      <c r="ID278" s="143"/>
      <c r="IE278" s="143"/>
      <c r="IF278" s="143"/>
      <c r="IG278" s="143"/>
      <c r="IH278" s="143"/>
      <c r="II278" s="143"/>
      <c r="IJ278" s="143"/>
      <c r="IK278" s="143"/>
      <c r="IL278" s="143"/>
      <c r="IM278" s="143"/>
      <c r="IN278" s="143"/>
      <c r="IO278" s="143"/>
      <c r="IP278" s="143"/>
      <c r="IQ278" s="143"/>
      <c r="IR278" s="143"/>
      <c r="IS278" s="143"/>
      <c r="IT278" s="143"/>
      <c r="IU278" s="143"/>
      <c r="IV278" s="143"/>
      <c r="IW278" s="143"/>
      <c r="IX278" s="143"/>
      <c r="IY278" s="143"/>
      <c r="IZ278" s="143"/>
      <c r="JA278" s="143"/>
      <c r="JB278" s="143"/>
      <c r="JC278" s="143"/>
      <c r="JD278" s="143"/>
      <c r="JE278" s="143"/>
      <c r="JF278" s="143"/>
      <c r="JG278" s="143"/>
      <c r="JH278" s="143"/>
      <c r="JI278" s="143"/>
    </row>
    <row r="279" spans="1:269" s="149" customFormat="1" hidden="1" outlineLevel="1">
      <c r="A279" s="52" t="s">
        <v>214</v>
      </c>
      <c r="B279" s="53"/>
      <c r="C279" s="54"/>
      <c r="D279" s="54"/>
      <c r="E279" s="54"/>
      <c r="F279" s="54"/>
      <c r="G279" s="54"/>
      <c r="H279" s="54"/>
      <c r="I279" s="54"/>
      <c r="J279" s="54"/>
      <c r="K279" s="54"/>
      <c r="L279" s="54"/>
      <c r="M279" s="54"/>
      <c r="N279" s="54"/>
      <c r="O279" s="54"/>
      <c r="P279" s="54"/>
      <c r="Q279" s="54"/>
      <c r="R279" s="54"/>
      <c r="S279" s="54"/>
      <c r="T279" s="54"/>
      <c r="U279" s="54"/>
      <c r="V279" s="54"/>
      <c r="W279" s="54"/>
      <c r="X279" s="54"/>
      <c r="Y279" s="54"/>
      <c r="Z279" s="54"/>
      <c r="AA279" s="54"/>
      <c r="AB279" s="54"/>
      <c r="AC279" s="55"/>
      <c r="AD279" s="55"/>
      <c r="AE279" s="55"/>
      <c r="AF279" s="55"/>
      <c r="AG279" s="55"/>
      <c r="AH279" s="55"/>
      <c r="AI279" s="55"/>
      <c r="AJ279" s="55"/>
      <c r="AK279" s="55"/>
      <c r="AL279" s="55"/>
      <c r="AM279" s="55"/>
      <c r="AN279" s="55"/>
      <c r="AO279" s="55"/>
      <c r="AP279" s="55"/>
      <c r="AQ279" s="55"/>
      <c r="AR279" s="55"/>
      <c r="AS279" s="55"/>
      <c r="AT279" s="317"/>
      <c r="AU279" s="50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c r="CE279" s="3"/>
      <c r="CF279" s="3"/>
      <c r="CG279" s="3"/>
      <c r="CH279" s="3"/>
      <c r="CI279" s="3"/>
      <c r="CJ279" s="3"/>
      <c r="CK279" s="3"/>
      <c r="CL279" s="3"/>
      <c r="CM279" s="3"/>
      <c r="CN279" s="3"/>
      <c r="CO279" s="3"/>
      <c r="CP279" s="3"/>
      <c r="CQ279" s="3"/>
      <c r="CR279" s="3"/>
      <c r="CS279" s="3"/>
      <c r="CT279" s="3"/>
      <c r="CU279" s="3"/>
      <c r="CV279" s="3"/>
      <c r="CW279" s="3"/>
      <c r="CX279" s="3"/>
      <c r="CY279" s="3"/>
      <c r="CZ279" s="3"/>
      <c r="DA279" s="3"/>
      <c r="DB279" s="3"/>
      <c r="DC279" s="3"/>
      <c r="DD279" s="3"/>
      <c r="DE279" s="3"/>
      <c r="DF279" s="3"/>
      <c r="DG279" s="3"/>
      <c r="DH279" s="3"/>
      <c r="DI279" s="3"/>
      <c r="DJ279" s="3"/>
      <c r="DK279" s="3"/>
      <c r="DL279" s="3"/>
      <c r="DM279" s="3"/>
      <c r="DN279" s="3"/>
      <c r="DO279" s="3"/>
      <c r="DP279" s="3"/>
      <c r="DQ279" s="3"/>
      <c r="DR279" s="3"/>
      <c r="DS279" s="3"/>
      <c r="DT279" s="3"/>
      <c r="DU279" s="3"/>
      <c r="DV279" s="3"/>
      <c r="DW279" s="3"/>
      <c r="DX279" s="3"/>
      <c r="DY279" s="3"/>
      <c r="DZ279" s="3"/>
      <c r="EA279" s="3"/>
      <c r="EB279" s="3"/>
      <c r="EC279" s="3"/>
      <c r="ED279" s="3"/>
      <c r="EE279" s="3"/>
      <c r="EF279" s="3"/>
      <c r="EG279" s="3"/>
      <c r="EH279" s="3"/>
      <c r="EI279" s="3"/>
      <c r="EJ279" s="3"/>
      <c r="EK279" s="3"/>
      <c r="EL279" s="3"/>
      <c r="EM279" s="3"/>
      <c r="EN279" s="3"/>
      <c r="EO279" s="3"/>
      <c r="EP279" s="3"/>
      <c r="EQ279" s="3"/>
      <c r="ER279" s="3"/>
      <c r="ES279" s="3"/>
      <c r="ET279" s="3"/>
      <c r="EU279" s="3"/>
      <c r="EV279" s="3"/>
      <c r="EW279" s="3"/>
      <c r="EX279" s="3"/>
      <c r="EY279" s="3"/>
      <c r="EZ279" s="3"/>
      <c r="FA279" s="3"/>
      <c r="FB279" s="3"/>
      <c r="FC279" s="3"/>
      <c r="FD279" s="3"/>
      <c r="FE279" s="3"/>
      <c r="FF279" s="3"/>
      <c r="FG279" s="3"/>
      <c r="FH279" s="3"/>
      <c r="FI279" s="3"/>
      <c r="FJ279" s="3"/>
      <c r="FK279" s="3"/>
      <c r="FL279" s="3"/>
      <c r="FM279" s="3"/>
      <c r="FN279" s="3"/>
      <c r="FO279" s="3"/>
      <c r="FP279" s="3"/>
      <c r="FQ279" s="3"/>
      <c r="FR279" s="3"/>
      <c r="FS279" s="3"/>
      <c r="FT279" s="3"/>
      <c r="FU279" s="3"/>
      <c r="FV279" s="3"/>
      <c r="FW279" s="3"/>
      <c r="FX279" s="3"/>
      <c r="FY279" s="3"/>
      <c r="FZ279" s="3"/>
      <c r="GA279" s="3"/>
      <c r="GB279" s="3"/>
      <c r="GC279" s="3"/>
      <c r="GD279" s="3"/>
      <c r="GE279" s="3"/>
      <c r="GF279" s="3"/>
      <c r="GG279" s="3"/>
      <c r="GH279" s="3"/>
      <c r="GI279" s="3"/>
      <c r="GJ279" s="3"/>
      <c r="GK279" s="3"/>
      <c r="GL279" s="3"/>
      <c r="GM279" s="3"/>
      <c r="GN279" s="3"/>
      <c r="GO279" s="3"/>
      <c r="GP279" s="3"/>
      <c r="GQ279" s="3"/>
      <c r="GR279" s="3"/>
      <c r="GS279" s="3"/>
      <c r="GT279" s="3"/>
      <c r="GU279" s="3"/>
      <c r="GV279" s="3"/>
      <c r="GW279" s="3"/>
      <c r="GX279" s="3"/>
      <c r="GY279" s="3"/>
      <c r="GZ279" s="3"/>
      <c r="HA279" s="3"/>
      <c r="HB279" s="3"/>
      <c r="HC279" s="3"/>
      <c r="HD279" s="3"/>
      <c r="HE279" s="3"/>
      <c r="HF279" s="3"/>
      <c r="HG279" s="3"/>
      <c r="HH279" s="3"/>
      <c r="HI279" s="3"/>
      <c r="HJ279" s="3"/>
      <c r="HK279" s="3"/>
      <c r="HL279" s="3"/>
      <c r="HM279" s="3"/>
      <c r="HN279" s="3"/>
      <c r="HO279" s="3"/>
      <c r="HP279" s="3"/>
      <c r="HQ279" s="3"/>
      <c r="HR279" s="3"/>
      <c r="HS279" s="3"/>
      <c r="HT279" s="3"/>
      <c r="HU279" s="3"/>
      <c r="HV279" s="3"/>
      <c r="HW279" s="3"/>
      <c r="HX279" s="3"/>
      <c r="HY279" s="3"/>
      <c r="HZ279" s="3"/>
      <c r="IA279" s="3"/>
      <c r="IB279" s="3"/>
      <c r="IC279" s="3"/>
      <c r="ID279" s="3"/>
      <c r="IE279" s="3"/>
      <c r="IF279" s="3"/>
      <c r="IG279" s="3"/>
      <c r="IH279" s="3"/>
      <c r="II279" s="3"/>
      <c r="IJ279" s="3"/>
      <c r="IK279" s="3"/>
      <c r="IL279" s="3"/>
      <c r="IM279" s="3"/>
      <c r="IN279" s="3"/>
      <c r="IO279" s="3"/>
      <c r="IP279" s="3"/>
      <c r="IQ279" s="3"/>
      <c r="IR279" s="3"/>
      <c r="IS279" s="3"/>
      <c r="IT279" s="3"/>
      <c r="IU279" s="3"/>
      <c r="IV279" s="3"/>
      <c r="IW279" s="3"/>
      <c r="IX279" s="3"/>
      <c r="IY279" s="3"/>
      <c r="IZ279" s="3"/>
      <c r="JA279" s="3"/>
      <c r="JB279" s="3"/>
      <c r="JC279" s="3"/>
      <c r="JD279" s="3"/>
      <c r="JE279" s="3"/>
      <c r="JF279" s="3"/>
      <c r="JG279" s="3"/>
      <c r="JH279" s="3"/>
      <c r="JI279" s="3"/>
    </row>
    <row r="280" spans="1:269" hidden="1" outlineLevel="1">
      <c r="A280" s="143"/>
      <c r="B280" s="143"/>
      <c r="C280" s="277"/>
      <c r="D280" s="277"/>
      <c r="E280" s="277"/>
      <c r="F280" s="278"/>
      <c r="G280" s="278"/>
      <c r="H280" s="278"/>
      <c r="I280" s="278"/>
      <c r="J280" s="277"/>
      <c r="K280" s="278"/>
      <c r="L280" s="278"/>
      <c r="M280" s="278"/>
      <c r="N280" s="278"/>
      <c r="O280" s="277"/>
      <c r="P280" s="278"/>
      <c r="Q280" s="278"/>
      <c r="R280" s="278"/>
      <c r="S280" s="278"/>
      <c r="T280" s="277"/>
      <c r="U280" s="278"/>
      <c r="V280" s="278"/>
      <c r="W280" s="278"/>
      <c r="X280" s="278"/>
      <c r="Y280" s="277"/>
      <c r="Z280" s="278"/>
      <c r="AA280" s="278"/>
      <c r="AB280" s="278"/>
      <c r="AC280" s="278"/>
      <c r="AD280" s="536"/>
      <c r="AE280" s="143"/>
      <c r="AF280" s="143"/>
      <c r="AG280" s="143"/>
      <c r="AH280" s="143"/>
      <c r="AI280" s="279"/>
      <c r="AJ280" s="143"/>
      <c r="AK280" s="143"/>
      <c r="AL280" s="143"/>
      <c r="AM280" s="143"/>
      <c r="AN280" s="279"/>
      <c r="AO280" s="143"/>
      <c r="AP280" s="143"/>
      <c r="AQ280" s="143"/>
      <c r="AR280" s="143"/>
      <c r="AS280" s="279"/>
      <c r="AT280" s="315"/>
      <c r="AU280" s="508"/>
      <c r="AV280" s="143"/>
      <c r="AW280" s="143"/>
      <c r="AX280" s="143"/>
      <c r="AY280" s="143"/>
      <c r="AZ280" s="143"/>
      <c r="BA280" s="143"/>
      <c r="BB280" s="143"/>
      <c r="BC280" s="143"/>
      <c r="BD280" s="143"/>
      <c r="BE280" s="143"/>
      <c r="BF280" s="143"/>
      <c r="BG280" s="143"/>
      <c r="BH280" s="143"/>
      <c r="BI280" s="143"/>
      <c r="BJ280" s="143"/>
      <c r="BK280" s="143"/>
      <c r="BL280" s="143"/>
      <c r="BM280" s="143"/>
      <c r="BN280" s="143"/>
      <c r="BO280" s="143"/>
      <c r="BP280" s="143"/>
      <c r="BQ280" s="143"/>
      <c r="BR280" s="143"/>
      <c r="BS280" s="143"/>
      <c r="BT280" s="143"/>
      <c r="BU280" s="143"/>
      <c r="BV280" s="143"/>
      <c r="BW280" s="143"/>
      <c r="BX280" s="143"/>
      <c r="BY280" s="143"/>
      <c r="BZ280" s="143"/>
      <c r="CA280" s="143"/>
      <c r="CB280" s="143"/>
      <c r="CC280" s="143"/>
      <c r="CD280" s="143"/>
      <c r="CE280" s="143"/>
      <c r="CF280" s="143"/>
      <c r="CG280" s="143"/>
      <c r="CH280" s="143"/>
      <c r="CI280" s="143"/>
      <c r="CJ280" s="143"/>
      <c r="CK280" s="143"/>
      <c r="CL280" s="143"/>
      <c r="CM280" s="143"/>
      <c r="CN280" s="143"/>
      <c r="CO280" s="143"/>
      <c r="CP280" s="143"/>
      <c r="CQ280" s="143"/>
      <c r="CR280" s="143"/>
      <c r="CS280" s="143"/>
      <c r="CT280" s="143"/>
      <c r="CU280" s="143"/>
      <c r="CV280" s="143"/>
      <c r="CW280" s="143"/>
      <c r="CX280" s="143"/>
      <c r="CY280" s="143"/>
      <c r="CZ280" s="143"/>
      <c r="DA280" s="143"/>
      <c r="DB280" s="143"/>
      <c r="DC280" s="143"/>
      <c r="DD280" s="143"/>
      <c r="DE280" s="143"/>
      <c r="DF280" s="143"/>
      <c r="DG280" s="143"/>
      <c r="DH280" s="143"/>
      <c r="DI280" s="143"/>
      <c r="DJ280" s="143"/>
      <c r="DK280" s="143"/>
      <c r="DL280" s="143"/>
      <c r="DM280" s="143"/>
      <c r="DN280" s="143"/>
      <c r="DO280" s="143"/>
      <c r="DP280" s="143"/>
      <c r="DQ280" s="143"/>
      <c r="DR280" s="143"/>
      <c r="DS280" s="143"/>
      <c r="DT280" s="143"/>
      <c r="DU280" s="143"/>
      <c r="DV280" s="143"/>
      <c r="DW280" s="143"/>
      <c r="DX280" s="143"/>
      <c r="DY280" s="143"/>
      <c r="DZ280" s="143"/>
      <c r="EA280" s="143"/>
      <c r="EB280" s="143"/>
      <c r="EC280" s="143"/>
      <c r="ED280" s="143"/>
      <c r="EE280" s="143"/>
      <c r="EF280" s="143"/>
      <c r="EG280" s="143"/>
      <c r="EH280" s="143"/>
      <c r="EI280" s="143"/>
      <c r="EJ280" s="143"/>
      <c r="EK280" s="143"/>
      <c r="EL280" s="143"/>
      <c r="EM280" s="143"/>
      <c r="EN280" s="143"/>
      <c r="EO280" s="143"/>
      <c r="EP280" s="143"/>
      <c r="EQ280" s="143"/>
      <c r="ER280" s="143"/>
      <c r="ES280" s="143"/>
      <c r="ET280" s="143"/>
      <c r="EU280" s="143"/>
      <c r="EV280" s="143"/>
      <c r="EW280" s="143"/>
      <c r="EX280" s="143"/>
      <c r="EY280" s="143"/>
      <c r="EZ280" s="143"/>
      <c r="FA280" s="143"/>
      <c r="FB280" s="143"/>
      <c r="FC280" s="143"/>
      <c r="FD280" s="143"/>
      <c r="FE280" s="143"/>
      <c r="FF280" s="143"/>
      <c r="FG280" s="143"/>
      <c r="FH280" s="143"/>
      <c r="FI280" s="143"/>
      <c r="FJ280" s="143"/>
      <c r="FK280" s="143"/>
      <c r="FL280" s="143"/>
      <c r="FM280" s="143"/>
      <c r="FN280" s="143"/>
      <c r="FO280" s="143"/>
      <c r="FP280" s="143"/>
      <c r="FQ280" s="143"/>
      <c r="FR280" s="143"/>
      <c r="FS280" s="143"/>
      <c r="FT280" s="143"/>
      <c r="FU280" s="143"/>
      <c r="FV280" s="143"/>
      <c r="FW280" s="143"/>
      <c r="FX280" s="143"/>
      <c r="FY280" s="143"/>
      <c r="FZ280" s="143"/>
      <c r="GA280" s="143"/>
      <c r="GB280" s="143"/>
      <c r="GC280" s="143"/>
      <c r="GD280" s="143"/>
      <c r="GE280" s="143"/>
      <c r="GF280" s="143"/>
      <c r="GG280" s="143"/>
      <c r="GH280" s="143"/>
      <c r="GI280" s="143"/>
      <c r="GJ280" s="143"/>
      <c r="GK280" s="143"/>
      <c r="GL280" s="143"/>
      <c r="GM280" s="143"/>
      <c r="GN280" s="143"/>
      <c r="GO280" s="143"/>
      <c r="GP280" s="143"/>
      <c r="GQ280" s="143"/>
      <c r="GR280" s="143"/>
      <c r="GS280" s="143"/>
      <c r="GT280" s="143"/>
      <c r="GU280" s="143"/>
      <c r="GV280" s="143"/>
      <c r="GW280" s="143"/>
      <c r="GX280" s="143"/>
      <c r="GY280" s="143"/>
      <c r="GZ280" s="143"/>
      <c r="HA280" s="143"/>
      <c r="HB280" s="143"/>
      <c r="HC280" s="143"/>
      <c r="HD280" s="143"/>
      <c r="HE280" s="143"/>
      <c r="HF280" s="143"/>
      <c r="HG280" s="143"/>
      <c r="HH280" s="143"/>
      <c r="HI280" s="143"/>
      <c r="HJ280" s="143"/>
      <c r="HK280" s="143"/>
      <c r="HL280" s="143"/>
      <c r="HM280" s="143"/>
      <c r="HN280" s="143"/>
      <c r="HO280" s="143"/>
      <c r="HP280" s="143"/>
      <c r="HQ280" s="143"/>
      <c r="HR280" s="143"/>
      <c r="HS280" s="143"/>
      <c r="HT280" s="143"/>
      <c r="HU280" s="143"/>
      <c r="HV280" s="143"/>
      <c r="HW280" s="143"/>
      <c r="HX280" s="143"/>
      <c r="HY280" s="143"/>
      <c r="HZ280" s="143"/>
      <c r="IA280" s="143"/>
      <c r="IB280" s="143"/>
      <c r="IC280" s="143"/>
      <c r="ID280" s="143"/>
      <c r="IE280" s="143"/>
      <c r="IF280" s="143"/>
      <c r="IG280" s="143"/>
      <c r="IH280" s="143"/>
      <c r="II280" s="143"/>
      <c r="IJ280" s="143"/>
      <c r="IK280" s="143"/>
      <c r="IL280" s="143"/>
      <c r="IM280" s="143"/>
      <c r="IN280" s="143"/>
      <c r="IO280" s="143"/>
      <c r="IP280" s="143"/>
      <c r="IQ280" s="143"/>
      <c r="IR280" s="143"/>
      <c r="IS280" s="143"/>
      <c r="IT280" s="143"/>
      <c r="IU280" s="143"/>
      <c r="IV280" s="143"/>
      <c r="IW280" s="143"/>
      <c r="IX280" s="143"/>
      <c r="IY280" s="143"/>
      <c r="IZ280" s="143"/>
      <c r="JA280" s="143"/>
      <c r="JB280" s="143"/>
      <c r="JC280" s="143"/>
      <c r="JD280" s="143"/>
      <c r="JE280" s="143"/>
      <c r="JF280" s="143"/>
      <c r="JG280" s="143"/>
      <c r="JH280" s="143"/>
      <c r="JI280" s="143"/>
    </row>
    <row r="281" spans="1:269" hidden="1" outlineLevel="1">
      <c r="A281" s="447" t="s">
        <v>433</v>
      </c>
      <c r="B281" s="143" t="s">
        <v>438</v>
      </c>
      <c r="C281" s="451" t="str" cm="1">
        <f t="array" ref="C281">_xll.VAData($B281, C$4, $A281, "consensus", "CD", "IMPL","PreQ","", "")</f>
        <v>-</v>
      </c>
      <c r="D281" s="451" t="str" cm="1">
        <f t="array" ref="D281">_xll.VAData($B281, D$4, $A281, "consensus", "CD", "IMPL","PreQ","", "")</f>
        <v>-</v>
      </c>
      <c r="E281" s="451" t="str" cm="1">
        <f t="array" ref="E281">_xll.VAData($B281, E$4, $A281, "consensus", "CD", "IMPL","PreQ","", "")</f>
        <v>-</v>
      </c>
      <c r="F281" s="448" t="str" cm="1">
        <f t="array" ref="F281">_xll.VAData($B281, F$4, $A281, "consensus", "CD", "IMPL","PreQ","", "")</f>
        <v>-</v>
      </c>
      <c r="G281" s="448" t="str" cm="1">
        <f t="array" ref="G281">_xll.VAData($B281, G$4, $A281, "consensus", "CD", "IMPL","PreQ","", "")</f>
        <v>-</v>
      </c>
      <c r="H281" s="448" t="str" cm="1">
        <f t="array" ref="H281">_xll.VAData($B281, H$4, $A281, "consensus", "CD", "IMPL","PreQ","", "")</f>
        <v>-</v>
      </c>
      <c r="I281" s="448" t="str" cm="1">
        <f t="array" ref="I281">_xll.VAData($B281, I$4, $A281, "consensus", "CD", "IMPL","PreQ","", "")</f>
        <v>-</v>
      </c>
      <c r="J281" s="451" t="str" cm="1">
        <f t="array" ref="J281">_xll.VAData($B281, J$4, $A281, "consensus", "CD", "IMPL","PreQ","", "")</f>
        <v>-</v>
      </c>
      <c r="K281" s="448" t="str" cm="1">
        <f t="array" ref="K281">_xll.VAData($B281, K$4, $A281, "consensus", "CD", "IMPL","PreQ","", "")</f>
        <v>-</v>
      </c>
      <c r="L281" s="448" t="str" cm="1">
        <f t="array" ref="L281">_xll.VAData($B281, L$4, $A281, "consensus", "CD", "IMPL","PreQ","", "")</f>
        <v>-</v>
      </c>
      <c r="M281" s="448" t="str" cm="1">
        <f t="array" ref="M281">_xll.VAData($B281, M$4, $A281, "consensus", "CD", "IMPL","PreQ","", "")</f>
        <v>-</v>
      </c>
      <c r="N281" s="448" t="str" cm="1">
        <f t="array" ref="N281">_xll.VAData($B281, N$4, $A281, "consensus", "CD", "IMPL","PreQ","", "")</f>
        <v>-</v>
      </c>
      <c r="O281" s="451" t="str" cm="1">
        <f t="array" ref="O281">_xll.VAData($B281, O$4, $A281, "consensus", "CD", "IMPL","PreQ","", "")</f>
        <v>-</v>
      </c>
      <c r="P281" s="448" t="str" cm="1">
        <f t="array" ref="P281">_xll.VAData($B281, P$4, $A281, "consensus", "CD", "IMPL","PreQ","", "")</f>
        <v>-</v>
      </c>
      <c r="Q281" s="448" t="str" cm="1">
        <f t="array" ref="Q281">_xll.VAData($B281, Q$4, $A281, "consensus", "CD", "IMPL","PreQ","", "")</f>
        <v>-</v>
      </c>
      <c r="R281" s="448" cm="1">
        <f t="array" ref="R281">_xll.VAData($B281, R$4, $A281, "consensus", "CD", "IMPL","PreQ","", "")</f>
        <v>19263.687695468067</v>
      </c>
      <c r="S281" s="448" cm="1">
        <f t="array" ref="S281">_xll.VAData($B281, S$4, $A281, "consensus", "CD", "IMPL","PreQ","", "")</f>
        <v>20316.980835222763</v>
      </c>
      <c r="T281" s="451" cm="1">
        <f t="array" ref="T281">_xll.VAData($B281, T$4, $A281, "consensus", "CD", "IMPL","PreQ","", "")</f>
        <v>20316.980835222763</v>
      </c>
      <c r="U281" s="448" cm="1">
        <f t="array" ref="U281">_xll.VAData($B281, U$4, $A281, "consensus", "CD", "IMPL","PreQ","", "")</f>
        <v>21828.155183601186</v>
      </c>
      <c r="V281" s="448" cm="1">
        <f t="array" ref="V281">_xll.VAData($B281, V$4, $A281, "consensus", "CD", "IMPL","PreQ","", "")</f>
        <v>23248.367197836302</v>
      </c>
      <c r="W281" s="448" cm="1">
        <f t="array" ref="W281">_xll.VAData($B281, W$4, $A281, "consensus", "CD", "IMPL","PreQ","", "")</f>
        <v>24208.166750634875</v>
      </c>
      <c r="X281" s="448" cm="1">
        <f t="array" ref="X281">_xll.VAData($B281, X$4, $A281, "consensus", "CD", "IMPL","PreQ","", "")</f>
        <v>26168.729385747116</v>
      </c>
      <c r="Y281" s="451" cm="1">
        <f t="array" ref="Y281">_xll.VAData($B281, Y$4, $A281, "consensus", "CD", "IMPL","PreQ","", "")</f>
        <v>26168.729385747116</v>
      </c>
      <c r="Z281" s="448" cm="1">
        <f t="array" ref="Z281">_xll.VAData($B281, Z$4, $A281, "consensus", "CD", "IMPL","PreQ","", "")</f>
        <v>26726.150859385376</v>
      </c>
      <c r="AA281" s="448" cm="1">
        <f t="array" ref="AA281">_xll.VAData($B281, AA$4, $A281, "consensus", "CD", "IMPL","PreQ","", "")</f>
        <v>29009.215499469086</v>
      </c>
      <c r="AB281" s="448" cm="1">
        <f t="array" ref="AB281">_xll.VAData($B281, AB$4, $A281, "consensus", "CD", "IMPL","PreQ","", "")</f>
        <v>31451.479295848127</v>
      </c>
      <c r="AC281" s="448"/>
      <c r="AD281" s="449"/>
      <c r="AE281" s="448"/>
      <c r="AF281" s="448"/>
      <c r="AG281" s="143"/>
      <c r="AH281" s="143"/>
      <c r="AI281" s="279"/>
      <c r="AJ281" s="143"/>
      <c r="AK281" s="143"/>
      <c r="AL281" s="143"/>
      <c r="AM281" s="143"/>
      <c r="AN281" s="279"/>
      <c r="AO281" s="143"/>
      <c r="AP281" s="143"/>
      <c r="AQ281" s="143"/>
      <c r="AR281" s="143"/>
      <c r="AS281" s="279"/>
      <c r="AT281" s="315"/>
      <c r="AU281" s="508"/>
      <c r="AV281" s="143"/>
      <c r="AW281" s="143"/>
      <c r="AX281" s="143"/>
      <c r="AY281" s="143"/>
      <c r="AZ281" s="143"/>
      <c r="BA281" s="143"/>
      <c r="BB281" s="143"/>
      <c r="BC281" s="143"/>
      <c r="BD281" s="143"/>
      <c r="BE281" s="143"/>
      <c r="BF281" s="143"/>
      <c r="BG281" s="143"/>
      <c r="BH281" s="143"/>
      <c r="BI281" s="143"/>
      <c r="BJ281" s="143"/>
      <c r="BK281" s="143"/>
      <c r="BL281" s="143"/>
      <c r="BM281" s="143"/>
      <c r="BN281" s="143"/>
      <c r="BO281" s="143"/>
      <c r="BP281" s="143"/>
      <c r="BQ281" s="143"/>
      <c r="BR281" s="143"/>
      <c r="BS281" s="143"/>
      <c r="BT281" s="143"/>
      <c r="BU281" s="143"/>
      <c r="BV281" s="143"/>
      <c r="BW281" s="143"/>
      <c r="BX281" s="143"/>
      <c r="BY281" s="143"/>
      <c r="BZ281" s="143"/>
      <c r="CA281" s="143"/>
      <c r="CB281" s="143"/>
      <c r="CC281" s="143"/>
      <c r="CD281" s="143"/>
      <c r="CE281" s="143"/>
      <c r="CF281" s="143"/>
      <c r="CG281" s="143"/>
      <c r="CH281" s="143"/>
      <c r="CI281" s="143"/>
      <c r="CJ281" s="143"/>
      <c r="CK281" s="143"/>
      <c r="CL281" s="143"/>
      <c r="CM281" s="143"/>
      <c r="CN281" s="143"/>
      <c r="CO281" s="143"/>
      <c r="CP281" s="143"/>
      <c r="CQ281" s="143"/>
      <c r="CR281" s="143"/>
      <c r="CS281" s="143"/>
      <c r="CT281" s="143"/>
      <c r="CU281" s="143"/>
      <c r="CV281" s="143"/>
      <c r="CW281" s="143"/>
      <c r="CX281" s="143"/>
      <c r="CY281" s="143"/>
      <c r="CZ281" s="143"/>
      <c r="DA281" s="143"/>
      <c r="DB281" s="143"/>
      <c r="DC281" s="143"/>
      <c r="DD281" s="143"/>
      <c r="DE281" s="143"/>
      <c r="DF281" s="143"/>
      <c r="DG281" s="143"/>
      <c r="DH281" s="143"/>
      <c r="DI281" s="143"/>
      <c r="DJ281" s="143"/>
      <c r="DK281" s="143"/>
      <c r="DL281" s="143"/>
      <c r="DM281" s="143"/>
      <c r="DN281" s="143"/>
      <c r="DO281" s="143"/>
      <c r="DP281" s="143"/>
      <c r="DQ281" s="143"/>
      <c r="DR281" s="143"/>
      <c r="DS281" s="143"/>
      <c r="DT281" s="143"/>
      <c r="DU281" s="143"/>
      <c r="DV281" s="143"/>
      <c r="DW281" s="143"/>
      <c r="DX281" s="143"/>
      <c r="DY281" s="143"/>
      <c r="DZ281" s="143"/>
      <c r="EA281" s="143"/>
      <c r="EB281" s="143"/>
      <c r="EC281" s="143"/>
      <c r="ED281" s="143"/>
      <c r="EE281" s="143"/>
      <c r="EF281" s="143"/>
      <c r="EG281" s="143"/>
      <c r="EH281" s="143"/>
      <c r="EI281" s="143"/>
      <c r="EJ281" s="143"/>
      <c r="EK281" s="143"/>
      <c r="EL281" s="143"/>
      <c r="EM281" s="143"/>
      <c r="EN281" s="143"/>
      <c r="EO281" s="143"/>
      <c r="EP281" s="143"/>
      <c r="EQ281" s="143"/>
      <c r="ER281" s="143"/>
      <c r="ES281" s="143"/>
      <c r="ET281" s="143"/>
      <c r="EU281" s="143"/>
      <c r="EV281" s="143"/>
      <c r="EW281" s="143"/>
      <c r="EX281" s="143"/>
      <c r="EY281" s="143"/>
      <c r="EZ281" s="143"/>
      <c r="FA281" s="143"/>
      <c r="FB281" s="143"/>
      <c r="FC281" s="143"/>
      <c r="FD281" s="143"/>
      <c r="FE281" s="143"/>
      <c r="FF281" s="143"/>
      <c r="FG281" s="143"/>
      <c r="FH281" s="143"/>
      <c r="FI281" s="143"/>
      <c r="FJ281" s="143"/>
      <c r="FK281" s="143"/>
      <c r="FL281" s="143"/>
      <c r="FM281" s="143"/>
      <c r="FN281" s="143"/>
      <c r="FO281" s="143"/>
      <c r="FP281" s="143"/>
      <c r="FQ281" s="143"/>
      <c r="FR281" s="143"/>
      <c r="FS281" s="143"/>
      <c r="FT281" s="143"/>
      <c r="FU281" s="143"/>
      <c r="FV281" s="143"/>
      <c r="FW281" s="143"/>
      <c r="FX281" s="143"/>
      <c r="FY281" s="143"/>
      <c r="FZ281" s="143"/>
      <c r="GA281" s="143"/>
      <c r="GB281" s="143"/>
      <c r="GC281" s="143"/>
      <c r="GD281" s="143"/>
      <c r="GE281" s="143"/>
      <c r="GF281" s="143"/>
      <c r="GG281" s="143"/>
      <c r="GH281" s="143"/>
      <c r="GI281" s="143"/>
      <c r="GJ281" s="143"/>
      <c r="GK281" s="143"/>
      <c r="GL281" s="143"/>
      <c r="GM281" s="143"/>
      <c r="GN281" s="143"/>
      <c r="GO281" s="143"/>
      <c r="GP281" s="143"/>
      <c r="GQ281" s="143"/>
      <c r="GR281" s="143"/>
      <c r="GS281" s="143"/>
      <c r="GT281" s="143"/>
      <c r="GU281" s="143"/>
      <c r="GV281" s="143"/>
      <c r="GW281" s="143"/>
      <c r="GX281" s="143"/>
      <c r="GY281" s="143"/>
      <c r="GZ281" s="143"/>
      <c r="HA281" s="143"/>
      <c r="HB281" s="143"/>
      <c r="HC281" s="143"/>
      <c r="HD281" s="143"/>
      <c r="HE281" s="143"/>
      <c r="HF281" s="143"/>
      <c r="HG281" s="143"/>
      <c r="HH281" s="143"/>
      <c r="HI281" s="143"/>
      <c r="HJ281" s="143"/>
      <c r="HK281" s="143"/>
      <c r="HL281" s="143"/>
      <c r="HM281" s="143"/>
      <c r="HN281" s="143"/>
      <c r="HO281" s="143"/>
      <c r="HP281" s="143"/>
      <c r="HQ281" s="143"/>
      <c r="HR281" s="143"/>
      <c r="HS281" s="143"/>
      <c r="HT281" s="143"/>
      <c r="HU281" s="143"/>
      <c r="HV281" s="143"/>
      <c r="HW281" s="143"/>
      <c r="HX281" s="143"/>
      <c r="HY281" s="143"/>
      <c r="HZ281" s="143"/>
      <c r="IA281" s="143"/>
      <c r="IB281" s="143"/>
      <c r="IC281" s="143"/>
      <c r="ID281" s="143"/>
      <c r="IE281" s="143"/>
      <c r="IF281" s="143"/>
      <c r="IG281" s="143"/>
      <c r="IH281" s="143"/>
      <c r="II281" s="143"/>
      <c r="IJ281" s="143"/>
      <c r="IK281" s="143"/>
      <c r="IL281" s="143"/>
      <c r="IM281" s="143"/>
      <c r="IN281" s="143"/>
      <c r="IO281" s="143"/>
      <c r="IP281" s="143"/>
      <c r="IQ281" s="143"/>
      <c r="IR281" s="143"/>
      <c r="IS281" s="143"/>
      <c r="IT281" s="143"/>
      <c r="IU281" s="143"/>
      <c r="IV281" s="143"/>
      <c r="IW281" s="143"/>
      <c r="IX281" s="143"/>
      <c r="IY281" s="143"/>
      <c r="IZ281" s="143"/>
      <c r="JA281" s="143"/>
      <c r="JB281" s="143"/>
      <c r="JC281" s="143"/>
      <c r="JD281" s="143"/>
      <c r="JE281" s="143"/>
      <c r="JF281" s="143"/>
      <c r="JG281" s="143"/>
      <c r="JH281" s="143"/>
      <c r="JI281" s="143"/>
    </row>
    <row r="282" spans="1:269" hidden="1" outlineLevel="1">
      <c r="A282" s="450" t="s">
        <v>434</v>
      </c>
      <c r="B282" s="143" t="s">
        <v>438</v>
      </c>
      <c r="C282" s="451" t="str" cm="1">
        <f t="array" ref="C282">_xll.VAData($B282, C$4, $A282, "consensus", "CD", "IMPL","PreQ","", "")</f>
        <v>-</v>
      </c>
      <c r="D282" s="451" t="str" cm="1">
        <f t="array" ref="D282">_xll.VAData($B282, D$4, $A282, "consensus", "CD", "IMPL","PreQ","", "")</f>
        <v>-</v>
      </c>
      <c r="E282" s="451" t="str" cm="1">
        <f t="array" ref="E282">_xll.VAData($B282, E$4, $A282, "consensus", "CD", "IMPL","PreQ","", "")</f>
        <v>-</v>
      </c>
      <c r="F282" s="448" t="str" cm="1">
        <f t="array" ref="F282">_xll.VAData($B282, F$4, $A282, "consensus", "CD", "IMPL","PreQ","", "")</f>
        <v>-</v>
      </c>
      <c r="G282" s="448" t="str" cm="1">
        <f t="array" ref="G282">_xll.VAData($B282, G$4, $A282, "consensus", "CD", "IMPL","PreQ","", "")</f>
        <v>-</v>
      </c>
      <c r="H282" s="448" t="str" cm="1">
        <f t="array" ref="H282">_xll.VAData($B282, H$4, $A282, "consensus", "CD", "IMPL","PreQ","", "")</f>
        <v>-</v>
      </c>
      <c r="I282" s="448" t="str" cm="1">
        <f t="array" ref="I282">_xll.VAData($B282, I$4, $A282, "consensus", "CD", "IMPL","PreQ","", "")</f>
        <v>-</v>
      </c>
      <c r="J282" s="451" t="str" cm="1">
        <f t="array" ref="J282">_xll.VAData($B282, J$4, $A282, "consensus", "CD", "IMPL","PreQ","", "")</f>
        <v>-</v>
      </c>
      <c r="K282" s="448" t="str" cm="1">
        <f t="array" ref="K282">_xll.VAData($B282, K$4, $A282, "consensus", "CD", "IMPL","PreQ","", "")</f>
        <v>-</v>
      </c>
      <c r="L282" s="448" t="str" cm="1">
        <f t="array" ref="L282">_xll.VAData($B282, L$4, $A282, "consensus", "CD", "IMPL","PreQ","", "")</f>
        <v>-</v>
      </c>
      <c r="M282" s="448" t="str" cm="1">
        <f t="array" ref="M282">_xll.VAData($B282, M$4, $A282, "consensus", "CD", "IMPL","PreQ","", "")</f>
        <v>-</v>
      </c>
      <c r="N282" s="448" t="str" cm="1">
        <f t="array" ref="N282">_xll.VAData($B282, N$4, $A282, "consensus", "CD", "IMPL","PreQ","", "")</f>
        <v>-</v>
      </c>
      <c r="O282" s="451" t="str" cm="1">
        <f t="array" ref="O282">_xll.VAData($B282, O$4, $A282, "consensus", "CD", "IMPL","PreQ","", "")</f>
        <v>-</v>
      </c>
      <c r="P282" s="448" t="str" cm="1">
        <f t="array" ref="P282">_xll.VAData($B282, P$4, $A282, "consensus", "CD", "IMPL","PreQ","", "")</f>
        <v>-</v>
      </c>
      <c r="Q282" s="448" t="str" cm="1">
        <f t="array" ref="Q282">_xll.VAData($B282, Q$4, $A282, "consensus", "CD", "IMPL","PreQ","", "")</f>
        <v>-</v>
      </c>
      <c r="R282" s="448" cm="1">
        <f t="array" ref="R282">_xll.VAData($B282, R$4, $A282, "consensus", "CD", "IMPL","PreQ","", "")</f>
        <v>18700.106289357533</v>
      </c>
      <c r="S282" s="448" cm="1">
        <f t="array" ref="S282">_xll.VAData($B282, S$4, $A282, "consensus", "CD", "IMPL","PreQ","", "")</f>
        <v>19672.080504418951</v>
      </c>
      <c r="T282" s="451" cm="1">
        <f t="array" ref="T282">_xll.VAData($B282, T$4, $A282, "consensus", "CD", "IMPL","PreQ","", "")</f>
        <v>17969.217070144761</v>
      </c>
      <c r="U282" s="448" cm="1">
        <f t="array" ref="U282">_xll.VAData($B282, U$4, $A282, "consensus", "CD", "IMPL","PreQ","", "")</f>
        <v>21140.970361595762</v>
      </c>
      <c r="V282" s="448" cm="1">
        <f t="array" ref="V282">_xll.VAData($B282, V$4, $A282, "consensus", "CD", "IMPL","PreQ","", "")</f>
        <v>22516.725175429212</v>
      </c>
      <c r="W282" s="448" cm="1">
        <f t="array" ref="W282">_xll.VAData($B282, W$4, $A282, "consensus", "CD", "IMPL","PreQ","", "")</f>
        <v>23568.5624518285</v>
      </c>
      <c r="X282" s="448" cm="1">
        <f t="array" ref="X282">_xll.VAData($B282, X$4, $A282, "consensus", "CD", "IMPL","PreQ","", "")</f>
        <v>25320.864692873558</v>
      </c>
      <c r="Y282" s="451" cm="1">
        <f t="array" ref="Y282">_xll.VAData($B282, Y$4, $A282, "consensus", "CD", "IMPL","PreQ","", "")</f>
        <v>23239.893819196684</v>
      </c>
      <c r="Z282" s="448" cm="1">
        <f t="array" ref="Z282">_xll.VAData($B282, Z$4, $A282, "consensus", "CD", "IMPL","PreQ","", "")</f>
        <v>26031.073409125776</v>
      </c>
      <c r="AA282" s="448" cm="1">
        <f t="array" ref="AA282">_xll.VAData($B282, AA$4, $A282, "consensus", "CD", "IMPL","PreQ","", "")</f>
        <v>28207.60572916763</v>
      </c>
      <c r="AB282" s="448" cm="1">
        <f t="array" ref="AB282">_xll.VAData($B282, AB$4, $A282, "consensus", "CD", "IMPL","PreQ","", "")</f>
        <v>30566.739647924067</v>
      </c>
      <c r="AC282" s="448"/>
      <c r="AD282" s="449"/>
      <c r="AE282" s="448"/>
      <c r="AF282" s="448"/>
      <c r="AG282" s="143"/>
      <c r="AH282" s="143"/>
      <c r="AI282" s="279"/>
      <c r="AJ282" s="143"/>
      <c r="AK282" s="143"/>
      <c r="AL282" s="143"/>
      <c r="AM282" s="143"/>
      <c r="AN282" s="279"/>
      <c r="AO282" s="143"/>
      <c r="AP282" s="143"/>
      <c r="AQ282" s="143"/>
      <c r="AR282" s="143"/>
      <c r="AS282" s="279"/>
      <c r="AT282" s="315"/>
      <c r="AU282" s="508"/>
      <c r="AV282" s="143"/>
      <c r="AW282" s="143"/>
      <c r="AX282" s="143"/>
      <c r="AY282" s="143"/>
      <c r="AZ282" s="143"/>
      <c r="BA282" s="143"/>
      <c r="BB282" s="143"/>
      <c r="BC282" s="143"/>
      <c r="BD282" s="143"/>
      <c r="BE282" s="143"/>
      <c r="BF282" s="143"/>
      <c r="BG282" s="143"/>
      <c r="BH282" s="143"/>
      <c r="BI282" s="143"/>
      <c r="BJ282" s="143"/>
      <c r="BK282" s="143"/>
      <c r="BL282" s="143"/>
      <c r="BM282" s="143"/>
      <c r="BN282" s="143"/>
      <c r="BO282" s="143"/>
      <c r="BP282" s="143"/>
      <c r="BQ282" s="143"/>
      <c r="BR282" s="143"/>
      <c r="BS282" s="143"/>
      <c r="BT282" s="143"/>
      <c r="BU282" s="143"/>
      <c r="BV282" s="143"/>
      <c r="BW282" s="143"/>
      <c r="BX282" s="143"/>
      <c r="BY282" s="143"/>
      <c r="BZ282" s="143"/>
      <c r="CA282" s="143"/>
      <c r="CB282" s="143"/>
      <c r="CC282" s="143"/>
      <c r="CD282" s="143"/>
      <c r="CE282" s="143"/>
      <c r="CF282" s="143"/>
      <c r="CG282" s="143"/>
      <c r="CH282" s="143"/>
      <c r="CI282" s="143"/>
      <c r="CJ282" s="143"/>
      <c r="CK282" s="143"/>
      <c r="CL282" s="143"/>
      <c r="CM282" s="143"/>
      <c r="CN282" s="143"/>
      <c r="CO282" s="143"/>
      <c r="CP282" s="143"/>
      <c r="CQ282" s="143"/>
      <c r="CR282" s="143"/>
      <c r="CS282" s="143"/>
      <c r="CT282" s="143"/>
      <c r="CU282" s="143"/>
      <c r="CV282" s="143"/>
      <c r="CW282" s="143"/>
      <c r="CX282" s="143"/>
      <c r="CY282" s="143"/>
      <c r="CZ282" s="143"/>
      <c r="DA282" s="143"/>
      <c r="DB282" s="143"/>
      <c r="DC282" s="143"/>
      <c r="DD282" s="143"/>
      <c r="DE282" s="143"/>
      <c r="DF282" s="143"/>
      <c r="DG282" s="143"/>
      <c r="DH282" s="143"/>
      <c r="DI282" s="143"/>
      <c r="DJ282" s="143"/>
      <c r="DK282" s="143"/>
      <c r="DL282" s="143"/>
      <c r="DM282" s="143"/>
      <c r="DN282" s="143"/>
      <c r="DO282" s="143"/>
      <c r="DP282" s="143"/>
      <c r="DQ282" s="143"/>
      <c r="DR282" s="143"/>
      <c r="DS282" s="143"/>
      <c r="DT282" s="143"/>
      <c r="DU282" s="143"/>
      <c r="DV282" s="143"/>
      <c r="DW282" s="143"/>
      <c r="DX282" s="143"/>
      <c r="DY282" s="143"/>
      <c r="DZ282" s="143"/>
      <c r="EA282" s="143"/>
      <c r="EB282" s="143"/>
      <c r="EC282" s="143"/>
      <c r="ED282" s="143"/>
      <c r="EE282" s="143"/>
      <c r="EF282" s="143"/>
      <c r="EG282" s="143"/>
      <c r="EH282" s="143"/>
      <c r="EI282" s="143"/>
      <c r="EJ282" s="143"/>
      <c r="EK282" s="143"/>
      <c r="EL282" s="143"/>
      <c r="EM282" s="143"/>
      <c r="EN282" s="143"/>
      <c r="EO282" s="143"/>
      <c r="EP282" s="143"/>
      <c r="EQ282" s="143"/>
      <c r="ER282" s="143"/>
      <c r="ES282" s="143"/>
      <c r="ET282" s="143"/>
      <c r="EU282" s="143"/>
      <c r="EV282" s="143"/>
      <c r="EW282" s="143"/>
      <c r="EX282" s="143"/>
      <c r="EY282" s="143"/>
      <c r="EZ282" s="143"/>
      <c r="FA282" s="143"/>
      <c r="FB282" s="143"/>
      <c r="FC282" s="143"/>
      <c r="FD282" s="143"/>
      <c r="FE282" s="143"/>
      <c r="FF282" s="143"/>
      <c r="FG282" s="143"/>
      <c r="FH282" s="143"/>
      <c r="FI282" s="143"/>
      <c r="FJ282" s="143"/>
      <c r="FK282" s="143"/>
      <c r="FL282" s="143"/>
      <c r="FM282" s="143"/>
      <c r="FN282" s="143"/>
      <c r="FO282" s="143"/>
      <c r="FP282" s="143"/>
      <c r="FQ282" s="143"/>
      <c r="FR282" s="143"/>
      <c r="FS282" s="143"/>
      <c r="FT282" s="143"/>
      <c r="FU282" s="143"/>
      <c r="FV282" s="143"/>
      <c r="FW282" s="143"/>
      <c r="FX282" s="143"/>
      <c r="FY282" s="143"/>
      <c r="FZ282" s="143"/>
      <c r="GA282" s="143"/>
      <c r="GB282" s="143"/>
      <c r="GC282" s="143"/>
      <c r="GD282" s="143"/>
      <c r="GE282" s="143"/>
      <c r="GF282" s="143"/>
      <c r="GG282" s="143"/>
      <c r="GH282" s="143"/>
      <c r="GI282" s="143"/>
      <c r="GJ282" s="143"/>
      <c r="GK282" s="143"/>
      <c r="GL282" s="143"/>
      <c r="GM282" s="143"/>
      <c r="GN282" s="143"/>
      <c r="GO282" s="143"/>
      <c r="GP282" s="143"/>
      <c r="GQ282" s="143"/>
      <c r="GR282" s="143"/>
      <c r="GS282" s="143"/>
      <c r="GT282" s="143"/>
      <c r="GU282" s="143"/>
      <c r="GV282" s="143"/>
      <c r="GW282" s="143"/>
      <c r="GX282" s="143"/>
      <c r="GY282" s="143"/>
      <c r="GZ282" s="143"/>
      <c r="HA282" s="143"/>
      <c r="HB282" s="143"/>
      <c r="HC282" s="143"/>
      <c r="HD282" s="143"/>
      <c r="HE282" s="143"/>
      <c r="HF282" s="143"/>
      <c r="HG282" s="143"/>
      <c r="HH282" s="143"/>
      <c r="HI282" s="143"/>
      <c r="HJ282" s="143"/>
      <c r="HK282" s="143"/>
      <c r="HL282" s="143"/>
      <c r="HM282" s="143"/>
      <c r="HN282" s="143"/>
      <c r="HO282" s="143"/>
      <c r="HP282" s="143"/>
      <c r="HQ282" s="143"/>
      <c r="HR282" s="143"/>
      <c r="HS282" s="143"/>
      <c r="HT282" s="143"/>
      <c r="HU282" s="143"/>
      <c r="HV282" s="143"/>
      <c r="HW282" s="143"/>
      <c r="HX282" s="143"/>
      <c r="HY282" s="143"/>
      <c r="HZ282" s="143"/>
      <c r="IA282" s="143"/>
      <c r="IB282" s="143"/>
      <c r="IC282" s="143"/>
      <c r="ID282" s="143"/>
      <c r="IE282" s="143"/>
      <c r="IF282" s="143"/>
      <c r="IG282" s="143"/>
      <c r="IH282" s="143"/>
      <c r="II282" s="143"/>
      <c r="IJ282" s="143"/>
      <c r="IK282" s="143"/>
      <c r="IL282" s="143"/>
      <c r="IM282" s="143"/>
      <c r="IN282" s="143"/>
      <c r="IO282" s="143"/>
      <c r="IP282" s="143"/>
      <c r="IQ282" s="143"/>
      <c r="IR282" s="143"/>
      <c r="IS282" s="143"/>
      <c r="IT282" s="143"/>
      <c r="IU282" s="143"/>
      <c r="IV282" s="143"/>
      <c r="IW282" s="143"/>
      <c r="IX282" s="143"/>
      <c r="IY282" s="143"/>
      <c r="IZ282" s="143"/>
      <c r="JA282" s="143"/>
      <c r="JB282" s="143"/>
      <c r="JC282" s="143"/>
      <c r="JD282" s="143"/>
      <c r="JE282" s="143"/>
      <c r="JF282" s="143"/>
      <c r="JG282" s="143"/>
      <c r="JH282" s="143"/>
      <c r="JI282" s="143"/>
    </row>
    <row r="283" spans="1:269" hidden="1" outlineLevel="1">
      <c r="A283" s="450"/>
      <c r="B283" s="143"/>
      <c r="C283" s="451"/>
      <c r="D283" s="451"/>
      <c r="E283" s="451"/>
      <c r="F283" s="448"/>
      <c r="G283" s="448"/>
      <c r="H283" s="448"/>
      <c r="I283" s="448"/>
      <c r="J283" s="451"/>
      <c r="K283" s="448"/>
      <c r="L283" s="448"/>
      <c r="M283" s="448"/>
      <c r="N283" s="448"/>
      <c r="O283" s="451"/>
      <c r="P283" s="448"/>
      <c r="Q283" s="448"/>
      <c r="R283" s="448"/>
      <c r="S283" s="448"/>
      <c r="T283" s="451"/>
      <c r="U283" s="448"/>
      <c r="V283" s="448"/>
      <c r="W283" s="448"/>
      <c r="X283" s="448"/>
      <c r="Y283" s="451"/>
      <c r="Z283" s="448"/>
      <c r="AA283" s="448"/>
      <c r="AB283" s="448"/>
      <c r="AC283" s="448"/>
      <c r="AD283" s="449"/>
      <c r="AE283" s="448"/>
      <c r="AF283" s="448"/>
      <c r="AG283" s="143"/>
      <c r="AH283" s="143"/>
      <c r="AI283" s="279"/>
      <c r="AJ283" s="143"/>
      <c r="AK283" s="143"/>
      <c r="AL283" s="143"/>
      <c r="AM283" s="143"/>
      <c r="AN283" s="279"/>
      <c r="AO283" s="143"/>
      <c r="AP283" s="143"/>
      <c r="AQ283" s="143"/>
      <c r="AR283" s="143"/>
      <c r="AS283" s="279"/>
      <c r="AT283" s="315"/>
      <c r="AU283" s="508"/>
      <c r="AV283" s="143"/>
      <c r="AW283" s="143"/>
      <c r="AX283" s="143"/>
      <c r="AY283" s="143"/>
      <c r="AZ283" s="143"/>
      <c r="BA283" s="143"/>
      <c r="BB283" s="143"/>
      <c r="BC283" s="143"/>
      <c r="BD283" s="143"/>
      <c r="BE283" s="143"/>
      <c r="BF283" s="143"/>
      <c r="BG283" s="143"/>
      <c r="BH283" s="143"/>
      <c r="BI283" s="143"/>
      <c r="BJ283" s="143"/>
      <c r="BK283" s="143"/>
      <c r="BL283" s="143"/>
      <c r="BM283" s="143"/>
      <c r="BN283" s="143"/>
      <c r="BO283" s="143"/>
      <c r="BP283" s="143"/>
      <c r="BQ283" s="143"/>
      <c r="BR283" s="143"/>
      <c r="BS283" s="143"/>
      <c r="BT283" s="143"/>
      <c r="BU283" s="143"/>
      <c r="BV283" s="143"/>
      <c r="BW283" s="143"/>
      <c r="BX283" s="143"/>
      <c r="BY283" s="143"/>
      <c r="BZ283" s="143"/>
      <c r="CA283" s="143"/>
      <c r="CB283" s="143"/>
      <c r="CC283" s="143"/>
      <c r="CD283" s="143"/>
      <c r="CE283" s="143"/>
      <c r="CF283" s="143"/>
      <c r="CG283" s="143"/>
      <c r="CH283" s="143"/>
      <c r="CI283" s="143"/>
      <c r="CJ283" s="143"/>
      <c r="CK283" s="143"/>
      <c r="CL283" s="143"/>
      <c r="CM283" s="143"/>
      <c r="CN283" s="143"/>
      <c r="CO283" s="143"/>
      <c r="CP283" s="143"/>
      <c r="CQ283" s="143"/>
      <c r="CR283" s="143"/>
      <c r="CS283" s="143"/>
      <c r="CT283" s="143"/>
      <c r="CU283" s="143"/>
      <c r="CV283" s="143"/>
      <c r="CW283" s="143"/>
      <c r="CX283" s="143"/>
      <c r="CY283" s="143"/>
      <c r="CZ283" s="143"/>
      <c r="DA283" s="143"/>
      <c r="DB283" s="143"/>
      <c r="DC283" s="143"/>
      <c r="DD283" s="143"/>
      <c r="DE283" s="143"/>
      <c r="DF283" s="143"/>
      <c r="DG283" s="143"/>
      <c r="DH283" s="143"/>
      <c r="DI283" s="143"/>
      <c r="DJ283" s="143"/>
      <c r="DK283" s="143"/>
      <c r="DL283" s="143"/>
      <c r="DM283" s="143"/>
      <c r="DN283" s="143"/>
      <c r="DO283" s="143"/>
      <c r="DP283" s="143"/>
      <c r="DQ283" s="143"/>
      <c r="DR283" s="143"/>
      <c r="DS283" s="143"/>
      <c r="DT283" s="143"/>
      <c r="DU283" s="143"/>
      <c r="DV283" s="143"/>
      <c r="DW283" s="143"/>
      <c r="DX283" s="143"/>
      <c r="DY283" s="143"/>
      <c r="DZ283" s="143"/>
      <c r="EA283" s="143"/>
      <c r="EB283" s="143"/>
      <c r="EC283" s="143"/>
      <c r="ED283" s="143"/>
      <c r="EE283" s="143"/>
      <c r="EF283" s="143"/>
      <c r="EG283" s="143"/>
      <c r="EH283" s="143"/>
      <c r="EI283" s="143"/>
      <c r="EJ283" s="143"/>
      <c r="EK283" s="143"/>
      <c r="EL283" s="143"/>
      <c r="EM283" s="143"/>
      <c r="EN283" s="143"/>
      <c r="EO283" s="143"/>
      <c r="EP283" s="143"/>
      <c r="EQ283" s="143"/>
      <c r="ER283" s="143"/>
      <c r="ES283" s="143"/>
      <c r="ET283" s="143"/>
      <c r="EU283" s="143"/>
      <c r="EV283" s="143"/>
      <c r="EW283" s="143"/>
      <c r="EX283" s="143"/>
      <c r="EY283" s="143"/>
      <c r="EZ283" s="143"/>
      <c r="FA283" s="143"/>
      <c r="FB283" s="143"/>
      <c r="FC283" s="143"/>
      <c r="FD283" s="143"/>
      <c r="FE283" s="143"/>
      <c r="FF283" s="143"/>
      <c r="FG283" s="143"/>
      <c r="FH283" s="143"/>
      <c r="FI283" s="143"/>
      <c r="FJ283" s="143"/>
      <c r="FK283" s="143"/>
      <c r="FL283" s="143"/>
      <c r="FM283" s="143"/>
      <c r="FN283" s="143"/>
      <c r="FO283" s="143"/>
      <c r="FP283" s="143"/>
      <c r="FQ283" s="143"/>
      <c r="FR283" s="143"/>
      <c r="FS283" s="143"/>
      <c r="FT283" s="143"/>
      <c r="FU283" s="143"/>
      <c r="FV283" s="143"/>
      <c r="FW283" s="143"/>
      <c r="FX283" s="143"/>
      <c r="FY283" s="143"/>
      <c r="FZ283" s="143"/>
      <c r="GA283" s="143"/>
      <c r="GB283" s="143"/>
      <c r="GC283" s="143"/>
      <c r="GD283" s="143"/>
      <c r="GE283" s="143"/>
      <c r="GF283" s="143"/>
      <c r="GG283" s="143"/>
      <c r="GH283" s="143"/>
      <c r="GI283" s="143"/>
      <c r="GJ283" s="143"/>
      <c r="GK283" s="143"/>
      <c r="GL283" s="143"/>
      <c r="GM283" s="143"/>
      <c r="GN283" s="143"/>
      <c r="GO283" s="143"/>
      <c r="GP283" s="143"/>
      <c r="GQ283" s="143"/>
      <c r="GR283" s="143"/>
      <c r="GS283" s="143"/>
      <c r="GT283" s="143"/>
      <c r="GU283" s="143"/>
      <c r="GV283" s="143"/>
      <c r="GW283" s="143"/>
      <c r="GX283" s="143"/>
      <c r="GY283" s="143"/>
      <c r="GZ283" s="143"/>
      <c r="HA283" s="143"/>
      <c r="HB283" s="143"/>
      <c r="HC283" s="143"/>
      <c r="HD283" s="143"/>
      <c r="HE283" s="143"/>
      <c r="HF283" s="143"/>
      <c r="HG283" s="143"/>
      <c r="HH283" s="143"/>
      <c r="HI283" s="143"/>
      <c r="HJ283" s="143"/>
      <c r="HK283" s="143"/>
      <c r="HL283" s="143"/>
      <c r="HM283" s="143"/>
      <c r="HN283" s="143"/>
      <c r="HO283" s="143"/>
      <c r="HP283" s="143"/>
      <c r="HQ283" s="143"/>
      <c r="HR283" s="143"/>
      <c r="HS283" s="143"/>
      <c r="HT283" s="143"/>
      <c r="HU283" s="143"/>
      <c r="HV283" s="143"/>
      <c r="HW283" s="143"/>
      <c r="HX283" s="143"/>
      <c r="HY283" s="143"/>
      <c r="HZ283" s="143"/>
      <c r="IA283" s="143"/>
      <c r="IB283" s="143"/>
      <c r="IC283" s="143"/>
      <c r="ID283" s="143"/>
      <c r="IE283" s="143"/>
      <c r="IF283" s="143"/>
      <c r="IG283" s="143"/>
      <c r="IH283" s="143"/>
      <c r="II283" s="143"/>
      <c r="IJ283" s="143"/>
      <c r="IK283" s="143"/>
      <c r="IL283" s="143"/>
      <c r="IM283" s="143"/>
      <c r="IN283" s="143"/>
      <c r="IO283" s="143"/>
      <c r="IP283" s="143"/>
      <c r="IQ283" s="143"/>
      <c r="IR283" s="143"/>
      <c r="IS283" s="143"/>
      <c r="IT283" s="143"/>
      <c r="IU283" s="143"/>
      <c r="IV283" s="143"/>
      <c r="IW283" s="143"/>
      <c r="IX283" s="143"/>
      <c r="IY283" s="143"/>
      <c r="IZ283" s="143"/>
      <c r="JA283" s="143"/>
      <c r="JB283" s="143"/>
      <c r="JC283" s="143"/>
      <c r="JD283" s="143"/>
      <c r="JE283" s="143"/>
      <c r="JF283" s="143"/>
      <c r="JG283" s="143"/>
      <c r="JH283" s="143"/>
      <c r="JI283" s="143"/>
    </row>
    <row r="284" spans="1:269" hidden="1" outlineLevel="1">
      <c r="A284" s="450" t="s">
        <v>435</v>
      </c>
      <c r="B284" s="143" t="s">
        <v>438</v>
      </c>
      <c r="C284" s="451" t="str" cm="1">
        <f t="array" ref="C284">_xll.VAData($B284, C$4, $A284, "consensus", "CD", "IMPL","PreQ","", "")</f>
        <v>-</v>
      </c>
      <c r="D284" s="451" t="str" cm="1">
        <f t="array" ref="D284">_xll.VAData($B284, D$4, $A284, "consensus", "CD", "IMPL","PreQ","", "")</f>
        <v>-</v>
      </c>
      <c r="E284" s="451" t="str" cm="1">
        <f t="array" ref="E284">_xll.VAData($B284, E$4, $A284, "consensus", "CD", "IMPL","PreQ","", "")</f>
        <v>-</v>
      </c>
      <c r="F284" s="448" t="str" cm="1">
        <f t="array" ref="F284">_xll.VAData($B284, F$4, $A284, "consensus", "CD", "IMPL","PreQ","", "")</f>
        <v>-</v>
      </c>
      <c r="G284" s="448" t="str" cm="1">
        <f t="array" ref="G284">_xll.VAData($B284, G$4, $A284, "consensus", "CD", "IMPL","PreQ","", "")</f>
        <v>-</v>
      </c>
      <c r="H284" s="448" t="str" cm="1">
        <f t="array" ref="H284">_xll.VAData($B284, H$4, $A284, "consensus", "CD", "IMPL","PreQ","", "")</f>
        <v>-</v>
      </c>
      <c r="I284" s="448" t="str" cm="1">
        <f t="array" ref="I284">_xll.VAData($B284, I$4, $A284, "consensus", "CD", "IMPL","PreQ","", "")</f>
        <v>-</v>
      </c>
      <c r="J284" s="451" t="str" cm="1">
        <f t="array" ref="J284">_xll.VAData($B284, J$4, $A284, "consensus", "CD", "IMPL","PreQ","", "")</f>
        <v>-</v>
      </c>
      <c r="K284" s="448" t="str" cm="1">
        <f t="array" ref="K284">_xll.VAData($B284, K$4, $A284, "consensus", "CD", "IMPL","PreQ","", "")</f>
        <v>-</v>
      </c>
      <c r="L284" s="448" t="str" cm="1">
        <f t="array" ref="L284">_xll.VAData($B284, L$4, $A284, "consensus", "CD", "IMPL","PreQ","", "")</f>
        <v>-</v>
      </c>
      <c r="M284" s="448" t="str" cm="1">
        <f t="array" ref="M284">_xll.VAData($B284, M$4, $A284, "consensus", "CD", "IMPL","PreQ","", "")</f>
        <v>-</v>
      </c>
      <c r="N284" s="448" t="str" cm="1">
        <f t="array" ref="N284">_xll.VAData($B284, N$4, $A284, "consensus", "CD", "IMPL","PreQ","", "")</f>
        <v>-</v>
      </c>
      <c r="O284" s="451" t="str" cm="1">
        <f t="array" ref="O284">_xll.VAData($B284, O$4, $A284, "consensus", "CD", "IMPL","PreQ","", "")</f>
        <v>-</v>
      </c>
      <c r="P284" s="448" t="str" cm="1">
        <f t="array" ref="P284">_xll.VAData($B284, P$4, $A284, "consensus", "CD", "IMPL","PreQ","", "")</f>
        <v>-</v>
      </c>
      <c r="Q284" s="448" t="str" cm="1">
        <f t="array" ref="Q284">_xll.VAData($B284, Q$4, $A284, "consensus", "CD", "IMPL","PreQ","", "")</f>
        <v>-</v>
      </c>
      <c r="R284" s="448" cm="1">
        <f t="array" ref="R284">_xll.VAData($B284, R$4, $A284, "consensus", "CD", "IMPL","PreQ","", "")</f>
        <v>58.043875698482815</v>
      </c>
      <c r="S284" s="448" cm="1">
        <f t="array" ref="S284">_xll.VAData($B284, S$4, $A284, "consensus", "CD", "IMPL","PreQ","", "")</f>
        <v>71.107527658980104</v>
      </c>
      <c r="T284" s="451" cm="1">
        <f t="array" ref="T284">_xll.VAData($B284, T$4, $A284, "consensus", "CD", "IMPL","PreQ","", "")</f>
        <v>253.29978128061839</v>
      </c>
      <c r="U284" s="448" cm="1">
        <f t="array" ref="U284">_xll.VAData($B284, U$4, $A284, "consensus", "CD", "IMPL","PreQ","", "")</f>
        <v>68.393327656215689</v>
      </c>
      <c r="V284" s="448" cm="1">
        <f t="array" ref="V284">_xll.VAData($B284, V$4, $A284, "consensus", "CD", "IMPL","PreQ","", "")</f>
        <v>83.033337115823741</v>
      </c>
      <c r="W284" s="448" cm="1">
        <f t="array" ref="W284">_xll.VAData($B284, W$4, $A284, "consensus", "CD", "IMPL","PreQ","", "")</f>
        <v>80.855919918748071</v>
      </c>
      <c r="X284" s="448" cm="1">
        <f t="array" ref="X284">_xll.VAData($B284, X$4, $A284, "consensus", "CD", "IMPL","PreQ","", "")</f>
        <v>94.997746850562621</v>
      </c>
      <c r="Y284" s="451" cm="1">
        <f t="array" ref="Y284">_xll.VAData($B284, Y$4, $A284, "consensus", "CD", "IMPL","PreQ","", "")</f>
        <v>362.74374685056267</v>
      </c>
      <c r="Z284" s="448" cm="1">
        <f t="array" ref="Z284">_xll.VAData($B284, Z$4, $A284, "consensus", "CD", "IMPL","PreQ","", "")</f>
        <v>90.678963149167288</v>
      </c>
      <c r="AA284" s="448" cm="1">
        <f t="array" ref="AA284">_xll.VAData($B284, AA$4, $A284, "consensus", "CD", "IMPL","PreQ","", "")</f>
        <v>116.29489053923351</v>
      </c>
      <c r="AB284" s="448" cm="1">
        <f t="array" ref="AB284">_xll.VAData($B284, AB$4, $A284, "consensus", "CD", "IMPL","PreQ","", "")</f>
        <v>115.66772525782829</v>
      </c>
      <c r="AC284" s="448"/>
      <c r="AD284" s="449"/>
      <c r="AE284" s="448"/>
      <c r="AF284" s="448"/>
      <c r="AG284" s="143"/>
      <c r="AH284" s="143"/>
      <c r="AI284" s="279"/>
      <c r="AJ284" s="143"/>
      <c r="AK284" s="143"/>
      <c r="AL284" s="143"/>
      <c r="AM284" s="143"/>
      <c r="AN284" s="279"/>
      <c r="AO284" s="143"/>
      <c r="AP284" s="143"/>
      <c r="AQ284" s="143"/>
      <c r="AR284" s="143"/>
      <c r="AS284" s="279"/>
      <c r="AT284" s="315"/>
      <c r="AU284" s="508"/>
      <c r="AV284" s="143"/>
      <c r="AW284" s="143"/>
      <c r="AX284" s="143"/>
      <c r="AY284" s="143"/>
      <c r="AZ284" s="143"/>
      <c r="BA284" s="143"/>
      <c r="BB284" s="143"/>
      <c r="BC284" s="143"/>
      <c r="BD284" s="143"/>
      <c r="BE284" s="143"/>
      <c r="BF284" s="143"/>
      <c r="BG284" s="143"/>
      <c r="BH284" s="143"/>
      <c r="BI284" s="143"/>
      <c r="BJ284" s="143"/>
      <c r="BK284" s="143"/>
      <c r="BL284" s="143"/>
      <c r="BM284" s="143"/>
      <c r="BN284" s="143"/>
      <c r="BO284" s="143"/>
      <c r="BP284" s="143"/>
      <c r="BQ284" s="143"/>
      <c r="BR284" s="143"/>
      <c r="BS284" s="143"/>
      <c r="BT284" s="143"/>
      <c r="BU284" s="143"/>
      <c r="BV284" s="143"/>
      <c r="BW284" s="143"/>
      <c r="BX284" s="143"/>
      <c r="BY284" s="143"/>
      <c r="BZ284" s="143"/>
      <c r="CA284" s="143"/>
      <c r="CB284" s="143"/>
      <c r="CC284" s="143"/>
      <c r="CD284" s="143"/>
      <c r="CE284" s="143"/>
      <c r="CF284" s="143"/>
      <c r="CG284" s="143"/>
      <c r="CH284" s="143"/>
      <c r="CI284" s="143"/>
      <c r="CJ284" s="143"/>
      <c r="CK284" s="143"/>
      <c r="CL284" s="143"/>
      <c r="CM284" s="143"/>
      <c r="CN284" s="143"/>
      <c r="CO284" s="143"/>
      <c r="CP284" s="143"/>
      <c r="CQ284" s="143"/>
      <c r="CR284" s="143"/>
      <c r="CS284" s="143"/>
      <c r="CT284" s="143"/>
      <c r="CU284" s="143"/>
      <c r="CV284" s="143"/>
      <c r="CW284" s="143"/>
      <c r="CX284" s="143"/>
      <c r="CY284" s="143"/>
      <c r="CZ284" s="143"/>
      <c r="DA284" s="143"/>
      <c r="DB284" s="143"/>
      <c r="DC284" s="143"/>
      <c r="DD284" s="143"/>
      <c r="DE284" s="143"/>
      <c r="DF284" s="143"/>
      <c r="DG284" s="143"/>
      <c r="DH284" s="143"/>
      <c r="DI284" s="143"/>
      <c r="DJ284" s="143"/>
      <c r="DK284" s="143"/>
      <c r="DL284" s="143"/>
      <c r="DM284" s="143"/>
      <c r="DN284" s="143"/>
      <c r="DO284" s="143"/>
      <c r="DP284" s="143"/>
      <c r="DQ284" s="143"/>
      <c r="DR284" s="143"/>
      <c r="DS284" s="143"/>
      <c r="DT284" s="143"/>
      <c r="DU284" s="143"/>
      <c r="DV284" s="143"/>
      <c r="DW284" s="143"/>
      <c r="DX284" s="143"/>
      <c r="DY284" s="143"/>
      <c r="DZ284" s="143"/>
      <c r="EA284" s="143"/>
      <c r="EB284" s="143"/>
      <c r="EC284" s="143"/>
      <c r="ED284" s="143"/>
      <c r="EE284" s="143"/>
      <c r="EF284" s="143"/>
      <c r="EG284" s="143"/>
      <c r="EH284" s="143"/>
      <c r="EI284" s="143"/>
      <c r="EJ284" s="143"/>
      <c r="EK284" s="143"/>
      <c r="EL284" s="143"/>
      <c r="EM284" s="143"/>
      <c r="EN284" s="143"/>
      <c r="EO284" s="143"/>
      <c r="EP284" s="143"/>
      <c r="EQ284" s="143"/>
      <c r="ER284" s="143"/>
      <c r="ES284" s="143"/>
      <c r="ET284" s="143"/>
      <c r="EU284" s="143"/>
      <c r="EV284" s="143"/>
      <c r="EW284" s="143"/>
      <c r="EX284" s="143"/>
      <c r="EY284" s="143"/>
      <c r="EZ284" s="143"/>
      <c r="FA284" s="143"/>
      <c r="FB284" s="143"/>
      <c r="FC284" s="143"/>
      <c r="FD284" s="143"/>
      <c r="FE284" s="143"/>
      <c r="FF284" s="143"/>
      <c r="FG284" s="143"/>
      <c r="FH284" s="143"/>
      <c r="FI284" s="143"/>
      <c r="FJ284" s="143"/>
      <c r="FK284" s="143"/>
      <c r="FL284" s="143"/>
      <c r="FM284" s="143"/>
      <c r="FN284" s="143"/>
      <c r="FO284" s="143"/>
      <c r="FP284" s="143"/>
      <c r="FQ284" s="143"/>
      <c r="FR284" s="143"/>
      <c r="FS284" s="143"/>
      <c r="FT284" s="143"/>
      <c r="FU284" s="143"/>
      <c r="FV284" s="143"/>
      <c r="FW284" s="143"/>
      <c r="FX284" s="143"/>
      <c r="FY284" s="143"/>
      <c r="FZ284" s="143"/>
      <c r="GA284" s="143"/>
      <c r="GB284" s="143"/>
      <c r="GC284" s="143"/>
      <c r="GD284" s="143"/>
      <c r="GE284" s="143"/>
      <c r="GF284" s="143"/>
      <c r="GG284" s="143"/>
      <c r="GH284" s="143"/>
      <c r="GI284" s="143"/>
      <c r="GJ284" s="143"/>
      <c r="GK284" s="143"/>
      <c r="GL284" s="143"/>
      <c r="GM284" s="143"/>
      <c r="GN284" s="143"/>
      <c r="GO284" s="143"/>
      <c r="GP284" s="143"/>
      <c r="GQ284" s="143"/>
      <c r="GR284" s="143"/>
      <c r="GS284" s="143"/>
      <c r="GT284" s="143"/>
      <c r="GU284" s="143"/>
      <c r="GV284" s="143"/>
      <c r="GW284" s="143"/>
      <c r="GX284" s="143"/>
      <c r="GY284" s="143"/>
      <c r="GZ284" s="143"/>
      <c r="HA284" s="143"/>
      <c r="HB284" s="143"/>
      <c r="HC284" s="143"/>
      <c r="HD284" s="143"/>
      <c r="HE284" s="143"/>
      <c r="HF284" s="143"/>
      <c r="HG284" s="143"/>
      <c r="HH284" s="143"/>
      <c r="HI284" s="143"/>
      <c r="HJ284" s="143"/>
      <c r="HK284" s="143"/>
      <c r="HL284" s="143"/>
      <c r="HM284" s="143"/>
      <c r="HN284" s="143"/>
      <c r="HO284" s="143"/>
      <c r="HP284" s="143"/>
      <c r="HQ284" s="143"/>
      <c r="HR284" s="143"/>
      <c r="HS284" s="143"/>
      <c r="HT284" s="143"/>
      <c r="HU284" s="143"/>
      <c r="HV284" s="143"/>
      <c r="HW284" s="143"/>
      <c r="HX284" s="143"/>
      <c r="HY284" s="143"/>
      <c r="HZ284" s="143"/>
      <c r="IA284" s="143"/>
      <c r="IB284" s="143"/>
      <c r="IC284" s="143"/>
      <c r="ID284" s="143"/>
      <c r="IE284" s="143"/>
      <c r="IF284" s="143"/>
      <c r="IG284" s="143"/>
      <c r="IH284" s="143"/>
      <c r="II284" s="143"/>
      <c r="IJ284" s="143"/>
      <c r="IK284" s="143"/>
      <c r="IL284" s="143"/>
      <c r="IM284" s="143"/>
      <c r="IN284" s="143"/>
      <c r="IO284" s="143"/>
      <c r="IP284" s="143"/>
      <c r="IQ284" s="143"/>
      <c r="IR284" s="143"/>
      <c r="IS284" s="143"/>
      <c r="IT284" s="143"/>
      <c r="IU284" s="143"/>
      <c r="IV284" s="143"/>
      <c r="IW284" s="143"/>
      <c r="IX284" s="143"/>
      <c r="IY284" s="143"/>
      <c r="IZ284" s="143"/>
      <c r="JA284" s="143"/>
      <c r="JB284" s="143"/>
      <c r="JC284" s="143"/>
      <c r="JD284" s="143"/>
      <c r="JE284" s="143"/>
      <c r="JF284" s="143"/>
      <c r="JG284" s="143"/>
      <c r="JH284" s="143"/>
      <c r="JI284" s="143"/>
    </row>
    <row r="285" spans="1:269" hidden="1" outlineLevel="1">
      <c r="A285" s="450" t="s">
        <v>436</v>
      </c>
      <c r="B285" s="143" t="s">
        <v>438</v>
      </c>
      <c r="C285" s="451" t="str" cm="1">
        <f t="array" ref="C285">_xll.VAData($B285, C$4, $A285, "consensus", "CD", "IMPL","PreQ","", "")</f>
        <v>-</v>
      </c>
      <c r="D285" s="451" t="str" cm="1">
        <f t="array" ref="D285">_xll.VAData($B285, D$4, $A285, "consensus", "CD", "IMPL","PreQ","", "")</f>
        <v>-</v>
      </c>
      <c r="E285" s="451" t="str" cm="1">
        <f t="array" ref="E285">_xll.VAData($B285, E$4, $A285, "consensus", "CD", "IMPL","PreQ","", "")</f>
        <v>-</v>
      </c>
      <c r="F285" s="448" t="str" cm="1">
        <f t="array" ref="F285">_xll.VAData($B285, F$4, $A285, "consensus", "CD", "IMPL","PreQ","", "")</f>
        <v>-</v>
      </c>
      <c r="G285" s="448" t="str" cm="1">
        <f t="array" ref="G285">_xll.VAData($B285, G$4, $A285, "consensus", "CD", "IMPL","PreQ","", "")</f>
        <v>-</v>
      </c>
      <c r="H285" s="448" t="str" cm="1">
        <f t="array" ref="H285">_xll.VAData($B285, H$4, $A285, "consensus", "CD", "IMPL","PreQ","", "")</f>
        <v>-</v>
      </c>
      <c r="I285" s="448" t="str" cm="1">
        <f t="array" ref="I285">_xll.VAData($B285, I$4, $A285, "consensus", "CD", "IMPL","PreQ","", "")</f>
        <v>-</v>
      </c>
      <c r="J285" s="451" t="str" cm="1">
        <f t="array" ref="J285">_xll.VAData($B285, J$4, $A285, "consensus", "CD", "IMPL","PreQ","", "")</f>
        <v>-</v>
      </c>
      <c r="K285" s="448" t="str" cm="1">
        <f t="array" ref="K285">_xll.VAData($B285, K$4, $A285, "consensus", "CD", "IMPL","PreQ","", "")</f>
        <v>-</v>
      </c>
      <c r="L285" s="448" t="str" cm="1">
        <f t="array" ref="L285">_xll.VAData($B285, L$4, $A285, "consensus", "CD", "IMPL","PreQ","", "")</f>
        <v>-</v>
      </c>
      <c r="M285" s="448" t="str" cm="1">
        <f t="array" ref="M285">_xll.VAData($B285, M$4, $A285, "consensus", "CD", "IMPL","PreQ","", "")</f>
        <v>-</v>
      </c>
      <c r="N285" s="448" t="str" cm="1">
        <f t="array" ref="N285">_xll.VAData($B285, N$4, $A285, "consensus", "CD", "IMPL","PreQ","", "")</f>
        <v>-</v>
      </c>
      <c r="O285" s="451" t="str" cm="1">
        <f t="array" ref="O285">_xll.VAData($B285, O$4, $A285, "consensus", "CD", "IMPL","PreQ","", "")</f>
        <v>-</v>
      </c>
      <c r="P285" s="448" t="str" cm="1">
        <f t="array" ref="P285">_xll.VAData($B285, P$4, $A285, "consensus", "CD", "IMPL","PreQ","", "")</f>
        <v>-</v>
      </c>
      <c r="Q285" s="448" t="str" cm="1">
        <f t="array" ref="Q285">_xll.VAData($B285, Q$4, $A285, "consensus", "CD", "IMPL","PreQ","", "")</f>
        <v>-</v>
      </c>
      <c r="R285" s="448" cm="1">
        <f t="array" ref="R285">_xll.VAData($B285, R$4, $A285, "consensus", "CD", "IMPL","PreQ","", "")</f>
        <v>31.936738749148983</v>
      </c>
      <c r="S285" s="448" cm="1">
        <f t="array" ref="S285">_xll.VAData($B285, S$4, $A285, "consensus", "CD", "IMPL","PreQ","", "")</f>
        <v>34.960568908007687</v>
      </c>
      <c r="T285" s="451" cm="1">
        <f t="array" ref="T285">_xll.VAData($B285, T$4, $A285, "consensus", "CD", "IMPL","PreQ","", "")</f>
        <v>120.41128518505563</v>
      </c>
      <c r="U285" s="448" cm="1">
        <f t="array" ref="U285">_xll.VAData($B285, U$4, $A285, "consensus", "CD", "IMPL","PreQ","", "")</f>
        <v>34.841867217980763</v>
      </c>
      <c r="V285" s="448" cm="1">
        <f t="array" ref="V285">_xll.VAData($B285, V$4, $A285, "consensus", "CD", "IMPL","PreQ","", "")</f>
        <v>38.136360347774634</v>
      </c>
      <c r="W285" s="448" cm="1">
        <f t="array" ref="W285">_xll.VAData($B285, W$4, $A285, "consensus", "CD", "IMPL","PreQ","", "")</f>
        <v>39.325897619675999</v>
      </c>
      <c r="X285" s="448" cm="1">
        <f t="array" ref="X285">_xll.VAData($B285, X$4, $A285, "consensus", "CD", "IMPL","PreQ","", "")</f>
        <v>43.158598006964425</v>
      </c>
      <c r="Y285" s="451" cm="1">
        <f t="array" ref="Y285">_xll.VAData($B285, Y$4, $A285, "consensus", "CD", "IMPL","PreQ","", "")</f>
        <v>155.40759800696449</v>
      </c>
      <c r="Z285" s="448" cm="1">
        <f t="array" ref="Z285">_xll.VAData($B285, Z$4, $A285, "consensus", "CD", "IMPL","PreQ","", "")</f>
        <v>43.093199715035858</v>
      </c>
      <c r="AA285" s="448" cm="1">
        <f t="array" ref="AA285">_xll.VAData($B285, AA$4, $A285, "consensus", "CD", "IMPL","PreQ","", "")</f>
        <v>50.552908935671731</v>
      </c>
      <c r="AB285" s="448" cm="1">
        <f t="array" ref="AB285">_xll.VAData($B285, AB$4, $A285, "consensus", "CD", "IMPL","PreQ","", "")</f>
        <v>55.455766414920305</v>
      </c>
      <c r="AC285" s="448"/>
      <c r="AD285" s="449"/>
      <c r="AE285" s="448"/>
      <c r="AF285" s="448"/>
      <c r="AG285" s="143"/>
      <c r="AH285" s="143"/>
      <c r="AI285" s="279"/>
      <c r="AJ285" s="143"/>
      <c r="AK285" s="143"/>
      <c r="AL285" s="143"/>
      <c r="AM285" s="143"/>
      <c r="AN285" s="279"/>
      <c r="AO285" s="143"/>
      <c r="AP285" s="143"/>
      <c r="AQ285" s="143"/>
      <c r="AR285" s="143"/>
      <c r="AS285" s="279"/>
      <c r="AT285" s="315"/>
      <c r="AU285" s="508"/>
      <c r="AV285" s="143"/>
      <c r="AW285" s="143"/>
      <c r="AX285" s="143"/>
      <c r="AY285" s="143"/>
      <c r="AZ285" s="143"/>
      <c r="BA285" s="143"/>
      <c r="BB285" s="143"/>
      <c r="BC285" s="143"/>
      <c r="BD285" s="143"/>
      <c r="BE285" s="143"/>
      <c r="BF285" s="143"/>
      <c r="BG285" s="143"/>
      <c r="BH285" s="143"/>
      <c r="BI285" s="143"/>
      <c r="BJ285" s="143"/>
      <c r="BK285" s="143"/>
      <c r="BL285" s="143"/>
      <c r="BM285" s="143"/>
      <c r="BN285" s="143"/>
      <c r="BO285" s="143"/>
      <c r="BP285" s="143"/>
      <c r="BQ285" s="143"/>
      <c r="BR285" s="143"/>
      <c r="BS285" s="143"/>
      <c r="BT285" s="143"/>
      <c r="BU285" s="143"/>
      <c r="BV285" s="143"/>
      <c r="BW285" s="143"/>
      <c r="BX285" s="143"/>
      <c r="BY285" s="143"/>
      <c r="BZ285" s="143"/>
      <c r="CA285" s="143"/>
      <c r="CB285" s="143"/>
      <c r="CC285" s="143"/>
      <c r="CD285" s="143"/>
      <c r="CE285" s="143"/>
      <c r="CF285" s="143"/>
      <c r="CG285" s="143"/>
      <c r="CH285" s="143"/>
      <c r="CI285" s="143"/>
      <c r="CJ285" s="143"/>
      <c r="CK285" s="143"/>
      <c r="CL285" s="143"/>
      <c r="CM285" s="143"/>
      <c r="CN285" s="143"/>
      <c r="CO285" s="143"/>
      <c r="CP285" s="143"/>
      <c r="CQ285" s="143"/>
      <c r="CR285" s="143"/>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c r="DO285" s="143"/>
      <c r="DP285" s="143"/>
      <c r="DQ285" s="143"/>
      <c r="DR285" s="143"/>
      <c r="DS285" s="143"/>
      <c r="DT285" s="143"/>
      <c r="DU285" s="143"/>
      <c r="DV285" s="143"/>
      <c r="DW285" s="143"/>
      <c r="DX285" s="143"/>
      <c r="DY285" s="143"/>
      <c r="DZ285" s="143"/>
      <c r="EA285" s="143"/>
      <c r="EB285" s="143"/>
      <c r="EC285" s="143"/>
      <c r="ED285" s="143"/>
      <c r="EE285" s="143"/>
      <c r="EF285" s="143"/>
      <c r="EG285" s="143"/>
      <c r="EH285" s="143"/>
      <c r="EI285" s="143"/>
      <c r="EJ285" s="143"/>
      <c r="EK285" s="143"/>
      <c r="EL285" s="143"/>
      <c r="EM285" s="143"/>
      <c r="EN285" s="143"/>
      <c r="EO285" s="143"/>
      <c r="EP285" s="143"/>
      <c r="EQ285" s="143"/>
      <c r="ER285" s="143"/>
      <c r="ES285" s="143"/>
      <c r="ET285" s="143"/>
      <c r="EU285" s="143"/>
      <c r="EV285" s="143"/>
      <c r="EW285" s="143"/>
      <c r="EX285" s="143"/>
      <c r="EY285" s="143"/>
      <c r="EZ285" s="143"/>
      <c r="FA285" s="143"/>
      <c r="FB285" s="143"/>
      <c r="FC285" s="143"/>
      <c r="FD285" s="143"/>
      <c r="FE285" s="143"/>
      <c r="FF285" s="143"/>
      <c r="FG285" s="143"/>
      <c r="FH285" s="143"/>
      <c r="FI285" s="143"/>
      <c r="FJ285" s="143"/>
      <c r="FK285" s="143"/>
      <c r="FL285" s="143"/>
      <c r="FM285" s="143"/>
      <c r="FN285" s="143"/>
      <c r="FO285" s="143"/>
      <c r="FP285" s="143"/>
      <c r="FQ285" s="143"/>
      <c r="FR285" s="143"/>
      <c r="FS285" s="143"/>
      <c r="FT285" s="143"/>
      <c r="FU285" s="143"/>
      <c r="FV285" s="143"/>
      <c r="FW285" s="143"/>
      <c r="FX285" s="143"/>
      <c r="FY285" s="143"/>
      <c r="FZ285" s="143"/>
      <c r="GA285" s="143"/>
      <c r="GB285" s="143"/>
      <c r="GC285" s="143"/>
      <c r="GD285" s="143"/>
      <c r="GE285" s="143"/>
      <c r="GF285" s="143"/>
      <c r="GG285" s="143"/>
      <c r="GH285" s="143"/>
      <c r="GI285" s="143"/>
      <c r="GJ285" s="143"/>
      <c r="GK285" s="143"/>
      <c r="GL285" s="143"/>
      <c r="GM285" s="143"/>
      <c r="GN285" s="143"/>
      <c r="GO285" s="143"/>
      <c r="GP285" s="143"/>
      <c r="GQ285" s="143"/>
      <c r="GR285" s="143"/>
      <c r="GS285" s="143"/>
      <c r="GT285" s="143"/>
      <c r="GU285" s="143"/>
      <c r="GV285" s="143"/>
      <c r="GW285" s="143"/>
      <c r="GX285" s="143"/>
      <c r="GY285" s="143"/>
      <c r="GZ285" s="143"/>
      <c r="HA285" s="143"/>
      <c r="HB285" s="143"/>
      <c r="HC285" s="143"/>
      <c r="HD285" s="143"/>
      <c r="HE285" s="143"/>
      <c r="HF285" s="143"/>
      <c r="HG285" s="143"/>
      <c r="HH285" s="143"/>
      <c r="HI285" s="143"/>
      <c r="HJ285" s="143"/>
      <c r="HK285" s="143"/>
      <c r="HL285" s="143"/>
      <c r="HM285" s="143"/>
      <c r="HN285" s="143"/>
      <c r="HO285" s="143"/>
      <c r="HP285" s="143"/>
      <c r="HQ285" s="143"/>
      <c r="HR285" s="143"/>
      <c r="HS285" s="143"/>
      <c r="HT285" s="143"/>
      <c r="HU285" s="143"/>
      <c r="HV285" s="143"/>
      <c r="HW285" s="143"/>
      <c r="HX285" s="143"/>
      <c r="HY285" s="143"/>
      <c r="HZ285" s="143"/>
      <c r="IA285" s="143"/>
      <c r="IB285" s="143"/>
      <c r="IC285" s="143"/>
      <c r="ID285" s="143"/>
      <c r="IE285" s="143"/>
      <c r="IF285" s="143"/>
      <c r="IG285" s="143"/>
      <c r="IH285" s="143"/>
      <c r="II285" s="143"/>
      <c r="IJ285" s="143"/>
      <c r="IK285" s="143"/>
      <c r="IL285" s="143"/>
      <c r="IM285" s="143"/>
      <c r="IN285" s="143"/>
      <c r="IO285" s="143"/>
      <c r="IP285" s="143"/>
      <c r="IQ285" s="143"/>
      <c r="IR285" s="143"/>
      <c r="IS285" s="143"/>
      <c r="IT285" s="143"/>
      <c r="IU285" s="143"/>
      <c r="IV285" s="143"/>
      <c r="IW285" s="143"/>
      <c r="IX285" s="143"/>
      <c r="IY285" s="143"/>
      <c r="IZ285" s="143"/>
      <c r="JA285" s="143"/>
      <c r="JB285" s="143"/>
      <c r="JC285" s="143"/>
      <c r="JD285" s="143"/>
      <c r="JE285" s="143"/>
      <c r="JF285" s="143"/>
      <c r="JG285" s="143"/>
      <c r="JH285" s="143"/>
      <c r="JI285" s="143"/>
    </row>
    <row r="286" spans="1:269" hidden="1" outlineLevel="1">
      <c r="A286" s="450"/>
      <c r="B286" s="143"/>
      <c r="C286" s="451"/>
      <c r="D286" s="451"/>
      <c r="E286" s="451"/>
      <c r="F286" s="448"/>
      <c r="G286" s="448"/>
      <c r="H286" s="448"/>
      <c r="I286" s="448"/>
      <c r="J286" s="451"/>
      <c r="K286" s="448"/>
      <c r="L286" s="448"/>
      <c r="M286" s="448"/>
      <c r="N286" s="448"/>
      <c r="O286" s="451"/>
      <c r="P286" s="448"/>
      <c r="Q286" s="448"/>
      <c r="R286" s="448"/>
      <c r="S286" s="448"/>
      <c r="T286" s="451"/>
      <c r="U286" s="448"/>
      <c r="V286" s="448"/>
      <c r="W286" s="448"/>
      <c r="X286" s="448"/>
      <c r="Y286" s="451"/>
      <c r="Z286" s="448"/>
      <c r="AA286" s="448"/>
      <c r="AB286" s="448"/>
      <c r="AC286" s="448"/>
      <c r="AD286" s="449"/>
      <c r="AE286" s="448"/>
      <c r="AF286" s="448"/>
      <c r="AG286" s="143"/>
      <c r="AH286" s="143"/>
      <c r="AI286" s="279"/>
      <c r="AJ286" s="143"/>
      <c r="AK286" s="143"/>
      <c r="AL286" s="143"/>
      <c r="AM286" s="143"/>
      <c r="AN286" s="279"/>
      <c r="AO286" s="143"/>
      <c r="AP286" s="143"/>
      <c r="AQ286" s="143"/>
      <c r="AR286" s="143"/>
      <c r="AS286" s="279"/>
      <c r="AT286" s="315"/>
      <c r="AU286" s="508"/>
      <c r="AV286" s="143"/>
      <c r="AW286" s="143"/>
      <c r="AX286" s="143"/>
      <c r="AY286" s="143"/>
      <c r="AZ286" s="143"/>
      <c r="BA286" s="143"/>
      <c r="BB286" s="143"/>
      <c r="BC286" s="143"/>
      <c r="BD286" s="143"/>
      <c r="BE286" s="143"/>
      <c r="BF286" s="143"/>
      <c r="BG286" s="143"/>
      <c r="BH286" s="143"/>
      <c r="BI286" s="143"/>
      <c r="BJ286" s="143"/>
      <c r="BK286" s="143"/>
      <c r="BL286" s="143"/>
      <c r="BM286" s="143"/>
      <c r="BN286" s="143"/>
      <c r="BO286" s="143"/>
      <c r="BP286" s="143"/>
      <c r="BQ286" s="143"/>
      <c r="BR286" s="143"/>
      <c r="BS286" s="143"/>
      <c r="BT286" s="143"/>
      <c r="BU286" s="143"/>
      <c r="BV286" s="143"/>
      <c r="BW286" s="143"/>
      <c r="BX286" s="143"/>
      <c r="BY286" s="143"/>
      <c r="BZ286" s="143"/>
      <c r="CA286" s="143"/>
      <c r="CB286" s="143"/>
      <c r="CC286" s="143"/>
      <c r="CD286" s="143"/>
      <c r="CE286" s="143"/>
      <c r="CF286" s="143"/>
      <c r="CG286" s="143"/>
      <c r="CH286" s="143"/>
      <c r="CI286" s="143"/>
      <c r="CJ286" s="143"/>
      <c r="CK286" s="143"/>
      <c r="CL286" s="143"/>
      <c r="CM286" s="143"/>
      <c r="CN286" s="143"/>
      <c r="CO286" s="143"/>
      <c r="CP286" s="143"/>
      <c r="CQ286" s="143"/>
      <c r="CR286" s="143"/>
      <c r="CS286" s="143"/>
      <c r="CT286" s="143"/>
      <c r="CU286" s="143"/>
      <c r="CV286" s="143"/>
      <c r="CW286" s="143"/>
      <c r="CX286" s="143"/>
      <c r="CY286" s="143"/>
      <c r="CZ286" s="143"/>
      <c r="DA286" s="143"/>
      <c r="DB286" s="143"/>
      <c r="DC286" s="143"/>
      <c r="DD286" s="143"/>
      <c r="DE286" s="143"/>
      <c r="DF286" s="143"/>
      <c r="DG286" s="143"/>
      <c r="DH286" s="143"/>
      <c r="DI286" s="143"/>
      <c r="DJ286" s="143"/>
      <c r="DK286" s="143"/>
      <c r="DL286" s="143"/>
      <c r="DM286" s="143"/>
      <c r="DN286" s="143"/>
      <c r="DO286" s="143"/>
      <c r="DP286" s="143"/>
      <c r="DQ286" s="143"/>
      <c r="DR286" s="143"/>
      <c r="DS286" s="143"/>
      <c r="DT286" s="143"/>
      <c r="DU286" s="143"/>
      <c r="DV286" s="143"/>
      <c r="DW286" s="143"/>
      <c r="DX286" s="143"/>
      <c r="DY286" s="143"/>
      <c r="DZ286" s="143"/>
      <c r="EA286" s="143"/>
      <c r="EB286" s="143"/>
      <c r="EC286" s="143"/>
      <c r="ED286" s="143"/>
      <c r="EE286" s="143"/>
      <c r="EF286" s="143"/>
      <c r="EG286" s="143"/>
      <c r="EH286" s="143"/>
      <c r="EI286" s="143"/>
      <c r="EJ286" s="143"/>
      <c r="EK286" s="143"/>
      <c r="EL286" s="143"/>
      <c r="EM286" s="143"/>
      <c r="EN286" s="143"/>
      <c r="EO286" s="143"/>
      <c r="EP286" s="143"/>
      <c r="EQ286" s="143"/>
      <c r="ER286" s="143"/>
      <c r="ES286" s="143"/>
      <c r="ET286" s="143"/>
      <c r="EU286" s="143"/>
      <c r="EV286" s="143"/>
      <c r="EW286" s="143"/>
      <c r="EX286" s="143"/>
      <c r="EY286" s="143"/>
      <c r="EZ286" s="143"/>
      <c r="FA286" s="143"/>
      <c r="FB286" s="143"/>
      <c r="FC286" s="143"/>
      <c r="FD286" s="143"/>
      <c r="FE286" s="143"/>
      <c r="FF286" s="143"/>
      <c r="FG286" s="143"/>
      <c r="FH286" s="143"/>
      <c r="FI286" s="143"/>
      <c r="FJ286" s="143"/>
      <c r="FK286" s="143"/>
      <c r="FL286" s="143"/>
      <c r="FM286" s="143"/>
      <c r="FN286" s="143"/>
      <c r="FO286" s="143"/>
      <c r="FP286" s="143"/>
      <c r="FQ286" s="143"/>
      <c r="FR286" s="143"/>
      <c r="FS286" s="143"/>
      <c r="FT286" s="143"/>
      <c r="FU286" s="143"/>
      <c r="FV286" s="143"/>
      <c r="FW286" s="143"/>
      <c r="FX286" s="143"/>
      <c r="FY286" s="143"/>
      <c r="FZ286" s="143"/>
      <c r="GA286" s="143"/>
      <c r="GB286" s="143"/>
      <c r="GC286" s="143"/>
      <c r="GD286" s="143"/>
      <c r="GE286" s="143"/>
      <c r="GF286" s="143"/>
      <c r="GG286" s="143"/>
      <c r="GH286" s="143"/>
      <c r="GI286" s="143"/>
      <c r="GJ286" s="143"/>
      <c r="GK286" s="143"/>
      <c r="GL286" s="143"/>
      <c r="GM286" s="143"/>
      <c r="GN286" s="143"/>
      <c r="GO286" s="143"/>
      <c r="GP286" s="143"/>
      <c r="GQ286" s="143"/>
      <c r="GR286" s="143"/>
      <c r="GS286" s="143"/>
      <c r="GT286" s="143"/>
      <c r="GU286" s="143"/>
      <c r="GV286" s="143"/>
      <c r="GW286" s="143"/>
      <c r="GX286" s="143"/>
      <c r="GY286" s="143"/>
      <c r="GZ286" s="143"/>
      <c r="HA286" s="143"/>
      <c r="HB286" s="143"/>
      <c r="HC286" s="143"/>
      <c r="HD286" s="143"/>
      <c r="HE286" s="143"/>
      <c r="HF286" s="143"/>
      <c r="HG286" s="143"/>
      <c r="HH286" s="143"/>
      <c r="HI286" s="143"/>
      <c r="HJ286" s="143"/>
      <c r="HK286" s="143"/>
      <c r="HL286" s="143"/>
      <c r="HM286" s="143"/>
      <c r="HN286" s="143"/>
      <c r="HO286" s="143"/>
      <c r="HP286" s="143"/>
      <c r="HQ286" s="143"/>
      <c r="HR286" s="143"/>
      <c r="HS286" s="143"/>
      <c r="HT286" s="143"/>
      <c r="HU286" s="143"/>
      <c r="HV286" s="143"/>
      <c r="HW286" s="143"/>
      <c r="HX286" s="143"/>
      <c r="HY286" s="143"/>
      <c r="HZ286" s="143"/>
      <c r="IA286" s="143"/>
      <c r="IB286" s="143"/>
      <c r="IC286" s="143"/>
      <c r="ID286" s="143"/>
      <c r="IE286" s="143"/>
      <c r="IF286" s="143"/>
      <c r="IG286" s="143"/>
      <c r="IH286" s="143"/>
      <c r="II286" s="143"/>
      <c r="IJ286" s="143"/>
      <c r="IK286" s="143"/>
      <c r="IL286" s="143"/>
      <c r="IM286" s="143"/>
      <c r="IN286" s="143"/>
      <c r="IO286" s="143"/>
      <c r="IP286" s="143"/>
      <c r="IQ286" s="143"/>
      <c r="IR286" s="143"/>
      <c r="IS286" s="143"/>
      <c r="IT286" s="143"/>
      <c r="IU286" s="143"/>
      <c r="IV286" s="143"/>
      <c r="IW286" s="143"/>
      <c r="IX286" s="143"/>
      <c r="IY286" s="143"/>
      <c r="IZ286" s="143"/>
      <c r="JA286" s="143"/>
      <c r="JB286" s="143"/>
      <c r="JC286" s="143"/>
      <c r="JD286" s="143"/>
      <c r="JE286" s="143"/>
      <c r="JF286" s="143"/>
      <c r="JG286" s="143"/>
      <c r="JH286" s="143"/>
      <c r="JI286" s="143"/>
    </row>
    <row r="287" spans="1:269" hidden="1" outlineLevel="1">
      <c r="A287" s="447" t="s">
        <v>437</v>
      </c>
      <c r="B287" s="143" t="s">
        <v>438</v>
      </c>
      <c r="C287" s="451" t="str" cm="1">
        <f t="array" ref="C287">_xll.VAData($B287, C$4, $A287, "consensus", "CD", "IMPL","PreQ","", "")</f>
        <v>-</v>
      </c>
      <c r="D287" s="451" t="str" cm="1">
        <f t="array" ref="D287">_xll.VAData($B287, D$4, $A287, "consensus", "CD", "IMPL","PreQ","", "")</f>
        <v>-</v>
      </c>
      <c r="E287" s="451" t="str" cm="1">
        <f t="array" ref="E287">_xll.VAData($B287, E$4, $A287, "consensus", "CD", "IMPL","PreQ","", "")</f>
        <v>-</v>
      </c>
      <c r="F287" s="448" t="str" cm="1">
        <f t="array" ref="F287">_xll.VAData($B287, F$4, $A287, "consensus", "CD", "IMPL","PreQ","", "")</f>
        <v>-</v>
      </c>
      <c r="G287" s="448" t="str" cm="1">
        <f t="array" ref="G287">_xll.VAData($B287, G$4, $A287, "consensus", "CD", "IMPL","PreQ","", "")</f>
        <v>-</v>
      </c>
      <c r="H287" s="448" t="str" cm="1">
        <f t="array" ref="H287">_xll.VAData($B287, H$4, $A287, "consensus", "CD", "IMPL","PreQ","", "")</f>
        <v>-</v>
      </c>
      <c r="I287" s="448" t="str" cm="1">
        <f t="array" ref="I287">_xll.VAData($B287, I$4, $A287, "consensus", "CD", "IMPL","PreQ","", "")</f>
        <v>-</v>
      </c>
      <c r="J287" s="451" t="str" cm="1">
        <f t="array" ref="J287">_xll.VAData($B287, J$4, $A287, "consensus", "CD", "IMPL","PreQ","", "")</f>
        <v>-</v>
      </c>
      <c r="K287" s="448" t="str" cm="1">
        <f t="array" ref="K287">_xll.VAData($B287, K$4, $A287, "consensus", "CD", "IMPL","PreQ","", "")</f>
        <v>-</v>
      </c>
      <c r="L287" s="448" t="str" cm="1">
        <f t="array" ref="L287">_xll.VAData($B287, L$4, $A287, "consensus", "CD", "IMPL","PreQ","", "")</f>
        <v>-</v>
      </c>
      <c r="M287" s="448" t="str" cm="1">
        <f t="array" ref="M287">_xll.VAData($B287, M$4, $A287, "consensus", "CD", "IMPL","PreQ","", "")</f>
        <v>-</v>
      </c>
      <c r="N287" s="448" t="str" cm="1">
        <f t="array" ref="N287">_xll.VAData($B287, N$4, $A287, "consensus", "CD", "IMPL","PreQ","", "")</f>
        <v>-</v>
      </c>
      <c r="O287" s="451" t="str" cm="1">
        <f t="array" ref="O287">_xll.VAData($B287, O$4, $A287, "consensus", "CD", "IMPL","PreQ","", "")</f>
        <v>-</v>
      </c>
      <c r="P287" s="448" t="str" cm="1">
        <f t="array" ref="P287">_xll.VAData($B287, P$4, $A287, "consensus", "CD", "IMPL","PreQ","", "")</f>
        <v>-</v>
      </c>
      <c r="Q287" s="448" t="str" cm="1">
        <f t="array" ref="Q287">_xll.VAData($B287, Q$4, $A287, "consensus", "CD", "IMPL","PreQ","", "")</f>
        <v>-</v>
      </c>
      <c r="R287" s="448" cm="1">
        <f t="array" ref="R287">_xll.VAData($B287, R$4, $A287, "consensus", "CD", "IMPL","PreQ","", "")</f>
        <v>2.5647234464611603</v>
      </c>
      <c r="S287" s="448" cm="1">
        <f t="array" ref="S287">_xll.VAData($B287, S$4, $A287, "consensus", "CD", "IMPL","PreQ","", "")</f>
        <v>5.2850302510655913</v>
      </c>
      <c r="T287" s="451" cm="1">
        <f t="array" ref="T287">_xll.VAData($B287, T$4, $A287, "consensus", "CD", "IMPL","PreQ","", "")</f>
        <v>29.534252986135328</v>
      </c>
      <c r="U287" s="448" cm="1">
        <f t="array" ref="U287">_xll.VAData($B287, U$4, $A287, "consensus", "CD", "IMPL","PreQ","", "")</f>
        <v>8.2888166662688167</v>
      </c>
      <c r="V287" s="448" cm="1">
        <f t="array" ref="V287">_xll.VAData($B287, V$4, $A287, "consensus", "CD", "IMPL","PreQ","", "")</f>
        <v>9.4053703082503493</v>
      </c>
      <c r="W287" s="448" cm="1">
        <f t="array" ref="W287">_xll.VAData($B287, W$4, $A287, "consensus", "CD", "IMPL","PreQ","", "")</f>
        <v>14.32308962251934</v>
      </c>
      <c r="X287" s="448" cm="1">
        <f t="array" ref="X287">_xll.VAData($B287, X$4, $A287, "consensus", "CD", "IMPL","PreQ","", "")</f>
        <v>16.390520271319588</v>
      </c>
      <c r="Y287" s="451" cm="1">
        <f t="array" ref="Y287">_xll.VAData($B287, Y$4, $A287, "consensus", "CD", "IMPL","PreQ","", "")</f>
        <v>47.639917215764044</v>
      </c>
      <c r="Z287" s="448" cm="1">
        <f t="array" ref="Z287">_xll.VAData($B287, Z$4, $A287, "consensus", "CD", "IMPL","PreQ","", "")</f>
        <v>5.0804976185538955</v>
      </c>
      <c r="AA287" s="448" cm="1">
        <f t="array" ref="AA287">_xll.VAData($B287, AA$4, $A287, "consensus", "CD", "IMPL","PreQ","", "")</f>
        <v>18.340069339772512</v>
      </c>
      <c r="AB287" s="448" cm="1">
        <f t="array" ref="AB287">_xll.VAData($B287, AB$4, $A287, "consensus", "CD", "IMPL","PreQ","", "")</f>
        <v>20.98097478097316</v>
      </c>
      <c r="AC287" s="278"/>
      <c r="AD287" s="536"/>
      <c r="AE287" s="143"/>
      <c r="AF287" s="143"/>
      <c r="AG287" s="143"/>
      <c r="AH287" s="143"/>
      <c r="AI287" s="279"/>
      <c r="AJ287" s="143"/>
      <c r="AK287" s="143"/>
      <c r="AL287" s="143"/>
      <c r="AM287" s="143"/>
      <c r="AN287" s="279"/>
      <c r="AO287" s="143"/>
      <c r="AP287" s="143"/>
      <c r="AQ287" s="143"/>
      <c r="AR287" s="143"/>
      <c r="AS287" s="279"/>
      <c r="AT287" s="315"/>
      <c r="AU287" s="508"/>
      <c r="AV287" s="143"/>
      <c r="AW287" s="143"/>
      <c r="AX287" s="143"/>
      <c r="AY287" s="143"/>
      <c r="AZ287" s="143"/>
      <c r="BA287" s="143"/>
      <c r="BB287" s="143"/>
      <c r="BC287" s="143"/>
      <c r="BD287" s="143"/>
      <c r="BE287" s="143"/>
      <c r="BF287" s="143"/>
      <c r="BG287" s="143"/>
      <c r="BH287" s="143"/>
      <c r="BI287" s="143"/>
      <c r="BJ287" s="143"/>
      <c r="BK287" s="143"/>
      <c r="BL287" s="143"/>
      <c r="BM287" s="143"/>
      <c r="BN287" s="143"/>
      <c r="BO287" s="143"/>
      <c r="BP287" s="143"/>
      <c r="BQ287" s="143"/>
      <c r="BR287" s="143"/>
      <c r="BS287" s="143"/>
      <c r="BT287" s="143"/>
      <c r="BU287" s="143"/>
      <c r="BV287" s="143"/>
      <c r="BW287" s="143"/>
      <c r="BX287" s="143"/>
      <c r="BY287" s="143"/>
      <c r="BZ287" s="143"/>
      <c r="CA287" s="143"/>
      <c r="CB287" s="143"/>
      <c r="CC287" s="143"/>
      <c r="CD287" s="143"/>
      <c r="CE287" s="143"/>
      <c r="CF287" s="143"/>
      <c r="CG287" s="143"/>
      <c r="CH287" s="143"/>
      <c r="CI287" s="143"/>
      <c r="CJ287" s="143"/>
      <c r="CK287" s="143"/>
      <c r="CL287" s="143"/>
      <c r="CM287" s="143"/>
      <c r="CN287" s="143"/>
      <c r="CO287" s="143"/>
      <c r="CP287" s="143"/>
      <c r="CQ287" s="143"/>
      <c r="CR287" s="143"/>
      <c r="CS287" s="143"/>
      <c r="CT287" s="143"/>
      <c r="CU287" s="143"/>
      <c r="CV287" s="143"/>
      <c r="CW287" s="143"/>
      <c r="CX287" s="143"/>
      <c r="CY287" s="143"/>
      <c r="CZ287" s="143"/>
      <c r="DA287" s="143"/>
      <c r="DB287" s="143"/>
      <c r="DC287" s="143"/>
      <c r="DD287" s="143"/>
      <c r="DE287" s="143"/>
      <c r="DF287" s="143"/>
      <c r="DG287" s="143"/>
      <c r="DH287" s="143"/>
      <c r="DI287" s="143"/>
      <c r="DJ287" s="143"/>
      <c r="DK287" s="143"/>
      <c r="DL287" s="143"/>
      <c r="DM287" s="143"/>
      <c r="DN287" s="143"/>
      <c r="DO287" s="143"/>
      <c r="DP287" s="143"/>
      <c r="DQ287" s="143"/>
      <c r="DR287" s="143"/>
      <c r="DS287" s="143"/>
      <c r="DT287" s="143"/>
      <c r="DU287" s="143"/>
      <c r="DV287" s="143"/>
      <c r="DW287" s="143"/>
      <c r="DX287" s="143"/>
      <c r="DY287" s="143"/>
      <c r="DZ287" s="143"/>
      <c r="EA287" s="143"/>
      <c r="EB287" s="143"/>
      <c r="EC287" s="143"/>
      <c r="ED287" s="143"/>
      <c r="EE287" s="143"/>
      <c r="EF287" s="143"/>
      <c r="EG287" s="143"/>
      <c r="EH287" s="143"/>
      <c r="EI287" s="143"/>
      <c r="EJ287" s="143"/>
      <c r="EK287" s="143"/>
      <c r="EL287" s="143"/>
      <c r="EM287" s="143"/>
      <c r="EN287" s="143"/>
      <c r="EO287" s="143"/>
      <c r="EP287" s="143"/>
      <c r="EQ287" s="143"/>
      <c r="ER287" s="143"/>
      <c r="ES287" s="143"/>
      <c r="ET287" s="143"/>
      <c r="EU287" s="143"/>
      <c r="EV287" s="143"/>
      <c r="EW287" s="143"/>
      <c r="EX287" s="143"/>
      <c r="EY287" s="143"/>
      <c r="EZ287" s="143"/>
      <c r="FA287" s="143"/>
      <c r="FB287" s="143"/>
      <c r="FC287" s="143"/>
      <c r="FD287" s="143"/>
      <c r="FE287" s="143"/>
      <c r="FF287" s="143"/>
      <c r="FG287" s="143"/>
      <c r="FH287" s="143"/>
      <c r="FI287" s="143"/>
      <c r="FJ287" s="143"/>
      <c r="FK287" s="143"/>
      <c r="FL287" s="143"/>
      <c r="FM287" s="143"/>
      <c r="FN287" s="143"/>
      <c r="FO287" s="143"/>
      <c r="FP287" s="143"/>
      <c r="FQ287" s="143"/>
      <c r="FR287" s="143"/>
      <c r="FS287" s="143"/>
      <c r="FT287" s="143"/>
      <c r="FU287" s="143"/>
      <c r="FV287" s="143"/>
      <c r="FW287" s="143"/>
      <c r="FX287" s="143"/>
      <c r="FY287" s="143"/>
      <c r="FZ287" s="143"/>
      <c r="GA287" s="143"/>
      <c r="GB287" s="143"/>
      <c r="GC287" s="143"/>
      <c r="GD287" s="143"/>
      <c r="GE287" s="143"/>
      <c r="GF287" s="143"/>
      <c r="GG287" s="143"/>
      <c r="GH287" s="143"/>
      <c r="GI287" s="143"/>
      <c r="GJ287" s="143"/>
      <c r="GK287" s="143"/>
      <c r="GL287" s="143"/>
      <c r="GM287" s="143"/>
      <c r="GN287" s="143"/>
      <c r="GO287" s="143"/>
      <c r="GP287" s="143"/>
      <c r="GQ287" s="143"/>
      <c r="GR287" s="143"/>
      <c r="GS287" s="143"/>
      <c r="GT287" s="143"/>
      <c r="GU287" s="143"/>
      <c r="GV287" s="143"/>
      <c r="GW287" s="143"/>
      <c r="GX287" s="143"/>
      <c r="GY287" s="143"/>
      <c r="GZ287" s="143"/>
      <c r="HA287" s="143"/>
      <c r="HB287" s="143"/>
      <c r="HC287" s="143"/>
      <c r="HD287" s="143"/>
      <c r="HE287" s="143"/>
      <c r="HF287" s="143"/>
      <c r="HG287" s="143"/>
      <c r="HH287" s="143"/>
      <c r="HI287" s="143"/>
      <c r="HJ287" s="143"/>
      <c r="HK287" s="143"/>
      <c r="HL287" s="143"/>
      <c r="HM287" s="143"/>
      <c r="HN287" s="143"/>
      <c r="HO287" s="143"/>
      <c r="HP287" s="143"/>
      <c r="HQ287" s="143"/>
      <c r="HR287" s="143"/>
      <c r="HS287" s="143"/>
      <c r="HT287" s="143"/>
      <c r="HU287" s="143"/>
      <c r="HV287" s="143"/>
      <c r="HW287" s="143"/>
      <c r="HX287" s="143"/>
      <c r="HY287" s="143"/>
      <c r="HZ287" s="143"/>
      <c r="IA287" s="143"/>
      <c r="IB287" s="143"/>
      <c r="IC287" s="143"/>
      <c r="ID287" s="143"/>
      <c r="IE287" s="143"/>
      <c r="IF287" s="143"/>
      <c r="IG287" s="143"/>
      <c r="IH287" s="143"/>
      <c r="II287" s="143"/>
      <c r="IJ287" s="143"/>
      <c r="IK287" s="143"/>
      <c r="IL287" s="143"/>
      <c r="IM287" s="143"/>
      <c r="IN287" s="143"/>
      <c r="IO287" s="143"/>
      <c r="IP287" s="143"/>
      <c r="IQ287" s="143"/>
      <c r="IR287" s="143"/>
      <c r="IS287" s="143"/>
      <c r="IT287" s="143"/>
      <c r="IU287" s="143"/>
      <c r="IV287" s="143"/>
      <c r="IW287" s="143"/>
      <c r="IX287" s="143"/>
      <c r="IY287" s="143"/>
      <c r="IZ287" s="143"/>
      <c r="JA287" s="143"/>
      <c r="JB287" s="143"/>
      <c r="JC287" s="143"/>
      <c r="JD287" s="143"/>
      <c r="JE287" s="143"/>
      <c r="JF287" s="143"/>
      <c r="JG287" s="143"/>
      <c r="JH287" s="143"/>
      <c r="JI287" s="143"/>
    </row>
    <row r="288" spans="1:269" hidden="1" outlineLevel="1">
      <c r="A288" s="447"/>
      <c r="B288" s="143"/>
      <c r="C288" s="451"/>
      <c r="D288" s="451"/>
      <c r="E288" s="451"/>
      <c r="F288" s="448"/>
      <c r="G288" s="448"/>
      <c r="H288" s="448"/>
      <c r="I288" s="448"/>
      <c r="J288" s="451"/>
      <c r="K288" s="448"/>
      <c r="L288" s="448"/>
      <c r="M288" s="448"/>
      <c r="N288" s="448"/>
      <c r="O288" s="451"/>
      <c r="P288" s="448"/>
      <c r="Q288" s="448"/>
      <c r="R288" s="448"/>
      <c r="S288" s="448"/>
      <c r="T288" s="451"/>
      <c r="U288" s="448"/>
      <c r="V288" s="448"/>
      <c r="W288" s="448"/>
      <c r="X288" s="448"/>
      <c r="Y288" s="451"/>
      <c r="Z288" s="448"/>
      <c r="AA288" s="448"/>
      <c r="AB288" s="448"/>
      <c r="AC288" s="448"/>
      <c r="AD288" s="449"/>
      <c r="AE288" s="448"/>
      <c r="AF288" s="448"/>
      <c r="AG288" s="143"/>
      <c r="AH288" s="143"/>
      <c r="AI288" s="279"/>
      <c r="AJ288" s="143"/>
      <c r="AK288" s="143"/>
      <c r="AL288" s="143"/>
      <c r="AM288" s="143"/>
      <c r="AN288" s="279"/>
      <c r="AO288" s="143"/>
      <c r="AP288" s="143"/>
      <c r="AQ288" s="143"/>
      <c r="AR288" s="143"/>
      <c r="AS288" s="279"/>
      <c r="AT288" s="315"/>
      <c r="AU288" s="508"/>
      <c r="AV288" s="143"/>
      <c r="AW288" s="143"/>
      <c r="AX288" s="143"/>
      <c r="AY288" s="143"/>
      <c r="AZ288" s="143"/>
      <c r="BA288" s="143"/>
      <c r="BB288" s="143"/>
      <c r="BC288" s="143"/>
      <c r="BD288" s="143"/>
      <c r="BE288" s="143"/>
      <c r="BF288" s="143"/>
      <c r="BG288" s="143"/>
      <c r="BH288" s="143"/>
      <c r="BI288" s="143"/>
      <c r="BJ288" s="143"/>
      <c r="BK288" s="143"/>
      <c r="BL288" s="143"/>
      <c r="BM288" s="143"/>
      <c r="BN288" s="143"/>
      <c r="BO288" s="143"/>
      <c r="BP288" s="143"/>
      <c r="BQ288" s="143"/>
      <c r="BR288" s="143"/>
      <c r="BS288" s="143"/>
      <c r="BT288" s="143"/>
      <c r="BU288" s="143"/>
      <c r="BV288" s="143"/>
      <c r="BW288" s="143"/>
      <c r="BX288" s="143"/>
      <c r="BY288" s="143"/>
      <c r="BZ288" s="143"/>
      <c r="CA288" s="143"/>
      <c r="CB288" s="143"/>
      <c r="CC288" s="143"/>
      <c r="CD288" s="143"/>
      <c r="CE288" s="143"/>
      <c r="CF288" s="143"/>
      <c r="CG288" s="143"/>
      <c r="CH288" s="143"/>
      <c r="CI288" s="143"/>
      <c r="CJ288" s="143"/>
      <c r="CK288" s="143"/>
      <c r="CL288" s="143"/>
      <c r="CM288" s="143"/>
      <c r="CN288" s="143"/>
      <c r="CO288" s="143"/>
      <c r="CP288" s="143"/>
      <c r="CQ288" s="143"/>
      <c r="CR288" s="143"/>
      <c r="CS288" s="143"/>
      <c r="CT288" s="143"/>
      <c r="CU288" s="143"/>
      <c r="CV288" s="143"/>
      <c r="CW288" s="143"/>
      <c r="CX288" s="143"/>
      <c r="CY288" s="143"/>
      <c r="CZ288" s="143"/>
      <c r="DA288" s="143"/>
      <c r="DB288" s="143"/>
      <c r="DC288" s="143"/>
      <c r="DD288" s="143"/>
      <c r="DE288" s="143"/>
      <c r="DF288" s="143"/>
      <c r="DG288" s="143"/>
      <c r="DH288" s="143"/>
      <c r="DI288" s="143"/>
      <c r="DJ288" s="143"/>
      <c r="DK288" s="143"/>
      <c r="DL288" s="143"/>
      <c r="DM288" s="143"/>
      <c r="DN288" s="143"/>
      <c r="DO288" s="143"/>
      <c r="DP288" s="143"/>
      <c r="DQ288" s="143"/>
      <c r="DR288" s="143"/>
      <c r="DS288" s="143"/>
      <c r="DT288" s="143"/>
      <c r="DU288" s="143"/>
      <c r="DV288" s="143"/>
      <c r="DW288" s="143"/>
      <c r="DX288" s="143"/>
      <c r="DY288" s="143"/>
      <c r="DZ288" s="143"/>
      <c r="EA288" s="143"/>
      <c r="EB288" s="143"/>
      <c r="EC288" s="143"/>
      <c r="ED288" s="143"/>
      <c r="EE288" s="143"/>
      <c r="EF288" s="143"/>
      <c r="EG288" s="143"/>
      <c r="EH288" s="143"/>
      <c r="EI288" s="143"/>
      <c r="EJ288" s="143"/>
      <c r="EK288" s="143"/>
      <c r="EL288" s="143"/>
      <c r="EM288" s="143"/>
      <c r="EN288" s="143"/>
      <c r="EO288" s="143"/>
      <c r="EP288" s="143"/>
      <c r="EQ288" s="143"/>
      <c r="ER288" s="143"/>
      <c r="ES288" s="143"/>
      <c r="ET288" s="143"/>
      <c r="EU288" s="143"/>
      <c r="EV288" s="143"/>
      <c r="EW288" s="143"/>
      <c r="EX288" s="143"/>
      <c r="EY288" s="143"/>
      <c r="EZ288" s="143"/>
      <c r="FA288" s="143"/>
      <c r="FB288" s="143"/>
      <c r="FC288" s="143"/>
      <c r="FD288" s="143"/>
      <c r="FE288" s="143"/>
      <c r="FF288" s="143"/>
      <c r="FG288" s="143"/>
      <c r="FH288" s="143"/>
      <c r="FI288" s="143"/>
      <c r="FJ288" s="143"/>
      <c r="FK288" s="143"/>
      <c r="FL288" s="143"/>
      <c r="FM288" s="143"/>
      <c r="FN288" s="143"/>
      <c r="FO288" s="143"/>
      <c r="FP288" s="143"/>
      <c r="FQ288" s="143"/>
      <c r="FR288" s="143"/>
      <c r="FS288" s="143"/>
      <c r="FT288" s="143"/>
      <c r="FU288" s="143"/>
      <c r="FV288" s="143"/>
      <c r="FW288" s="143"/>
      <c r="FX288" s="143"/>
      <c r="FY288" s="143"/>
      <c r="FZ288" s="143"/>
      <c r="GA288" s="143"/>
      <c r="GB288" s="143"/>
      <c r="GC288" s="143"/>
      <c r="GD288" s="143"/>
      <c r="GE288" s="143"/>
      <c r="GF288" s="143"/>
      <c r="GG288" s="143"/>
      <c r="GH288" s="143"/>
      <c r="GI288" s="143"/>
      <c r="GJ288" s="143"/>
      <c r="GK288" s="143"/>
      <c r="GL288" s="143"/>
      <c r="GM288" s="143"/>
      <c r="GN288" s="143"/>
      <c r="GO288" s="143"/>
      <c r="GP288" s="143"/>
      <c r="GQ288" s="143"/>
      <c r="GR288" s="143"/>
      <c r="GS288" s="143"/>
      <c r="GT288" s="143"/>
      <c r="GU288" s="143"/>
      <c r="GV288" s="143"/>
      <c r="GW288" s="143"/>
      <c r="GX288" s="143"/>
      <c r="GY288" s="143"/>
      <c r="GZ288" s="143"/>
      <c r="HA288" s="143"/>
      <c r="HB288" s="143"/>
      <c r="HC288" s="143"/>
      <c r="HD288" s="143"/>
      <c r="HE288" s="143"/>
      <c r="HF288" s="143"/>
      <c r="HG288" s="143"/>
      <c r="HH288" s="143"/>
      <c r="HI288" s="143"/>
      <c r="HJ288" s="143"/>
      <c r="HK288" s="143"/>
      <c r="HL288" s="143"/>
      <c r="HM288" s="143"/>
      <c r="HN288" s="143"/>
      <c r="HO288" s="143"/>
      <c r="HP288" s="143"/>
      <c r="HQ288" s="143"/>
      <c r="HR288" s="143"/>
      <c r="HS288" s="143"/>
      <c r="HT288" s="143"/>
      <c r="HU288" s="143"/>
      <c r="HV288" s="143"/>
      <c r="HW288" s="143"/>
      <c r="HX288" s="143"/>
      <c r="HY288" s="143"/>
      <c r="HZ288" s="143"/>
      <c r="IA288" s="143"/>
      <c r="IB288" s="143"/>
      <c r="IC288" s="143"/>
      <c r="ID288" s="143"/>
      <c r="IE288" s="143"/>
      <c r="IF288" s="143"/>
      <c r="IG288" s="143"/>
      <c r="IH288" s="143"/>
      <c r="II288" s="143"/>
      <c r="IJ288" s="143"/>
      <c r="IK288" s="143"/>
      <c r="IL288" s="143"/>
      <c r="IM288" s="143"/>
      <c r="IN288" s="143"/>
      <c r="IO288" s="143"/>
      <c r="IP288" s="143"/>
      <c r="IQ288" s="143"/>
      <c r="IR288" s="143"/>
      <c r="IS288" s="143"/>
      <c r="IT288" s="143"/>
      <c r="IU288" s="143"/>
      <c r="IV288" s="143"/>
      <c r="IW288" s="143"/>
      <c r="IX288" s="143"/>
      <c r="IY288" s="143"/>
      <c r="IZ288" s="143"/>
      <c r="JA288" s="143"/>
      <c r="JB288" s="143"/>
      <c r="JC288" s="143"/>
      <c r="JD288" s="143"/>
      <c r="JE288" s="143"/>
      <c r="JF288" s="143"/>
      <c r="JG288" s="143"/>
      <c r="JH288" s="143"/>
      <c r="JI288" s="143"/>
    </row>
    <row r="289" spans="1:269" hidden="1" outlineLevel="1">
      <c r="A289" s="447"/>
      <c r="B289" s="143"/>
      <c r="C289" s="451"/>
      <c r="D289" s="451"/>
      <c r="E289" s="451"/>
      <c r="F289" s="448"/>
      <c r="G289" s="448"/>
      <c r="H289" s="448"/>
      <c r="I289" s="448"/>
      <c r="J289" s="451"/>
      <c r="K289" s="448"/>
      <c r="L289" s="448"/>
      <c r="M289" s="448"/>
      <c r="N289" s="448"/>
      <c r="O289" s="451"/>
      <c r="P289" s="448"/>
      <c r="Q289" s="448"/>
      <c r="R289" s="448"/>
      <c r="S289" s="448"/>
      <c r="T289" s="451"/>
      <c r="U289" s="448"/>
      <c r="V289" s="448"/>
      <c r="W289" s="448"/>
      <c r="X289" s="448"/>
      <c r="Y289" s="451"/>
      <c r="Z289" s="448"/>
      <c r="AA289" s="448"/>
      <c r="AB289" s="448"/>
      <c r="AC289" s="448"/>
      <c r="AD289" s="449"/>
      <c r="AE289" s="448"/>
      <c r="AF289" s="448"/>
      <c r="AG289" s="143"/>
      <c r="AH289" s="143"/>
      <c r="AI289" s="279"/>
      <c r="AJ289" s="143"/>
      <c r="AK289" s="143"/>
      <c r="AL289" s="143"/>
      <c r="AM289" s="143"/>
      <c r="AN289" s="279"/>
      <c r="AO289" s="143"/>
      <c r="AP289" s="143"/>
      <c r="AQ289" s="143"/>
      <c r="AR289" s="143"/>
      <c r="AS289" s="279"/>
      <c r="AT289" s="315"/>
      <c r="AU289" s="508"/>
      <c r="AV289" s="143"/>
      <c r="AW289" s="143"/>
      <c r="AX289" s="143"/>
      <c r="AY289" s="143"/>
      <c r="AZ289" s="143"/>
      <c r="BA289" s="143"/>
      <c r="BB289" s="143"/>
      <c r="BC289" s="143"/>
      <c r="BD289" s="143"/>
      <c r="BE289" s="143"/>
      <c r="BF289" s="143"/>
      <c r="BG289" s="143"/>
      <c r="BH289" s="143"/>
      <c r="BI289" s="143"/>
      <c r="BJ289" s="143"/>
      <c r="BK289" s="143"/>
      <c r="BL289" s="143"/>
      <c r="BM289" s="143"/>
      <c r="BN289" s="143"/>
      <c r="BO289" s="143"/>
      <c r="BP289" s="143"/>
      <c r="BQ289" s="143"/>
      <c r="BR289" s="143"/>
      <c r="BS289" s="143"/>
      <c r="BT289" s="143"/>
      <c r="BU289" s="143"/>
      <c r="BV289" s="143"/>
      <c r="BW289" s="143"/>
      <c r="BX289" s="143"/>
      <c r="BY289" s="143"/>
      <c r="BZ289" s="143"/>
      <c r="CA289" s="143"/>
      <c r="CB289" s="143"/>
      <c r="CC289" s="143"/>
      <c r="CD289" s="143"/>
      <c r="CE289" s="143"/>
      <c r="CF289" s="143"/>
      <c r="CG289" s="143"/>
      <c r="CH289" s="143"/>
      <c r="CI289" s="143"/>
      <c r="CJ289" s="143"/>
      <c r="CK289" s="143"/>
      <c r="CL289" s="143"/>
      <c r="CM289" s="143"/>
      <c r="CN289" s="143"/>
      <c r="CO289" s="143"/>
      <c r="CP289" s="143"/>
      <c r="CQ289" s="143"/>
      <c r="CR289" s="143"/>
      <c r="CS289" s="143"/>
      <c r="CT289" s="143"/>
      <c r="CU289" s="143"/>
      <c r="CV289" s="143"/>
      <c r="CW289" s="143"/>
      <c r="CX289" s="143"/>
      <c r="CY289" s="143"/>
      <c r="CZ289" s="143"/>
      <c r="DA289" s="143"/>
      <c r="DB289" s="143"/>
      <c r="DC289" s="143"/>
      <c r="DD289" s="143"/>
      <c r="DE289" s="143"/>
      <c r="DF289" s="143"/>
      <c r="DG289" s="143"/>
      <c r="DH289" s="143"/>
      <c r="DI289" s="143"/>
      <c r="DJ289" s="143"/>
      <c r="DK289" s="143"/>
      <c r="DL289" s="143"/>
      <c r="DM289" s="143"/>
      <c r="DN289" s="143"/>
      <c r="DO289" s="143"/>
      <c r="DP289" s="143"/>
      <c r="DQ289" s="143"/>
      <c r="DR289" s="143"/>
      <c r="DS289" s="143"/>
      <c r="DT289" s="143"/>
      <c r="DU289" s="143"/>
      <c r="DV289" s="143"/>
      <c r="DW289" s="143"/>
      <c r="DX289" s="143"/>
      <c r="DY289" s="143"/>
      <c r="DZ289" s="143"/>
      <c r="EA289" s="143"/>
      <c r="EB289" s="143"/>
      <c r="EC289" s="143"/>
      <c r="ED289" s="143"/>
      <c r="EE289" s="143"/>
      <c r="EF289" s="143"/>
      <c r="EG289" s="143"/>
      <c r="EH289" s="143"/>
      <c r="EI289" s="143"/>
      <c r="EJ289" s="143"/>
      <c r="EK289" s="143"/>
      <c r="EL289" s="143"/>
      <c r="EM289" s="143"/>
      <c r="EN289" s="143"/>
      <c r="EO289" s="143"/>
      <c r="EP289" s="143"/>
      <c r="EQ289" s="143"/>
      <c r="ER289" s="143"/>
      <c r="ES289" s="143"/>
      <c r="ET289" s="143"/>
      <c r="EU289" s="143"/>
      <c r="EV289" s="143"/>
      <c r="EW289" s="143"/>
      <c r="EX289" s="143"/>
      <c r="EY289" s="143"/>
      <c r="EZ289" s="143"/>
      <c r="FA289" s="143"/>
      <c r="FB289" s="143"/>
      <c r="FC289" s="143"/>
      <c r="FD289" s="143"/>
      <c r="FE289" s="143"/>
      <c r="FF289" s="143"/>
      <c r="FG289" s="143"/>
      <c r="FH289" s="143"/>
      <c r="FI289" s="143"/>
      <c r="FJ289" s="143"/>
      <c r="FK289" s="143"/>
      <c r="FL289" s="143"/>
      <c r="FM289" s="143"/>
      <c r="FN289" s="143"/>
      <c r="FO289" s="143"/>
      <c r="FP289" s="143"/>
      <c r="FQ289" s="143"/>
      <c r="FR289" s="143"/>
      <c r="FS289" s="143"/>
      <c r="FT289" s="143"/>
      <c r="FU289" s="143"/>
      <c r="FV289" s="143"/>
      <c r="FW289" s="143"/>
      <c r="FX289" s="143"/>
      <c r="FY289" s="143"/>
      <c r="FZ289" s="143"/>
      <c r="GA289" s="143"/>
      <c r="GB289" s="143"/>
      <c r="GC289" s="143"/>
      <c r="GD289" s="143"/>
      <c r="GE289" s="143"/>
      <c r="GF289" s="143"/>
      <c r="GG289" s="143"/>
      <c r="GH289" s="143"/>
      <c r="GI289" s="143"/>
      <c r="GJ289" s="143"/>
      <c r="GK289" s="143"/>
      <c r="GL289" s="143"/>
      <c r="GM289" s="143"/>
      <c r="GN289" s="143"/>
      <c r="GO289" s="143"/>
      <c r="GP289" s="143"/>
      <c r="GQ289" s="143"/>
      <c r="GR289" s="143"/>
      <c r="GS289" s="143"/>
      <c r="GT289" s="143"/>
      <c r="GU289" s="143"/>
      <c r="GV289" s="143"/>
      <c r="GW289" s="143"/>
      <c r="GX289" s="143"/>
      <c r="GY289" s="143"/>
      <c r="GZ289" s="143"/>
      <c r="HA289" s="143"/>
      <c r="HB289" s="143"/>
      <c r="HC289" s="143"/>
      <c r="HD289" s="143"/>
      <c r="HE289" s="143"/>
      <c r="HF289" s="143"/>
      <c r="HG289" s="143"/>
      <c r="HH289" s="143"/>
      <c r="HI289" s="143"/>
      <c r="HJ289" s="143"/>
      <c r="HK289" s="143"/>
      <c r="HL289" s="143"/>
      <c r="HM289" s="143"/>
      <c r="HN289" s="143"/>
      <c r="HO289" s="143"/>
      <c r="HP289" s="143"/>
      <c r="HQ289" s="143"/>
      <c r="HR289" s="143"/>
      <c r="HS289" s="143"/>
      <c r="HT289" s="143"/>
      <c r="HU289" s="143"/>
      <c r="HV289" s="143"/>
      <c r="HW289" s="143"/>
      <c r="HX289" s="143"/>
      <c r="HY289" s="143"/>
      <c r="HZ289" s="143"/>
      <c r="IA289" s="143"/>
      <c r="IB289" s="143"/>
      <c r="IC289" s="143"/>
      <c r="ID289" s="143"/>
      <c r="IE289" s="143"/>
      <c r="IF289" s="143"/>
      <c r="IG289" s="143"/>
      <c r="IH289" s="143"/>
      <c r="II289" s="143"/>
      <c r="IJ289" s="143"/>
      <c r="IK289" s="143"/>
      <c r="IL289" s="143"/>
      <c r="IM289" s="143"/>
      <c r="IN289" s="143"/>
      <c r="IO289" s="143"/>
      <c r="IP289" s="143"/>
      <c r="IQ289" s="143"/>
      <c r="IR289" s="143"/>
      <c r="IS289" s="143"/>
      <c r="IT289" s="143"/>
      <c r="IU289" s="143"/>
      <c r="IV289" s="143"/>
      <c r="IW289" s="143"/>
      <c r="IX289" s="143"/>
      <c r="IY289" s="143"/>
      <c r="IZ289" s="143"/>
      <c r="JA289" s="143"/>
      <c r="JB289" s="143"/>
      <c r="JC289" s="143"/>
      <c r="JD289" s="143"/>
      <c r="JE289" s="143"/>
      <c r="JF289" s="143"/>
      <c r="JG289" s="143"/>
      <c r="JH289" s="143"/>
      <c r="JI289" s="143"/>
    </row>
    <row r="290" spans="1:269" hidden="1" outlineLevel="1">
      <c r="A290" s="52" t="s">
        <v>215</v>
      </c>
      <c r="B290" s="53"/>
      <c r="C290" s="54"/>
      <c r="D290" s="54"/>
      <c r="E290" s="54"/>
      <c r="F290" s="54"/>
      <c r="G290" s="54"/>
      <c r="H290" s="54"/>
      <c r="I290" s="54"/>
      <c r="J290" s="54"/>
      <c r="K290" s="54"/>
      <c r="L290" s="54"/>
      <c r="M290" s="54"/>
      <c r="N290" s="54"/>
      <c r="O290" s="54"/>
      <c r="P290" s="54"/>
      <c r="Q290" s="54"/>
      <c r="R290" s="54"/>
      <c r="S290" s="54"/>
      <c r="T290" s="54"/>
      <c r="U290" s="54"/>
      <c r="V290" s="54"/>
      <c r="W290" s="54"/>
      <c r="X290" s="54"/>
      <c r="Y290" s="54"/>
      <c r="Z290" s="54"/>
      <c r="AA290" s="54"/>
      <c r="AB290" s="54"/>
      <c r="AC290" s="55"/>
      <c r="AD290" s="55"/>
      <c r="AE290" s="55"/>
      <c r="AF290" s="55"/>
      <c r="AG290" s="55"/>
      <c r="AH290" s="55"/>
      <c r="AI290" s="55"/>
      <c r="AJ290" s="55"/>
      <c r="AK290" s="55"/>
      <c r="AL290" s="55"/>
      <c r="AM290" s="55"/>
      <c r="AN290" s="55"/>
      <c r="AO290" s="55"/>
      <c r="AP290" s="55"/>
      <c r="AQ290" s="55"/>
      <c r="AR290" s="55"/>
      <c r="AS290" s="55"/>
      <c r="AT290" s="315"/>
      <c r="AU290" s="508"/>
      <c r="AV290" s="143"/>
      <c r="AW290" s="143"/>
      <c r="AX290" s="143"/>
      <c r="AY290" s="143"/>
      <c r="AZ290" s="143"/>
      <c r="BA290" s="143"/>
      <c r="BB290" s="143"/>
      <c r="BC290" s="143"/>
      <c r="BD290" s="143"/>
      <c r="BE290" s="143"/>
      <c r="BF290" s="143"/>
      <c r="BG290" s="143"/>
      <c r="BH290" s="143"/>
      <c r="BI290" s="143"/>
      <c r="BJ290" s="143"/>
      <c r="BK290" s="143"/>
      <c r="BL290" s="143"/>
      <c r="BM290" s="143"/>
      <c r="BN290" s="143"/>
      <c r="BO290" s="143"/>
      <c r="BP290" s="143"/>
      <c r="BQ290" s="143"/>
      <c r="BR290" s="143"/>
      <c r="BS290" s="143"/>
      <c r="BT290" s="143"/>
      <c r="BU290" s="143"/>
      <c r="BV290" s="143"/>
      <c r="BW290" s="143"/>
      <c r="BX290" s="143"/>
      <c r="BY290" s="143"/>
      <c r="BZ290" s="143"/>
      <c r="CA290" s="143"/>
      <c r="CB290" s="143"/>
      <c r="CC290" s="143"/>
      <c r="CD290" s="143"/>
      <c r="CE290" s="143"/>
      <c r="CF290" s="143"/>
      <c r="CG290" s="143"/>
      <c r="CH290" s="143"/>
      <c r="CI290" s="143"/>
      <c r="CJ290" s="143"/>
      <c r="CK290" s="143"/>
      <c r="CL290" s="143"/>
      <c r="CM290" s="143"/>
      <c r="CN290" s="143"/>
      <c r="CO290" s="143"/>
      <c r="CP290" s="143"/>
      <c r="CQ290" s="143"/>
      <c r="CR290" s="143"/>
      <c r="CS290" s="143"/>
      <c r="CT290" s="143"/>
      <c r="CU290" s="143"/>
      <c r="CV290" s="143"/>
      <c r="CW290" s="143"/>
      <c r="CX290" s="143"/>
      <c r="CY290" s="143"/>
      <c r="CZ290" s="143"/>
      <c r="DA290" s="143"/>
      <c r="DB290" s="143"/>
      <c r="DC290" s="143"/>
      <c r="DD290" s="143"/>
      <c r="DE290" s="143"/>
      <c r="DF290" s="143"/>
      <c r="DG290" s="143"/>
      <c r="DH290" s="143"/>
      <c r="DI290" s="143"/>
      <c r="DJ290" s="143"/>
      <c r="DK290" s="143"/>
      <c r="DL290" s="143"/>
      <c r="DM290" s="143"/>
      <c r="DN290" s="143"/>
      <c r="DO290" s="143"/>
      <c r="DP290" s="143"/>
      <c r="DQ290" s="143"/>
      <c r="DR290" s="143"/>
      <c r="DS290" s="143"/>
      <c r="DT290" s="143"/>
      <c r="DU290" s="143"/>
      <c r="DV290" s="143"/>
      <c r="DW290" s="143"/>
      <c r="DX290" s="143"/>
      <c r="DY290" s="143"/>
      <c r="DZ290" s="143"/>
      <c r="EA290" s="143"/>
      <c r="EB290" s="143"/>
      <c r="EC290" s="143"/>
      <c r="ED290" s="143"/>
      <c r="EE290" s="143"/>
      <c r="EF290" s="143"/>
      <c r="EG290" s="143"/>
      <c r="EH290" s="143"/>
      <c r="EI290" s="143"/>
      <c r="EJ290" s="143"/>
      <c r="EK290" s="143"/>
      <c r="EL290" s="143"/>
      <c r="EM290" s="143"/>
      <c r="EN290" s="143"/>
      <c r="EO290" s="143"/>
      <c r="EP290" s="143"/>
      <c r="EQ290" s="143"/>
      <c r="ER290" s="143"/>
      <c r="ES290" s="143"/>
      <c r="ET290" s="143"/>
      <c r="EU290" s="143"/>
      <c r="EV290" s="143"/>
      <c r="EW290" s="143"/>
      <c r="EX290" s="143"/>
      <c r="EY290" s="143"/>
      <c r="EZ290" s="143"/>
      <c r="FA290" s="143"/>
      <c r="FB290" s="143"/>
      <c r="FC290" s="143"/>
      <c r="FD290" s="143"/>
      <c r="FE290" s="143"/>
      <c r="FF290" s="143"/>
      <c r="FG290" s="143"/>
      <c r="FH290" s="143"/>
      <c r="FI290" s="143"/>
      <c r="FJ290" s="143"/>
      <c r="FK290" s="143"/>
      <c r="FL290" s="143"/>
      <c r="FM290" s="143"/>
      <c r="FN290" s="143"/>
      <c r="FO290" s="143"/>
      <c r="FP290" s="143"/>
      <c r="FQ290" s="143"/>
      <c r="FR290" s="143"/>
      <c r="FS290" s="143"/>
      <c r="FT290" s="143"/>
      <c r="FU290" s="143"/>
      <c r="FV290" s="143"/>
      <c r="FW290" s="143"/>
      <c r="FX290" s="143"/>
      <c r="FY290" s="143"/>
      <c r="FZ290" s="143"/>
      <c r="GA290" s="143"/>
      <c r="GB290" s="143"/>
      <c r="GC290" s="143"/>
      <c r="GD290" s="143"/>
      <c r="GE290" s="143"/>
      <c r="GF290" s="143"/>
      <c r="GG290" s="143"/>
      <c r="GH290" s="143"/>
      <c r="GI290" s="143"/>
      <c r="GJ290" s="143"/>
      <c r="GK290" s="143"/>
      <c r="GL290" s="143"/>
      <c r="GM290" s="143"/>
      <c r="GN290" s="143"/>
      <c r="GO290" s="143"/>
      <c r="GP290" s="143"/>
      <c r="GQ290" s="143"/>
      <c r="GR290" s="143"/>
      <c r="GS290" s="143"/>
      <c r="GT290" s="143"/>
      <c r="GU290" s="143"/>
      <c r="GV290" s="143"/>
      <c r="GW290" s="143"/>
      <c r="GX290" s="143"/>
      <c r="GY290" s="143"/>
      <c r="GZ290" s="143"/>
      <c r="HA290" s="143"/>
      <c r="HB290" s="143"/>
      <c r="HC290" s="143"/>
      <c r="HD290" s="143"/>
      <c r="HE290" s="143"/>
      <c r="HF290" s="143"/>
      <c r="HG290" s="143"/>
      <c r="HH290" s="143"/>
      <c r="HI290" s="143"/>
      <c r="HJ290" s="143"/>
      <c r="HK290" s="143"/>
      <c r="HL290" s="143"/>
      <c r="HM290" s="143"/>
      <c r="HN290" s="143"/>
      <c r="HO290" s="143"/>
      <c r="HP290" s="143"/>
      <c r="HQ290" s="143"/>
      <c r="HR290" s="143"/>
      <c r="HS290" s="143"/>
      <c r="HT290" s="143"/>
      <c r="HU290" s="143"/>
      <c r="HV290" s="143"/>
      <c r="HW290" s="143"/>
      <c r="HX290" s="143"/>
      <c r="HY290" s="143"/>
      <c r="HZ290" s="143"/>
      <c r="IA290" s="143"/>
      <c r="IB290" s="143"/>
      <c r="IC290" s="143"/>
      <c r="ID290" s="143"/>
      <c r="IE290" s="143"/>
      <c r="IF290" s="143"/>
      <c r="IG290" s="143"/>
      <c r="IH290" s="143"/>
      <c r="II290" s="143"/>
      <c r="IJ290" s="143"/>
      <c r="IK290" s="143"/>
      <c r="IL290" s="143"/>
      <c r="IM290" s="143"/>
      <c r="IN290" s="143"/>
      <c r="IO290" s="143"/>
      <c r="IP290" s="143"/>
      <c r="IQ290" s="143"/>
      <c r="IR290" s="143"/>
      <c r="IS290" s="143"/>
      <c r="IT290" s="143"/>
      <c r="IU290" s="143"/>
      <c r="IV290" s="143"/>
      <c r="IW290" s="143"/>
      <c r="IX290" s="143"/>
      <c r="IY290" s="143"/>
      <c r="IZ290" s="143"/>
      <c r="JA290" s="143"/>
      <c r="JB290" s="143"/>
      <c r="JC290" s="143"/>
      <c r="JD290" s="143"/>
      <c r="JE290" s="143"/>
      <c r="JF290" s="143"/>
      <c r="JG290" s="143"/>
      <c r="JH290" s="143"/>
      <c r="JI290" s="143"/>
    </row>
    <row r="291" spans="1:269" hidden="1" outlineLevel="1">
      <c r="A291" s="143"/>
      <c r="B291" s="143"/>
      <c r="C291" s="277"/>
      <c r="D291" s="277"/>
      <c r="E291" s="277"/>
      <c r="F291" s="278"/>
      <c r="G291" s="278"/>
      <c r="H291" s="278"/>
      <c r="I291" s="278"/>
      <c r="J291" s="277"/>
      <c r="K291" s="278"/>
      <c r="L291" s="278"/>
      <c r="M291" s="278"/>
      <c r="N291" s="278"/>
      <c r="O291" s="277"/>
      <c r="P291" s="278"/>
      <c r="Q291" s="278"/>
      <c r="R291" s="278"/>
      <c r="S291" s="278"/>
      <c r="T291" s="277"/>
      <c r="U291" s="278"/>
      <c r="V291" s="278"/>
      <c r="W291" s="278"/>
      <c r="X291" s="278"/>
      <c r="Y291" s="277"/>
      <c r="Z291" s="278"/>
      <c r="AA291" s="278"/>
      <c r="AB291" s="278"/>
      <c r="AC291" s="278"/>
      <c r="AD291" s="536"/>
      <c r="AE291" s="143"/>
      <c r="AF291" s="143"/>
      <c r="AG291" s="143"/>
      <c r="AH291" s="143"/>
      <c r="AI291" s="279"/>
      <c r="AJ291" s="143"/>
      <c r="AK291" s="143"/>
      <c r="AL291" s="143"/>
      <c r="AM291" s="143"/>
      <c r="AN291" s="279"/>
      <c r="AO291" s="143"/>
      <c r="AP291" s="143"/>
      <c r="AQ291" s="143"/>
      <c r="AR291" s="143"/>
      <c r="AS291" s="279"/>
      <c r="AT291" s="315"/>
      <c r="AU291" s="508"/>
      <c r="AV291" s="143"/>
      <c r="AW291" s="143"/>
      <c r="AX291" s="143"/>
      <c r="AY291" s="143"/>
      <c r="AZ291" s="143"/>
      <c r="BA291" s="143"/>
      <c r="BB291" s="143"/>
      <c r="BC291" s="143"/>
      <c r="BD291" s="143"/>
      <c r="BE291" s="143"/>
      <c r="BF291" s="143"/>
      <c r="BG291" s="143"/>
      <c r="BH291" s="143"/>
      <c r="BI291" s="143"/>
      <c r="BJ291" s="143"/>
      <c r="BK291" s="143"/>
      <c r="BL291" s="143"/>
      <c r="BM291" s="143"/>
      <c r="BN291" s="143"/>
      <c r="BO291" s="143"/>
      <c r="BP291" s="143"/>
      <c r="BQ291" s="143"/>
      <c r="BR291" s="143"/>
      <c r="BS291" s="143"/>
      <c r="BT291" s="143"/>
      <c r="BU291" s="143"/>
      <c r="BV291" s="143"/>
      <c r="BW291" s="143"/>
      <c r="BX291" s="143"/>
      <c r="BY291" s="143"/>
      <c r="BZ291" s="143"/>
      <c r="CA291" s="143"/>
      <c r="CB291" s="143"/>
      <c r="CC291" s="143"/>
      <c r="CD291" s="143"/>
      <c r="CE291" s="143"/>
      <c r="CF291" s="143"/>
      <c r="CG291" s="143"/>
      <c r="CH291" s="143"/>
      <c r="CI291" s="143"/>
      <c r="CJ291" s="143"/>
      <c r="CK291" s="143"/>
      <c r="CL291" s="143"/>
      <c r="CM291" s="143"/>
      <c r="CN291" s="143"/>
      <c r="CO291" s="143"/>
      <c r="CP291" s="143"/>
      <c r="CQ291" s="143"/>
      <c r="CR291" s="143"/>
      <c r="CS291" s="143"/>
      <c r="CT291" s="143"/>
      <c r="CU291" s="143"/>
      <c r="CV291" s="143"/>
      <c r="CW291" s="143"/>
      <c r="CX291" s="143"/>
      <c r="CY291" s="143"/>
      <c r="CZ291" s="143"/>
      <c r="DA291" s="143"/>
      <c r="DB291" s="143"/>
      <c r="DC291" s="143"/>
      <c r="DD291" s="143"/>
      <c r="DE291" s="143"/>
      <c r="DF291" s="143"/>
      <c r="DG291" s="143"/>
      <c r="DH291" s="143"/>
      <c r="DI291" s="143"/>
      <c r="DJ291" s="143"/>
      <c r="DK291" s="143"/>
      <c r="DL291" s="143"/>
      <c r="DM291" s="143"/>
      <c r="DN291" s="143"/>
      <c r="DO291" s="143"/>
      <c r="DP291" s="143"/>
      <c r="DQ291" s="143"/>
      <c r="DR291" s="143"/>
      <c r="DS291" s="143"/>
      <c r="DT291" s="143"/>
      <c r="DU291" s="143"/>
      <c r="DV291" s="143"/>
      <c r="DW291" s="143"/>
      <c r="DX291" s="143"/>
      <c r="DY291" s="143"/>
      <c r="DZ291" s="143"/>
      <c r="EA291" s="143"/>
      <c r="EB291" s="143"/>
      <c r="EC291" s="143"/>
      <c r="ED291" s="143"/>
      <c r="EE291" s="143"/>
      <c r="EF291" s="143"/>
      <c r="EG291" s="143"/>
      <c r="EH291" s="143"/>
      <c r="EI291" s="143"/>
      <c r="EJ291" s="143"/>
      <c r="EK291" s="143"/>
      <c r="EL291" s="143"/>
      <c r="EM291" s="143"/>
      <c r="EN291" s="143"/>
      <c r="EO291" s="143"/>
      <c r="EP291" s="143"/>
      <c r="EQ291" s="143"/>
      <c r="ER291" s="143"/>
      <c r="ES291" s="143"/>
      <c r="ET291" s="143"/>
      <c r="EU291" s="143"/>
      <c r="EV291" s="143"/>
      <c r="EW291" s="143"/>
      <c r="EX291" s="143"/>
      <c r="EY291" s="143"/>
      <c r="EZ291" s="143"/>
      <c r="FA291" s="143"/>
      <c r="FB291" s="143"/>
      <c r="FC291" s="143"/>
      <c r="FD291" s="143"/>
      <c r="FE291" s="143"/>
      <c r="FF291" s="143"/>
      <c r="FG291" s="143"/>
      <c r="FH291" s="143"/>
      <c r="FI291" s="143"/>
      <c r="FJ291" s="143"/>
      <c r="FK291" s="143"/>
      <c r="FL291" s="143"/>
      <c r="FM291" s="143"/>
      <c r="FN291" s="143"/>
      <c r="FO291" s="143"/>
      <c r="FP291" s="143"/>
      <c r="FQ291" s="143"/>
      <c r="FR291" s="143"/>
      <c r="FS291" s="143"/>
      <c r="FT291" s="143"/>
      <c r="FU291" s="143"/>
      <c r="FV291" s="143"/>
      <c r="FW291" s="143"/>
      <c r="FX291" s="143"/>
      <c r="FY291" s="143"/>
      <c r="FZ291" s="143"/>
      <c r="GA291" s="143"/>
      <c r="GB291" s="143"/>
      <c r="GC291" s="143"/>
      <c r="GD291" s="143"/>
      <c r="GE291" s="143"/>
      <c r="GF291" s="143"/>
      <c r="GG291" s="143"/>
      <c r="GH291" s="143"/>
      <c r="GI291" s="143"/>
      <c r="GJ291" s="143"/>
      <c r="GK291" s="143"/>
      <c r="GL291" s="143"/>
      <c r="GM291" s="143"/>
      <c r="GN291" s="143"/>
      <c r="GO291" s="143"/>
      <c r="GP291" s="143"/>
      <c r="GQ291" s="143"/>
      <c r="GR291" s="143"/>
      <c r="GS291" s="143"/>
      <c r="GT291" s="143"/>
      <c r="GU291" s="143"/>
      <c r="GV291" s="143"/>
      <c r="GW291" s="143"/>
      <c r="GX291" s="143"/>
      <c r="GY291" s="143"/>
      <c r="GZ291" s="143"/>
      <c r="HA291" s="143"/>
      <c r="HB291" s="143"/>
      <c r="HC291" s="143"/>
      <c r="HD291" s="143"/>
      <c r="HE291" s="143"/>
      <c r="HF291" s="143"/>
      <c r="HG291" s="143"/>
      <c r="HH291" s="143"/>
      <c r="HI291" s="143"/>
      <c r="HJ291" s="143"/>
      <c r="HK291" s="143"/>
      <c r="HL291" s="143"/>
      <c r="HM291" s="143"/>
      <c r="HN291" s="143"/>
      <c r="HO291" s="143"/>
      <c r="HP291" s="143"/>
      <c r="HQ291" s="143"/>
      <c r="HR291" s="143"/>
      <c r="HS291" s="143"/>
      <c r="HT291" s="143"/>
      <c r="HU291" s="143"/>
      <c r="HV291" s="143"/>
      <c r="HW291" s="143"/>
      <c r="HX291" s="143"/>
      <c r="HY291" s="143"/>
      <c r="HZ291" s="143"/>
      <c r="IA291" s="143"/>
      <c r="IB291" s="143"/>
      <c r="IC291" s="143"/>
      <c r="ID291" s="143"/>
      <c r="IE291" s="143"/>
      <c r="IF291" s="143"/>
      <c r="IG291" s="143"/>
      <c r="IH291" s="143"/>
      <c r="II291" s="143"/>
      <c r="IJ291" s="143"/>
      <c r="IK291" s="143"/>
      <c r="IL291" s="143"/>
      <c r="IM291" s="143"/>
      <c r="IN291" s="143"/>
      <c r="IO291" s="143"/>
      <c r="IP291" s="143"/>
      <c r="IQ291" s="143"/>
      <c r="IR291" s="143"/>
      <c r="IS291" s="143"/>
      <c r="IT291" s="143"/>
      <c r="IU291" s="143"/>
      <c r="IV291" s="143"/>
      <c r="IW291" s="143"/>
      <c r="IX291" s="143"/>
      <c r="IY291" s="143"/>
      <c r="IZ291" s="143"/>
      <c r="JA291" s="143"/>
      <c r="JB291" s="143"/>
      <c r="JC291" s="143"/>
      <c r="JD291" s="143"/>
      <c r="JE291" s="143"/>
      <c r="JF291" s="143"/>
      <c r="JG291" s="143"/>
      <c r="JH291" s="143"/>
      <c r="JI291" s="143"/>
    </row>
    <row r="292" spans="1:269" hidden="1" outlineLevel="1">
      <c r="A292" s="447" t="s">
        <v>433</v>
      </c>
      <c r="B292" s="143" t="s">
        <v>438</v>
      </c>
      <c r="C292" s="451" t="str" cm="1">
        <f t="array" ref="C292">_xll.VAData($B292, C$4, $A292, "consensus", "CD", "IMPL","", "")</f>
        <v>-</v>
      </c>
      <c r="D292" s="451" t="str" cm="1">
        <f t="array" ref="D292">_xll.VAData($B292, D$4, $A292, "consensus", "CD", "IMPL","", "")</f>
        <v>-</v>
      </c>
      <c r="E292" s="451" cm="1">
        <f t="array" ref="E292">_xll.VAData($B292, E$4, $A292, "consensus", "CD", "IMPL","", "")</f>
        <v>10524</v>
      </c>
      <c r="F292" s="448" cm="1">
        <f t="array" ref="F292">_xll.VAData($B292, F$4, $A292, "consensus", "CD", "IMPL","", "")</f>
        <v>11218.0186598402</v>
      </c>
      <c r="G292" s="448" cm="1">
        <f t="array" ref="G292">_xll.VAData($B292, G$4, $A292, "consensus", "CD", "IMPL","", "")</f>
        <v>12051.9873196804</v>
      </c>
      <c r="H292" s="448" cm="1">
        <f t="array" ref="H292">_xll.VAData($B292, H$4, $A292, "consensus", "CD", "IMPL","", "")</f>
        <v>12832.155979520599</v>
      </c>
      <c r="I292" s="448" cm="1">
        <f t="array" ref="I292">_xll.VAData($B292, I$4, $A292, "consensus", "CD", "IMPL","", "")</f>
        <v>13872.0059795206</v>
      </c>
      <c r="J292" s="451" cm="1">
        <f t="array" ref="J292">_xll.VAData($B292, J$4, $A292, "consensus", "CD", "IMPL","", "")</f>
        <v>13872.010191001875</v>
      </c>
      <c r="K292" s="448" cm="1">
        <f t="array" ref="K292">_xll.VAData($B292, K$4, $A292, "consensus", "CD", "IMPL","", "")</f>
        <v>14421.006131119701</v>
      </c>
      <c r="L292" s="448" cm="1">
        <f t="array" ref="L292">_xll.VAData($B292, L$4, $A292, "consensus", "CD", "IMPL","", "")</f>
        <v>14495.000615380115</v>
      </c>
      <c r="M292" s="448" cm="1">
        <f t="array" ref="M292">_xll.VAData($B292, M$4, $A292, "consensus", "CD", "IMPL","", "")</f>
        <v>15123.995099640515</v>
      </c>
      <c r="N292" s="448" cm="1">
        <f t="array" ref="N292">_xll.VAData($B292, N$4, $A292, "consensus", "CD", "IMPL","", "")</f>
        <v>15671.995099640515</v>
      </c>
      <c r="O292" s="451" cm="1">
        <f t="array" ref="O292">_xll.VAData($B292, O$4, $A292, "consensus", "CD", "IMPL","", "")</f>
        <v>15738.768615689887</v>
      </c>
      <c r="P292" s="448" cm="1">
        <f t="array" ref="P292">_xll.VAData($B292, P$4, $A292, "consensus", "CD", "IMPL","", "")</f>
        <v>16632.571939502675</v>
      </c>
      <c r="Q292" s="448" cm="1">
        <f t="array" ref="Q292">_xll.VAData($B292, Q$4, $A292, "consensus", "CD", "IMPL","", "")</f>
        <v>17992.690092215638</v>
      </c>
      <c r="R292" s="448" cm="1">
        <f t="array" ref="R292">_xll.VAData($B292, R$4, $A292, "consensus", "CD", "IMPL","", "")</f>
        <v>18924.828550193852</v>
      </c>
      <c r="S292" s="448" cm="1">
        <f t="array" ref="S292">_xll.VAData($B292, S$4, $A292, "consensus", "CD", "IMPL","", "")</f>
        <v>20350.79233486695</v>
      </c>
      <c r="T292" s="451" cm="1">
        <f t="array" ref="T292">_xll.VAData($B292, T$4, $A292, "consensus", "CD", "IMPL","", "")</f>
        <v>20350.79233486695</v>
      </c>
      <c r="U292" s="448" cm="1">
        <f t="array" ref="U292">_xll.VAData($B292, U$4, $A292, "consensus", "CD", "IMPL","", "")</f>
        <v>21758.495958866188</v>
      </c>
      <c r="V292" s="448" cm="1">
        <f t="array" ref="V292">_xll.VAData($B292, V$4, $A292, "consensus", "CD", "IMPL","", "")</f>
        <v>22928.995958866188</v>
      </c>
      <c r="W292" s="448" cm="1">
        <f t="array" ref="W292">_xll.VAData($B292, W$4, $A292, "consensus", "CD", "IMPL","", "")</f>
        <v>24481.120958866188</v>
      </c>
      <c r="X292" s="448" cm="1">
        <f t="array" ref="X292">_xll.VAData($B292, X$4, $A292, "consensus", "CD", "IMPL","", "")</f>
        <v>25344.120958866188</v>
      </c>
      <c r="Y292" s="451" cm="1">
        <f t="array" ref="Y292">_xll.VAData($B292, Y$4, $A292, "consensus", "CD", "IMPL","", "")</f>
        <v>25344.120958866188</v>
      </c>
      <c r="Z292" s="448" cm="1">
        <f t="array" ref="Z292">_xll.VAData($B292, Z$4, $A292, "consensus", "CD", "IMPL","", "")</f>
        <v>27414.120958866188</v>
      </c>
      <c r="AA292" s="448" cm="1">
        <f t="array" ref="AA292">_xll.VAData($B292, AA$4, $A292, "consensus", "CD", "IMPL","", "")</f>
        <v>29690.125</v>
      </c>
      <c r="AB292" s="448" cm="1">
        <f t="array" ref="AB292">_xll.VAData($B292, AB$4, $A292, "consensus", "CD", "IMPL","", "")</f>
        <v>30321.989025878258</v>
      </c>
      <c r="AC292" s="448"/>
      <c r="AD292" s="449"/>
      <c r="AE292" s="448"/>
      <c r="AF292" s="448"/>
      <c r="AG292" s="143"/>
      <c r="AH292" s="143"/>
      <c r="AI292" s="279"/>
      <c r="AJ292" s="143"/>
      <c r="AK292" s="143"/>
      <c r="AL292" s="143"/>
      <c r="AM292" s="143"/>
      <c r="AN292" s="279"/>
      <c r="AO292" s="143"/>
      <c r="AP292" s="143"/>
      <c r="AQ292" s="143"/>
      <c r="AR292" s="143"/>
      <c r="AS292" s="279"/>
      <c r="AT292" s="315"/>
      <c r="AU292" s="508"/>
      <c r="AV292" s="143"/>
      <c r="AW292" s="143"/>
      <c r="AX292" s="143"/>
      <c r="AY292" s="143"/>
      <c r="AZ292" s="143"/>
      <c r="BA292" s="143"/>
      <c r="BB292" s="143"/>
      <c r="BC292" s="143"/>
      <c r="BD292" s="143"/>
      <c r="BE292" s="143"/>
      <c r="BF292" s="143"/>
      <c r="BG292" s="143"/>
      <c r="BH292" s="143"/>
      <c r="BI292" s="143"/>
      <c r="BJ292" s="143"/>
      <c r="BK292" s="143"/>
      <c r="BL292" s="143"/>
      <c r="BM292" s="143"/>
      <c r="BN292" s="143"/>
      <c r="BO292" s="143"/>
      <c r="BP292" s="143"/>
      <c r="BQ292" s="143"/>
      <c r="BR292" s="143"/>
      <c r="BS292" s="143"/>
      <c r="BT292" s="143"/>
      <c r="BU292" s="143"/>
      <c r="BV292" s="143"/>
      <c r="BW292" s="143"/>
      <c r="BX292" s="143"/>
      <c r="BY292" s="143"/>
      <c r="BZ292" s="143"/>
      <c r="CA292" s="143"/>
      <c r="CB292" s="143"/>
      <c r="CC292" s="143"/>
      <c r="CD292" s="143"/>
      <c r="CE292" s="143"/>
      <c r="CF292" s="143"/>
      <c r="CG292" s="143"/>
      <c r="CH292" s="143"/>
      <c r="CI292" s="143"/>
      <c r="CJ292" s="143"/>
      <c r="CK292" s="143"/>
      <c r="CL292" s="143"/>
      <c r="CM292" s="143"/>
      <c r="CN292" s="143"/>
      <c r="CO292" s="143"/>
      <c r="CP292" s="143"/>
      <c r="CQ292" s="143"/>
      <c r="CR292" s="143"/>
      <c r="CS292" s="143"/>
      <c r="CT292" s="143"/>
      <c r="CU292" s="143"/>
      <c r="CV292" s="143"/>
      <c r="CW292" s="143"/>
      <c r="CX292" s="143"/>
      <c r="CY292" s="143"/>
      <c r="CZ292" s="143"/>
      <c r="DA292" s="143"/>
      <c r="DB292" s="143"/>
      <c r="DC292" s="143"/>
      <c r="DD292" s="143"/>
      <c r="DE292" s="143"/>
      <c r="DF292" s="143"/>
      <c r="DG292" s="143"/>
      <c r="DH292" s="143"/>
      <c r="DI292" s="143"/>
      <c r="DJ292" s="143"/>
      <c r="DK292" s="143"/>
      <c r="DL292" s="143"/>
      <c r="DM292" s="143"/>
      <c r="DN292" s="143"/>
      <c r="DO292" s="143"/>
      <c r="DP292" s="143"/>
      <c r="DQ292" s="143"/>
      <c r="DR292" s="143"/>
      <c r="DS292" s="143"/>
      <c r="DT292" s="143"/>
      <c r="DU292" s="143"/>
      <c r="DV292" s="143"/>
      <c r="DW292" s="143"/>
      <c r="DX292" s="143"/>
      <c r="DY292" s="143"/>
      <c r="DZ292" s="143"/>
      <c r="EA292" s="143"/>
      <c r="EB292" s="143"/>
      <c r="EC292" s="143"/>
      <c r="ED292" s="143"/>
      <c r="EE292" s="143"/>
      <c r="EF292" s="143"/>
      <c r="EG292" s="143"/>
      <c r="EH292" s="143"/>
      <c r="EI292" s="143"/>
      <c r="EJ292" s="143"/>
      <c r="EK292" s="143"/>
      <c r="EL292" s="143"/>
      <c r="EM292" s="143"/>
      <c r="EN292" s="143"/>
      <c r="EO292" s="143"/>
      <c r="EP292" s="143"/>
      <c r="EQ292" s="143"/>
      <c r="ER292" s="143"/>
      <c r="ES292" s="143"/>
      <c r="ET292" s="143"/>
      <c r="EU292" s="143"/>
      <c r="EV292" s="143"/>
      <c r="EW292" s="143"/>
      <c r="EX292" s="143"/>
      <c r="EY292" s="143"/>
      <c r="EZ292" s="143"/>
      <c r="FA292" s="143"/>
      <c r="FB292" s="143"/>
      <c r="FC292" s="143"/>
      <c r="FD292" s="143"/>
      <c r="FE292" s="143"/>
      <c r="FF292" s="143"/>
      <c r="FG292" s="143"/>
      <c r="FH292" s="143"/>
      <c r="FI292" s="143"/>
      <c r="FJ292" s="143"/>
      <c r="FK292" s="143"/>
      <c r="FL292" s="143"/>
      <c r="FM292" s="143"/>
      <c r="FN292" s="143"/>
      <c r="FO292" s="143"/>
      <c r="FP292" s="143"/>
      <c r="FQ292" s="143"/>
      <c r="FR292" s="143"/>
      <c r="FS292" s="143"/>
      <c r="FT292" s="143"/>
      <c r="FU292" s="143"/>
      <c r="FV292" s="143"/>
      <c r="FW292" s="143"/>
      <c r="FX292" s="143"/>
      <c r="FY292" s="143"/>
      <c r="FZ292" s="143"/>
      <c r="GA292" s="143"/>
      <c r="GB292" s="143"/>
      <c r="GC292" s="143"/>
      <c r="GD292" s="143"/>
      <c r="GE292" s="143"/>
      <c r="GF292" s="143"/>
      <c r="GG292" s="143"/>
      <c r="GH292" s="143"/>
      <c r="GI292" s="143"/>
      <c r="GJ292" s="143"/>
      <c r="GK292" s="143"/>
      <c r="GL292" s="143"/>
      <c r="GM292" s="143"/>
      <c r="GN292" s="143"/>
      <c r="GO292" s="143"/>
      <c r="GP292" s="143"/>
      <c r="GQ292" s="143"/>
      <c r="GR292" s="143"/>
      <c r="GS292" s="143"/>
      <c r="GT292" s="143"/>
      <c r="GU292" s="143"/>
      <c r="GV292" s="143"/>
      <c r="GW292" s="143"/>
      <c r="GX292" s="143"/>
      <c r="GY292" s="143"/>
      <c r="GZ292" s="143"/>
      <c r="HA292" s="143"/>
      <c r="HB292" s="143"/>
      <c r="HC292" s="143"/>
      <c r="HD292" s="143"/>
      <c r="HE292" s="143"/>
      <c r="HF292" s="143"/>
      <c r="HG292" s="143"/>
      <c r="HH292" s="143"/>
      <c r="HI292" s="143"/>
      <c r="HJ292" s="143"/>
      <c r="HK292" s="143"/>
      <c r="HL292" s="143"/>
      <c r="HM292" s="143"/>
      <c r="HN292" s="143"/>
      <c r="HO292" s="143"/>
      <c r="HP292" s="143"/>
      <c r="HQ292" s="143"/>
      <c r="HR292" s="143"/>
      <c r="HS292" s="143"/>
      <c r="HT292" s="143"/>
      <c r="HU292" s="143"/>
      <c r="HV292" s="143"/>
      <c r="HW292" s="143"/>
      <c r="HX292" s="143"/>
      <c r="HY292" s="143"/>
      <c r="HZ292" s="143"/>
      <c r="IA292" s="143"/>
      <c r="IB292" s="143"/>
      <c r="IC292" s="143"/>
      <c r="ID292" s="143"/>
      <c r="IE292" s="143"/>
      <c r="IF292" s="143"/>
      <c r="IG292" s="143"/>
      <c r="IH292" s="143"/>
      <c r="II292" s="143"/>
      <c r="IJ292" s="143"/>
      <c r="IK292" s="143"/>
      <c r="IL292" s="143"/>
      <c r="IM292" s="143"/>
      <c r="IN292" s="143"/>
      <c r="IO292" s="143"/>
      <c r="IP292" s="143"/>
      <c r="IQ292" s="143"/>
      <c r="IR292" s="143"/>
      <c r="IS292" s="143"/>
      <c r="IT292" s="143"/>
      <c r="IU292" s="143"/>
      <c r="IV292" s="143"/>
      <c r="IW292" s="143"/>
      <c r="IX292" s="143"/>
      <c r="IY292" s="143"/>
      <c r="IZ292" s="143"/>
      <c r="JA292" s="143"/>
      <c r="JB292" s="143"/>
      <c r="JC292" s="143"/>
      <c r="JD292" s="143"/>
      <c r="JE292" s="143"/>
      <c r="JF292" s="143"/>
      <c r="JG292" s="143"/>
      <c r="JH292" s="143"/>
      <c r="JI292" s="143"/>
    </row>
    <row r="293" spans="1:269" hidden="1" outlineLevel="1">
      <c r="A293" s="450" t="s">
        <v>434</v>
      </c>
      <c r="B293" s="143" t="s">
        <v>438</v>
      </c>
      <c r="C293" s="451" t="str" cm="1">
        <f t="array" ref="C293">_xll.VAData($B293, C$4, $A293, "consensus", "CD", "IMPL","", "")</f>
        <v>-</v>
      </c>
      <c r="D293" s="451" t="str" cm="1">
        <f t="array" ref="D293">_xll.VAData($B293, D$4, $A293, "consensus", "CD", "IMPL","", "")</f>
        <v>-</v>
      </c>
      <c r="E293" s="451" cm="1">
        <f t="array" ref="E293">_xll.VAData($B293, E$4, $A293, "consensus", "CD", "IMPL","", "")</f>
        <v>9280.875</v>
      </c>
      <c r="F293" s="448" cm="1">
        <f t="array" ref="F293">_xll.VAData($B293, F$4, $A293, "consensus", "CD", "IMPL","", "")</f>
        <v>10871.0093299201</v>
      </c>
      <c r="G293" s="448" cm="1">
        <f t="array" ref="G293">_xll.VAData($B293, G$4, $A293, "consensus", "CD", "IMPL","", "")</f>
        <v>11635.0029897603</v>
      </c>
      <c r="H293" s="448" cm="1">
        <f t="array" ref="H293">_xll.VAData($B293, H$4, $A293, "consensus", "CD", "IMPL","", "")</f>
        <v>12442.071649600501</v>
      </c>
      <c r="I293" s="448" cm="1">
        <f t="array" ref="I293">_xll.VAData($B293, I$4, $A293, "consensus", "CD", "IMPL","", "")</f>
        <v>13388.580979520601</v>
      </c>
      <c r="J293" s="451" cm="1">
        <f t="array" ref="J293">_xll.VAData($B293, J$4, $A293, "consensus", "CD", "IMPL","", "")</f>
        <v>12127.792797334583</v>
      </c>
      <c r="K293" s="448" cm="1">
        <f t="array" ref="K293">_xll.VAData($B293, K$4, $A293, "consensus", "CD", "IMPL","", "")</f>
        <v>14146.50603105685</v>
      </c>
      <c r="L293" s="448" cm="1">
        <f t="array" ref="L293">_xll.VAData($B293, L$4, $A293, "consensus", "CD", "IMPL","", "")</f>
        <v>14458.000756885629</v>
      </c>
      <c r="M293" s="448" cm="1">
        <f t="array" ref="M293">_xll.VAData($B293, M$4, $A293, "consensus", "CD", "IMPL","", "")</f>
        <v>14809.496344293957</v>
      </c>
      <c r="N293" s="448" cm="1">
        <f t="array" ref="N293">_xll.VAData($B293, N$4, $A293, "consensus", "CD", "IMPL","", "")</f>
        <v>15397.994137998128</v>
      </c>
      <c r="O293" s="451" cm="1">
        <f t="array" ref="O293">_xll.VAData($B293, O$4, $A293, "consensus", "CD", "IMPL","", "")</f>
        <v>14746.637114027149</v>
      </c>
      <c r="P293" s="448" cm="1">
        <f t="array" ref="P293">_xll.VAData($B293, P$4, $A293, "consensus", "CD", "IMPL","", "")</f>
        <v>16111.386363459185</v>
      </c>
      <c r="Q293" s="448" cm="1">
        <f t="array" ref="Q293">_xll.VAData($B293, Q$4, $A293, "consensus", "CD", "IMPL","", "")</f>
        <v>17328.527215852351</v>
      </c>
      <c r="R293" s="448" cm="1">
        <f t="array" ref="R293">_xll.VAData($B293, R$4, $A293, "consensus", "CD", "IMPL","", "")</f>
        <v>18471.55755781625</v>
      </c>
      <c r="S293" s="448" cm="1">
        <f t="array" ref="S293">_xll.VAData($B293, S$4, $A293, "consensus", "CD", "IMPL","", "")</f>
        <v>19637.810442530386</v>
      </c>
      <c r="T293" s="451" cm="1">
        <f t="array" ref="T293">_xll.VAData($B293, T$4, $A293, "consensus", "CD", "IMPL","", "")</f>
        <v>17941.827350278414</v>
      </c>
      <c r="U293" s="448" cm="1">
        <f t="array" ref="U293">_xll.VAData($B293, U$4, $A293, "consensus", "CD", "IMPL","", "")</f>
        <v>21054.644146866562</v>
      </c>
      <c r="V293" s="448" cm="1">
        <f t="array" ref="V293">_xll.VAData($B293, V$4, $A293, "consensus", "CD", "IMPL","", "")</f>
        <v>22323.433458866188</v>
      </c>
      <c r="W293" s="448" cm="1">
        <f t="array" ref="W293">_xll.VAData($B293, W$4, $A293, "consensus", "CD", "IMPL","", "")</f>
        <v>23694.514708866187</v>
      </c>
      <c r="X293" s="448" cm="1">
        <f t="array" ref="X293">_xll.VAData($B293, X$4, $A293, "consensus", "CD", "IMPL","", "")</f>
        <v>24850.289708866188</v>
      </c>
      <c r="Y293" s="451" cm="1">
        <f t="array" ref="Y293">_xll.VAData($B293, Y$4, $A293, "consensus", "CD", "IMPL","", "")</f>
        <v>22770.472271866562</v>
      </c>
      <c r="Z293" s="448" cm="1">
        <f t="array" ref="Z293">_xll.VAData($B293, Z$4, $A293, "consensus", "CD", "IMPL","", "")</f>
        <v>26406.245958866188</v>
      </c>
      <c r="AA293" s="448" cm="1">
        <f t="array" ref="AA293">_xll.VAData($B293, AA$4, $A293, "consensus", "CD", "IMPL","", "")</f>
        <v>28545.060479433087</v>
      </c>
      <c r="AB293" s="448" cm="1">
        <f t="array" ref="AB293">_xll.VAData($B293, AB$4, $A293, "consensus", "CD", "IMPL","", "")</f>
        <v>29907.637370081986</v>
      </c>
      <c r="AC293" s="448"/>
      <c r="AD293" s="449"/>
      <c r="AE293" s="448"/>
      <c r="AF293" s="448"/>
      <c r="AG293" s="143"/>
      <c r="AH293" s="143"/>
      <c r="AI293" s="279"/>
      <c r="AJ293" s="143"/>
      <c r="AK293" s="143"/>
      <c r="AL293" s="143"/>
      <c r="AM293" s="143"/>
      <c r="AN293" s="279"/>
      <c r="AO293" s="143"/>
      <c r="AP293" s="143"/>
      <c r="AQ293" s="143"/>
      <c r="AR293" s="143"/>
      <c r="AS293" s="279"/>
      <c r="AT293" s="315"/>
      <c r="AU293" s="508"/>
      <c r="AV293" s="143"/>
      <c r="AW293" s="143"/>
      <c r="AX293" s="143"/>
      <c r="AY293" s="143"/>
      <c r="AZ293" s="143"/>
      <c r="BA293" s="143"/>
      <c r="BB293" s="143"/>
      <c r="BC293" s="143"/>
      <c r="BD293" s="143"/>
      <c r="BE293" s="143"/>
      <c r="BF293" s="143"/>
      <c r="BG293" s="143"/>
      <c r="BH293" s="143"/>
      <c r="BI293" s="143"/>
      <c r="BJ293" s="143"/>
      <c r="BK293" s="143"/>
      <c r="BL293" s="143"/>
      <c r="BM293" s="143"/>
      <c r="BN293" s="143"/>
      <c r="BO293" s="143"/>
      <c r="BP293" s="143"/>
      <c r="BQ293" s="143"/>
      <c r="BR293" s="143"/>
      <c r="BS293" s="143"/>
      <c r="BT293" s="143"/>
      <c r="BU293" s="143"/>
      <c r="BV293" s="143"/>
      <c r="BW293" s="143"/>
      <c r="BX293" s="143"/>
      <c r="BY293" s="143"/>
      <c r="BZ293" s="143"/>
      <c r="CA293" s="143"/>
      <c r="CB293" s="143"/>
      <c r="CC293" s="143"/>
      <c r="CD293" s="143"/>
      <c r="CE293" s="143"/>
      <c r="CF293" s="143"/>
      <c r="CG293" s="143"/>
      <c r="CH293" s="143"/>
      <c r="CI293" s="143"/>
      <c r="CJ293" s="143"/>
      <c r="CK293" s="143"/>
      <c r="CL293" s="143"/>
      <c r="CM293" s="143"/>
      <c r="CN293" s="143"/>
      <c r="CO293" s="143"/>
      <c r="CP293" s="143"/>
      <c r="CQ293" s="143"/>
      <c r="CR293" s="143"/>
      <c r="CS293" s="143"/>
      <c r="CT293" s="143"/>
      <c r="CU293" s="143"/>
      <c r="CV293" s="143"/>
      <c r="CW293" s="143"/>
      <c r="CX293" s="143"/>
      <c r="CY293" s="143"/>
      <c r="CZ293" s="143"/>
      <c r="DA293" s="143"/>
      <c r="DB293" s="143"/>
      <c r="DC293" s="143"/>
      <c r="DD293" s="143"/>
      <c r="DE293" s="143"/>
      <c r="DF293" s="143"/>
      <c r="DG293" s="143"/>
      <c r="DH293" s="143"/>
      <c r="DI293" s="143"/>
      <c r="DJ293" s="143"/>
      <c r="DK293" s="143"/>
      <c r="DL293" s="143"/>
      <c r="DM293" s="143"/>
      <c r="DN293" s="143"/>
      <c r="DO293" s="143"/>
      <c r="DP293" s="143"/>
      <c r="DQ293" s="143"/>
      <c r="DR293" s="143"/>
      <c r="DS293" s="143"/>
      <c r="DT293" s="143"/>
      <c r="DU293" s="143"/>
      <c r="DV293" s="143"/>
      <c r="DW293" s="143"/>
      <c r="DX293" s="143"/>
      <c r="DY293" s="143"/>
      <c r="DZ293" s="143"/>
      <c r="EA293" s="143"/>
      <c r="EB293" s="143"/>
      <c r="EC293" s="143"/>
      <c r="ED293" s="143"/>
      <c r="EE293" s="143"/>
      <c r="EF293" s="143"/>
      <c r="EG293" s="143"/>
      <c r="EH293" s="143"/>
      <c r="EI293" s="143"/>
      <c r="EJ293" s="143"/>
      <c r="EK293" s="143"/>
      <c r="EL293" s="143"/>
      <c r="EM293" s="143"/>
      <c r="EN293" s="143"/>
      <c r="EO293" s="143"/>
      <c r="EP293" s="143"/>
      <c r="EQ293" s="143"/>
      <c r="ER293" s="143"/>
      <c r="ES293" s="143"/>
      <c r="ET293" s="143"/>
      <c r="EU293" s="143"/>
      <c r="EV293" s="143"/>
      <c r="EW293" s="143"/>
      <c r="EX293" s="143"/>
      <c r="EY293" s="143"/>
      <c r="EZ293" s="143"/>
      <c r="FA293" s="143"/>
      <c r="FB293" s="143"/>
      <c r="FC293" s="143"/>
      <c r="FD293" s="143"/>
      <c r="FE293" s="143"/>
      <c r="FF293" s="143"/>
      <c r="FG293" s="143"/>
      <c r="FH293" s="143"/>
      <c r="FI293" s="143"/>
      <c r="FJ293" s="143"/>
      <c r="FK293" s="143"/>
      <c r="FL293" s="143"/>
      <c r="FM293" s="143"/>
      <c r="FN293" s="143"/>
      <c r="FO293" s="143"/>
      <c r="FP293" s="143"/>
      <c r="FQ293" s="143"/>
      <c r="FR293" s="143"/>
      <c r="FS293" s="143"/>
      <c r="FT293" s="143"/>
      <c r="FU293" s="143"/>
      <c r="FV293" s="143"/>
      <c r="FW293" s="143"/>
      <c r="FX293" s="143"/>
      <c r="FY293" s="143"/>
      <c r="FZ293" s="143"/>
      <c r="GA293" s="143"/>
      <c r="GB293" s="143"/>
      <c r="GC293" s="143"/>
      <c r="GD293" s="143"/>
      <c r="GE293" s="143"/>
      <c r="GF293" s="143"/>
      <c r="GG293" s="143"/>
      <c r="GH293" s="143"/>
      <c r="GI293" s="143"/>
      <c r="GJ293" s="143"/>
      <c r="GK293" s="143"/>
      <c r="GL293" s="143"/>
      <c r="GM293" s="143"/>
      <c r="GN293" s="143"/>
      <c r="GO293" s="143"/>
      <c r="GP293" s="143"/>
      <c r="GQ293" s="143"/>
      <c r="GR293" s="143"/>
      <c r="GS293" s="143"/>
      <c r="GT293" s="143"/>
      <c r="GU293" s="143"/>
      <c r="GV293" s="143"/>
      <c r="GW293" s="143"/>
      <c r="GX293" s="143"/>
      <c r="GY293" s="143"/>
      <c r="GZ293" s="143"/>
      <c r="HA293" s="143"/>
      <c r="HB293" s="143"/>
      <c r="HC293" s="143"/>
      <c r="HD293" s="143"/>
      <c r="HE293" s="143"/>
      <c r="HF293" s="143"/>
      <c r="HG293" s="143"/>
      <c r="HH293" s="143"/>
      <c r="HI293" s="143"/>
      <c r="HJ293" s="143"/>
      <c r="HK293" s="143"/>
      <c r="HL293" s="143"/>
      <c r="HM293" s="143"/>
      <c r="HN293" s="143"/>
      <c r="HO293" s="143"/>
      <c r="HP293" s="143"/>
      <c r="HQ293" s="143"/>
      <c r="HR293" s="143"/>
      <c r="HS293" s="143"/>
      <c r="HT293" s="143"/>
      <c r="HU293" s="143"/>
      <c r="HV293" s="143"/>
      <c r="HW293" s="143"/>
      <c r="HX293" s="143"/>
      <c r="HY293" s="143"/>
      <c r="HZ293" s="143"/>
      <c r="IA293" s="143"/>
      <c r="IB293" s="143"/>
      <c r="IC293" s="143"/>
      <c r="ID293" s="143"/>
      <c r="IE293" s="143"/>
      <c r="IF293" s="143"/>
      <c r="IG293" s="143"/>
      <c r="IH293" s="143"/>
      <c r="II293" s="143"/>
      <c r="IJ293" s="143"/>
      <c r="IK293" s="143"/>
      <c r="IL293" s="143"/>
      <c r="IM293" s="143"/>
      <c r="IN293" s="143"/>
      <c r="IO293" s="143"/>
      <c r="IP293" s="143"/>
      <c r="IQ293" s="143"/>
      <c r="IR293" s="143"/>
      <c r="IS293" s="143"/>
      <c r="IT293" s="143"/>
      <c r="IU293" s="143"/>
      <c r="IV293" s="143"/>
      <c r="IW293" s="143"/>
      <c r="IX293" s="143"/>
      <c r="IY293" s="143"/>
      <c r="IZ293" s="143"/>
      <c r="JA293" s="143"/>
      <c r="JB293" s="143"/>
      <c r="JC293" s="143"/>
      <c r="JD293" s="143"/>
      <c r="JE293" s="143"/>
      <c r="JF293" s="143"/>
      <c r="JG293" s="143"/>
      <c r="JH293" s="143"/>
      <c r="JI293" s="143"/>
    </row>
    <row r="294" spans="1:269" hidden="1" outlineLevel="1">
      <c r="A294" s="450"/>
      <c r="B294" s="143"/>
      <c r="C294" s="451"/>
      <c r="D294" s="451"/>
      <c r="E294" s="451"/>
      <c r="F294" s="448"/>
      <c r="G294" s="448"/>
      <c r="H294" s="448"/>
      <c r="I294" s="448"/>
      <c r="J294" s="451"/>
      <c r="K294" s="448"/>
      <c r="L294" s="448"/>
      <c r="M294" s="448"/>
      <c r="N294" s="448"/>
      <c r="O294" s="451"/>
      <c r="P294" s="448"/>
      <c r="Q294" s="448"/>
      <c r="R294" s="448"/>
      <c r="S294" s="448"/>
      <c r="T294" s="451"/>
      <c r="U294" s="448"/>
      <c r="V294" s="448"/>
      <c r="W294" s="448"/>
      <c r="X294" s="448"/>
      <c r="Y294" s="451"/>
      <c r="Z294" s="448"/>
      <c r="AA294" s="448"/>
      <c r="AB294" s="448"/>
      <c r="AC294" s="448"/>
      <c r="AD294" s="449"/>
      <c r="AE294" s="448"/>
      <c r="AF294" s="448"/>
      <c r="AG294" s="143"/>
      <c r="AH294" s="143"/>
      <c r="AI294" s="279"/>
      <c r="AJ294" s="143"/>
      <c r="AK294" s="143"/>
      <c r="AL294" s="143"/>
      <c r="AM294" s="143"/>
      <c r="AN294" s="279"/>
      <c r="AO294" s="143"/>
      <c r="AP294" s="143"/>
      <c r="AQ294" s="143"/>
      <c r="AR294" s="143"/>
      <c r="AS294" s="279"/>
      <c r="AT294" s="315"/>
      <c r="AU294" s="508"/>
      <c r="AV294" s="143"/>
      <c r="AW294" s="143"/>
      <c r="AX294" s="143"/>
      <c r="AY294" s="143"/>
      <c r="AZ294" s="143"/>
      <c r="BA294" s="143"/>
      <c r="BB294" s="143"/>
      <c r="BC294" s="143"/>
      <c r="BD294" s="143"/>
      <c r="BE294" s="143"/>
      <c r="BF294" s="143"/>
      <c r="BG294" s="143"/>
      <c r="BH294" s="143"/>
      <c r="BI294" s="143"/>
      <c r="BJ294" s="143"/>
      <c r="BK294" s="143"/>
      <c r="BL294" s="143"/>
      <c r="BM294" s="143"/>
      <c r="BN294" s="143"/>
      <c r="BO294" s="143"/>
      <c r="BP294" s="143"/>
      <c r="BQ294" s="143"/>
      <c r="BR294" s="143"/>
      <c r="BS294" s="143"/>
      <c r="BT294" s="143"/>
      <c r="BU294" s="143"/>
      <c r="BV294" s="143"/>
      <c r="BW294" s="143"/>
      <c r="BX294" s="143"/>
      <c r="BY294" s="143"/>
      <c r="BZ294" s="143"/>
      <c r="CA294" s="143"/>
      <c r="CB294" s="143"/>
      <c r="CC294" s="143"/>
      <c r="CD294" s="143"/>
      <c r="CE294" s="143"/>
      <c r="CF294" s="143"/>
      <c r="CG294" s="143"/>
      <c r="CH294" s="143"/>
      <c r="CI294" s="143"/>
      <c r="CJ294" s="143"/>
      <c r="CK294" s="143"/>
      <c r="CL294" s="143"/>
      <c r="CM294" s="143"/>
      <c r="CN294" s="143"/>
      <c r="CO294" s="143"/>
      <c r="CP294" s="143"/>
      <c r="CQ294" s="143"/>
      <c r="CR294" s="143"/>
      <c r="CS294" s="143"/>
      <c r="CT294" s="143"/>
      <c r="CU294" s="143"/>
      <c r="CV294" s="143"/>
      <c r="CW294" s="143"/>
      <c r="CX294" s="143"/>
      <c r="CY294" s="143"/>
      <c r="CZ294" s="143"/>
      <c r="DA294" s="143"/>
      <c r="DB294" s="143"/>
      <c r="DC294" s="143"/>
      <c r="DD294" s="143"/>
      <c r="DE294" s="143"/>
      <c r="DF294" s="143"/>
      <c r="DG294" s="143"/>
      <c r="DH294" s="143"/>
      <c r="DI294" s="143"/>
      <c r="DJ294" s="143"/>
      <c r="DK294" s="143"/>
      <c r="DL294" s="143"/>
      <c r="DM294" s="143"/>
      <c r="DN294" s="143"/>
      <c r="DO294" s="143"/>
      <c r="DP294" s="143"/>
      <c r="DQ294" s="143"/>
      <c r="DR294" s="143"/>
      <c r="DS294" s="143"/>
      <c r="DT294" s="143"/>
      <c r="DU294" s="143"/>
      <c r="DV294" s="143"/>
      <c r="DW294" s="143"/>
      <c r="DX294" s="143"/>
      <c r="DY294" s="143"/>
      <c r="DZ294" s="143"/>
      <c r="EA294" s="143"/>
      <c r="EB294" s="143"/>
      <c r="EC294" s="143"/>
      <c r="ED294" s="143"/>
      <c r="EE294" s="143"/>
      <c r="EF294" s="143"/>
      <c r="EG294" s="143"/>
      <c r="EH294" s="143"/>
      <c r="EI294" s="143"/>
      <c r="EJ294" s="143"/>
      <c r="EK294" s="143"/>
      <c r="EL294" s="143"/>
      <c r="EM294" s="143"/>
      <c r="EN294" s="143"/>
      <c r="EO294" s="143"/>
      <c r="EP294" s="143"/>
      <c r="EQ294" s="143"/>
      <c r="ER294" s="143"/>
      <c r="ES294" s="143"/>
      <c r="ET294" s="143"/>
      <c r="EU294" s="143"/>
      <c r="EV294" s="143"/>
      <c r="EW294" s="143"/>
      <c r="EX294" s="143"/>
      <c r="EY294" s="143"/>
      <c r="EZ294" s="143"/>
      <c r="FA294" s="143"/>
      <c r="FB294" s="143"/>
      <c r="FC294" s="143"/>
      <c r="FD294" s="143"/>
      <c r="FE294" s="143"/>
      <c r="FF294" s="143"/>
      <c r="FG294" s="143"/>
      <c r="FH294" s="143"/>
      <c r="FI294" s="143"/>
      <c r="FJ294" s="143"/>
      <c r="FK294" s="143"/>
      <c r="FL294" s="143"/>
      <c r="FM294" s="143"/>
      <c r="FN294" s="143"/>
      <c r="FO294" s="143"/>
      <c r="FP294" s="143"/>
      <c r="FQ294" s="143"/>
      <c r="FR294" s="143"/>
      <c r="FS294" s="143"/>
      <c r="FT294" s="143"/>
      <c r="FU294" s="143"/>
      <c r="FV294" s="143"/>
      <c r="FW294" s="143"/>
      <c r="FX294" s="143"/>
      <c r="FY294" s="143"/>
      <c r="FZ294" s="143"/>
      <c r="GA294" s="143"/>
      <c r="GB294" s="143"/>
      <c r="GC294" s="143"/>
      <c r="GD294" s="143"/>
      <c r="GE294" s="143"/>
      <c r="GF294" s="143"/>
      <c r="GG294" s="143"/>
      <c r="GH294" s="143"/>
      <c r="GI294" s="143"/>
      <c r="GJ294" s="143"/>
      <c r="GK294" s="143"/>
      <c r="GL294" s="143"/>
      <c r="GM294" s="143"/>
      <c r="GN294" s="143"/>
      <c r="GO294" s="143"/>
      <c r="GP294" s="143"/>
      <c r="GQ294" s="143"/>
      <c r="GR294" s="143"/>
      <c r="GS294" s="143"/>
      <c r="GT294" s="143"/>
      <c r="GU294" s="143"/>
      <c r="GV294" s="143"/>
      <c r="GW294" s="143"/>
      <c r="GX294" s="143"/>
      <c r="GY294" s="143"/>
      <c r="GZ294" s="143"/>
      <c r="HA294" s="143"/>
      <c r="HB294" s="143"/>
      <c r="HC294" s="143"/>
      <c r="HD294" s="143"/>
      <c r="HE294" s="143"/>
      <c r="HF294" s="143"/>
      <c r="HG294" s="143"/>
      <c r="HH294" s="143"/>
      <c r="HI294" s="143"/>
      <c r="HJ294" s="143"/>
      <c r="HK294" s="143"/>
      <c r="HL294" s="143"/>
      <c r="HM294" s="143"/>
      <c r="HN294" s="143"/>
      <c r="HO294" s="143"/>
      <c r="HP294" s="143"/>
      <c r="HQ294" s="143"/>
      <c r="HR294" s="143"/>
      <c r="HS294" s="143"/>
      <c r="HT294" s="143"/>
      <c r="HU294" s="143"/>
      <c r="HV294" s="143"/>
      <c r="HW294" s="143"/>
      <c r="HX294" s="143"/>
      <c r="HY294" s="143"/>
      <c r="HZ294" s="143"/>
      <c r="IA294" s="143"/>
      <c r="IB294" s="143"/>
      <c r="IC294" s="143"/>
      <c r="ID294" s="143"/>
      <c r="IE294" s="143"/>
      <c r="IF294" s="143"/>
      <c r="IG294" s="143"/>
      <c r="IH294" s="143"/>
      <c r="II294" s="143"/>
      <c r="IJ294" s="143"/>
      <c r="IK294" s="143"/>
      <c r="IL294" s="143"/>
      <c r="IM294" s="143"/>
      <c r="IN294" s="143"/>
      <c r="IO294" s="143"/>
      <c r="IP294" s="143"/>
      <c r="IQ294" s="143"/>
      <c r="IR294" s="143"/>
      <c r="IS294" s="143"/>
      <c r="IT294" s="143"/>
      <c r="IU294" s="143"/>
      <c r="IV294" s="143"/>
      <c r="IW294" s="143"/>
      <c r="IX294" s="143"/>
      <c r="IY294" s="143"/>
      <c r="IZ294" s="143"/>
      <c r="JA294" s="143"/>
      <c r="JB294" s="143"/>
      <c r="JC294" s="143"/>
      <c r="JD294" s="143"/>
      <c r="JE294" s="143"/>
      <c r="JF294" s="143"/>
      <c r="JG294" s="143"/>
      <c r="JH294" s="143"/>
      <c r="JI294" s="143"/>
    </row>
    <row r="295" spans="1:269" hidden="1" outlineLevel="1">
      <c r="A295" s="450" t="s">
        <v>435</v>
      </c>
      <c r="B295" s="143" t="s">
        <v>438</v>
      </c>
      <c r="C295" s="451" t="str" cm="1">
        <f t="array" ref="C295">_xll.VAData($B295, C$4, $A295, "consensus", "CD", "IMPL","", "")</f>
        <v>-</v>
      </c>
      <c r="D295" s="451" t="str" cm="1">
        <f t="array" ref="D295">_xll.VAData($B295, D$4, $A295, "consensus", "CD", "IMPL","", "")</f>
        <v>-</v>
      </c>
      <c r="E295" s="451" t="str" cm="1">
        <f t="array" ref="E295">_xll.VAData($B295, E$4, $A295, "consensus", "CD", "IMPL","", "")</f>
        <v>-</v>
      </c>
      <c r="F295" s="448" cm="1">
        <f t="array" ref="F295">_xll.VAData($B295, F$4, $A295, "consensus", "CD", "IMPL","", "")</f>
        <v>34.897515354381966</v>
      </c>
      <c r="G295" s="448" cm="1">
        <f t="array" ref="G295">_xll.VAData($B295, G$4, $A295, "consensus", "CD", "IMPL","", "")</f>
        <v>42.592511625843514</v>
      </c>
      <c r="H295" s="448" cm="1">
        <f t="array" ref="H295">_xll.VAData($B295, H$4, $A295, "consensus", "CD", "IMPL","", "")</f>
        <v>39.793497957489571</v>
      </c>
      <c r="I295" s="448" cm="1">
        <f t="array" ref="I295">_xll.VAData($B295, I$4, $A295, "consensus", "CD", "IMPL","", "")</f>
        <v>50.113472707636802</v>
      </c>
      <c r="J295" s="451" cm="1">
        <f t="array" ref="J295">_xll.VAData($B295, J$4, $A295, "consensus", "CD", "IMPL","", "")</f>
        <v>166.6206116606111</v>
      </c>
      <c r="K295" s="448" cm="1">
        <f t="array" ref="K295">_xll.VAData($B295, K$4, $A295, "consensus", "CD", "IMPL","", "")</f>
        <v>32.539111111111112</v>
      </c>
      <c r="L295" s="448" cm="1">
        <f t="array" ref="L295">_xll.VAData($B295, L$4, $A295, "consensus", "CD", "IMPL","", "")</f>
        <v>14.114222222222223</v>
      </c>
      <c r="M295" s="448" cm="1">
        <f t="array" ref="M295">_xll.VAData($B295, M$4, $A295, "consensus", "CD", "IMPL","", "")</f>
        <v>34.553333333333335</v>
      </c>
      <c r="N295" s="448" cm="1">
        <f t="array" ref="N295">_xll.VAData($B295, N$4, $A295, "consensus", "CD", "IMPL","", "")</f>
        <v>37.886733601636479</v>
      </c>
      <c r="O295" s="451" cm="1">
        <f t="array" ref="O295">_xll.VAData($B295, O$4, $A295, "consensus", "CD", "IMPL","", "")</f>
        <v>119.1024602414728</v>
      </c>
      <c r="P295" s="448" cm="1">
        <f t="array" ref="P295">_xll.VAData($B295, P$4, $A295, "consensus", "CD", "IMPL","", "")</f>
        <v>47.537799999999997</v>
      </c>
      <c r="Q295" s="448" cm="1">
        <f t="array" ref="Q295">_xll.VAData($B295, Q$4, $A295, "consensus", "CD", "IMPL","", "")</f>
        <v>66.506400299999996</v>
      </c>
      <c r="R295" s="448" cm="1">
        <f t="array" ref="R295">_xll.VAData($B295, R$4, $A295, "consensus", "CD", "IMPL","", "")</f>
        <v>68.147000300000002</v>
      </c>
      <c r="S295" s="448" cm="1">
        <f t="array" ref="S295">_xll.VAData($B295, S$4, $A295, "consensus", "CD", "IMPL","", "")</f>
        <v>77.890100000000004</v>
      </c>
      <c r="T295" s="451" cm="1">
        <f t="array" ref="T295">_xll.VAData($B295, T$4, $A295, "consensus", "CD", "IMPL","", "")</f>
        <v>260.08239989999998</v>
      </c>
      <c r="U295" s="448" cm="1">
        <f t="array" ref="U295">_xll.VAData($B295, U$4, $A295, "consensus", "CD", "IMPL","", "")</f>
        <v>75.4120001</v>
      </c>
      <c r="V295" s="448" cm="1">
        <f t="array" ref="V295">_xll.VAData($B295, V$4, $A295, "consensus", "CD", "IMPL","", "")</f>
        <v>103.5359829933217</v>
      </c>
      <c r="W295" s="448" cm="1">
        <f t="array" ref="W295">_xll.VAData($B295, W$4, $A295, "consensus", "CD", "IMPL","", "")</f>
        <v>88.792780617536224</v>
      </c>
      <c r="X295" s="448" cm="1">
        <f t="array" ref="X295">_xll.VAData($B295, X$4, $A295, "consensus", "CD", "IMPL","", "")</f>
        <v>98.132999999999996</v>
      </c>
      <c r="Y295" s="451" cm="1">
        <f t="array" ref="Y295">_xll.VAData($B295, Y$4, $A295, "consensus", "CD", "IMPL","", "")</f>
        <v>366.09352523108043</v>
      </c>
      <c r="Z295" s="448" cm="1">
        <f t="array" ref="Z295">_xll.VAData($B295, Z$4, $A295, "consensus", "CD", "IMPL","", "")</f>
        <v>86.286799999999999</v>
      </c>
      <c r="AA295" s="448" cm="1">
        <f t="array" ref="AA295">_xll.VAData($B295, AA$4, $A295, "consensus", "CD", "IMPL","", "")</f>
        <v>117.49160000000001</v>
      </c>
      <c r="AB295" s="448" cm="1">
        <f t="array" ref="AB295">_xll.VAData($B295, AB$4, $A295, "consensus", "CD", "IMPL","", "")</f>
        <v>97.4</v>
      </c>
      <c r="AC295" s="448"/>
      <c r="AD295" s="449"/>
      <c r="AE295" s="448"/>
      <c r="AF295" s="448"/>
      <c r="AG295" s="143"/>
      <c r="AH295" s="143"/>
      <c r="AI295" s="279"/>
      <c r="AJ295" s="143"/>
      <c r="AK295" s="143"/>
      <c r="AL295" s="143"/>
      <c r="AM295" s="143"/>
      <c r="AN295" s="279"/>
      <c r="AO295" s="143"/>
      <c r="AP295" s="143"/>
      <c r="AQ295" s="143"/>
      <c r="AR295" s="143"/>
      <c r="AS295" s="279"/>
      <c r="AT295" s="315"/>
      <c r="AU295" s="508"/>
      <c r="AV295" s="143"/>
      <c r="AW295" s="143"/>
      <c r="AX295" s="143"/>
      <c r="AY295" s="143"/>
      <c r="AZ295" s="143"/>
      <c r="BA295" s="143"/>
      <c r="BB295" s="143"/>
      <c r="BC295" s="143"/>
      <c r="BD295" s="143"/>
      <c r="BE295" s="143"/>
      <c r="BF295" s="143"/>
      <c r="BG295" s="143"/>
      <c r="BH295" s="143"/>
      <c r="BI295" s="143"/>
      <c r="BJ295" s="143"/>
      <c r="BK295" s="143"/>
      <c r="BL295" s="143"/>
      <c r="BM295" s="143"/>
      <c r="BN295" s="143"/>
      <c r="BO295" s="143"/>
      <c r="BP295" s="143"/>
      <c r="BQ295" s="143"/>
      <c r="BR295" s="143"/>
      <c r="BS295" s="143"/>
      <c r="BT295" s="143"/>
      <c r="BU295" s="143"/>
      <c r="BV295" s="143"/>
      <c r="BW295" s="143"/>
      <c r="BX295" s="143"/>
      <c r="BY295" s="143"/>
      <c r="BZ295" s="143"/>
      <c r="CA295" s="143"/>
      <c r="CB295" s="143"/>
      <c r="CC295" s="143"/>
      <c r="CD295" s="143"/>
      <c r="CE295" s="143"/>
      <c r="CF295" s="143"/>
      <c r="CG295" s="143"/>
      <c r="CH295" s="143"/>
      <c r="CI295" s="143"/>
      <c r="CJ295" s="143"/>
      <c r="CK295" s="143"/>
      <c r="CL295" s="143"/>
      <c r="CM295" s="143"/>
      <c r="CN295" s="143"/>
      <c r="CO295" s="143"/>
      <c r="CP295" s="143"/>
      <c r="CQ295" s="143"/>
      <c r="CR295" s="143"/>
      <c r="CS295" s="143"/>
      <c r="CT295" s="143"/>
      <c r="CU295" s="143"/>
      <c r="CV295" s="143"/>
      <c r="CW295" s="143"/>
      <c r="CX295" s="143"/>
      <c r="CY295" s="143"/>
      <c r="CZ295" s="143"/>
      <c r="DA295" s="143"/>
      <c r="DB295" s="143"/>
      <c r="DC295" s="143"/>
      <c r="DD295" s="143"/>
      <c r="DE295" s="143"/>
      <c r="DF295" s="143"/>
      <c r="DG295" s="143"/>
      <c r="DH295" s="143"/>
      <c r="DI295" s="143"/>
      <c r="DJ295" s="143"/>
      <c r="DK295" s="143"/>
      <c r="DL295" s="143"/>
      <c r="DM295" s="143"/>
      <c r="DN295" s="143"/>
      <c r="DO295" s="143"/>
      <c r="DP295" s="143"/>
      <c r="DQ295" s="143"/>
      <c r="DR295" s="143"/>
      <c r="DS295" s="143"/>
      <c r="DT295" s="143"/>
      <c r="DU295" s="143"/>
      <c r="DV295" s="143"/>
      <c r="DW295" s="143"/>
      <c r="DX295" s="143"/>
      <c r="DY295" s="143"/>
      <c r="DZ295" s="143"/>
      <c r="EA295" s="143"/>
      <c r="EB295" s="143"/>
      <c r="EC295" s="143"/>
      <c r="ED295" s="143"/>
      <c r="EE295" s="143"/>
      <c r="EF295" s="143"/>
      <c r="EG295" s="143"/>
      <c r="EH295" s="143"/>
      <c r="EI295" s="143"/>
      <c r="EJ295" s="143"/>
      <c r="EK295" s="143"/>
      <c r="EL295" s="143"/>
      <c r="EM295" s="143"/>
      <c r="EN295" s="143"/>
      <c r="EO295" s="143"/>
      <c r="EP295" s="143"/>
      <c r="EQ295" s="143"/>
      <c r="ER295" s="143"/>
      <c r="ES295" s="143"/>
      <c r="ET295" s="143"/>
      <c r="EU295" s="143"/>
      <c r="EV295" s="143"/>
      <c r="EW295" s="143"/>
      <c r="EX295" s="143"/>
      <c r="EY295" s="143"/>
      <c r="EZ295" s="143"/>
      <c r="FA295" s="143"/>
      <c r="FB295" s="143"/>
      <c r="FC295" s="143"/>
      <c r="FD295" s="143"/>
      <c r="FE295" s="143"/>
      <c r="FF295" s="143"/>
      <c r="FG295" s="143"/>
      <c r="FH295" s="143"/>
      <c r="FI295" s="143"/>
      <c r="FJ295" s="143"/>
      <c r="FK295" s="143"/>
      <c r="FL295" s="143"/>
      <c r="FM295" s="143"/>
      <c r="FN295" s="143"/>
      <c r="FO295" s="143"/>
      <c r="FP295" s="143"/>
      <c r="FQ295" s="143"/>
      <c r="FR295" s="143"/>
      <c r="FS295" s="143"/>
      <c r="FT295" s="143"/>
      <c r="FU295" s="143"/>
      <c r="FV295" s="143"/>
      <c r="FW295" s="143"/>
      <c r="FX295" s="143"/>
      <c r="FY295" s="143"/>
      <c r="FZ295" s="143"/>
      <c r="GA295" s="143"/>
      <c r="GB295" s="143"/>
      <c r="GC295" s="143"/>
      <c r="GD295" s="143"/>
      <c r="GE295" s="143"/>
      <c r="GF295" s="143"/>
      <c r="GG295" s="143"/>
      <c r="GH295" s="143"/>
      <c r="GI295" s="143"/>
      <c r="GJ295" s="143"/>
      <c r="GK295" s="143"/>
      <c r="GL295" s="143"/>
      <c r="GM295" s="143"/>
      <c r="GN295" s="143"/>
      <c r="GO295" s="143"/>
      <c r="GP295" s="143"/>
      <c r="GQ295" s="143"/>
      <c r="GR295" s="143"/>
      <c r="GS295" s="143"/>
      <c r="GT295" s="143"/>
      <c r="GU295" s="143"/>
      <c r="GV295" s="143"/>
      <c r="GW295" s="143"/>
      <c r="GX295" s="143"/>
      <c r="GY295" s="143"/>
      <c r="GZ295" s="143"/>
      <c r="HA295" s="143"/>
      <c r="HB295" s="143"/>
      <c r="HC295" s="143"/>
      <c r="HD295" s="143"/>
      <c r="HE295" s="143"/>
      <c r="HF295" s="143"/>
      <c r="HG295" s="143"/>
      <c r="HH295" s="143"/>
      <c r="HI295" s="143"/>
      <c r="HJ295" s="143"/>
      <c r="HK295" s="143"/>
      <c r="HL295" s="143"/>
      <c r="HM295" s="143"/>
      <c r="HN295" s="143"/>
      <c r="HO295" s="143"/>
      <c r="HP295" s="143"/>
      <c r="HQ295" s="143"/>
      <c r="HR295" s="143"/>
      <c r="HS295" s="143"/>
      <c r="HT295" s="143"/>
      <c r="HU295" s="143"/>
      <c r="HV295" s="143"/>
      <c r="HW295" s="143"/>
      <c r="HX295" s="143"/>
      <c r="HY295" s="143"/>
      <c r="HZ295" s="143"/>
      <c r="IA295" s="143"/>
      <c r="IB295" s="143"/>
      <c r="IC295" s="143"/>
      <c r="ID295" s="143"/>
      <c r="IE295" s="143"/>
      <c r="IF295" s="143"/>
      <c r="IG295" s="143"/>
      <c r="IH295" s="143"/>
      <c r="II295" s="143"/>
      <c r="IJ295" s="143"/>
      <c r="IK295" s="143"/>
      <c r="IL295" s="143"/>
      <c r="IM295" s="143"/>
      <c r="IN295" s="143"/>
      <c r="IO295" s="143"/>
      <c r="IP295" s="143"/>
      <c r="IQ295" s="143"/>
      <c r="IR295" s="143"/>
      <c r="IS295" s="143"/>
      <c r="IT295" s="143"/>
      <c r="IU295" s="143"/>
      <c r="IV295" s="143"/>
      <c r="IW295" s="143"/>
      <c r="IX295" s="143"/>
      <c r="IY295" s="143"/>
      <c r="IZ295" s="143"/>
      <c r="JA295" s="143"/>
      <c r="JB295" s="143"/>
      <c r="JC295" s="143"/>
      <c r="JD295" s="143"/>
      <c r="JE295" s="143"/>
      <c r="JF295" s="143"/>
      <c r="JG295" s="143"/>
      <c r="JH295" s="143"/>
      <c r="JI295" s="143"/>
    </row>
    <row r="296" spans="1:269" hidden="1" outlineLevel="1">
      <c r="A296" s="450" t="s">
        <v>436</v>
      </c>
      <c r="B296" s="143" t="s">
        <v>438</v>
      </c>
      <c r="C296" s="451" t="str" cm="1">
        <f t="array" ref="C296">_xll.VAData($B296, C$4, $A296, "consensus", "CD", "IMPL","", "")</f>
        <v>-</v>
      </c>
      <c r="D296" s="451" t="str" cm="1">
        <f t="array" ref="D296">_xll.VAData($B296, D$4, $A296, "consensus", "CD", "IMPL","", "")</f>
        <v>-</v>
      </c>
      <c r="E296" s="451" t="str" cm="1">
        <f t="array" ref="E296">_xll.VAData($B296, E$4, $A296, "consensus", "CD", "IMPL","", "")</f>
        <v>-</v>
      </c>
      <c r="F296" s="448" cm="1">
        <f t="array" ref="F296">_xll.VAData($B296, F$4, $A296, "consensus", "CD", "IMPL","", "")</f>
        <v>18.186120082735176</v>
      </c>
      <c r="G296" s="448" cm="1">
        <f t="array" ref="G296">_xll.VAData($B296, G$4, $A296, "consensus", "CD", "IMPL","", "")</f>
        <v>22.224394693989581</v>
      </c>
      <c r="H296" s="448" cm="1">
        <f t="array" ref="H296">_xll.VAData($B296, H$4, $A296, "consensus", "CD", "IMPL","", "")</f>
        <v>21.085784872428388</v>
      </c>
      <c r="I296" s="448" cm="1">
        <f t="array" ref="I296">_xll.VAData($B296, I$4, $A296, "consensus", "CD", "IMPL","", "")</f>
        <v>26.147341104530287</v>
      </c>
      <c r="J296" s="451" cm="1">
        <f t="array" ref="J296">_xll.VAData($B296, J$4, $A296, "consensus", "CD", "IMPL","", "")</f>
        <v>85.412462642467617</v>
      </c>
      <c r="K296" s="448" cm="1">
        <f t="array" ref="K296">_xll.VAData($B296, K$4, $A296, "consensus", "CD", "IMPL","", "")</f>
        <v>18.452999999999999</v>
      </c>
      <c r="L296" s="448" cm="1">
        <f t="array" ref="L296">_xll.VAData($B296, L$4, $A296, "consensus", "CD", "IMPL","", "")</f>
        <v>8.1263281250000006</v>
      </c>
      <c r="M296" s="448" cm="1">
        <f t="array" ref="M296">_xll.VAData($B296, M$4, $A296, "consensus", "CD", "IMPL","", "")</f>
        <v>18.622499999999999</v>
      </c>
      <c r="N296" s="448" cm="1">
        <f t="array" ref="N296">_xll.VAData($B296, N$4, $A296, "consensus", "CD", "IMPL","", "")</f>
        <v>20.495845714212166</v>
      </c>
      <c r="O296" s="451" cm="1">
        <f t="array" ref="O296">_xll.VAData($B296, O$4, $A296, "consensus", "CD", "IMPL","", "")</f>
        <v>65.697932301521917</v>
      </c>
      <c r="P296" s="448" cm="1">
        <f t="array" ref="P296">_xll.VAData($B296, P$4, $A296, "consensus", "CD", "IMPL","", "")</f>
        <v>21.884294627574398</v>
      </c>
      <c r="Q296" s="448" cm="1">
        <f t="array" ref="Q296">_xll.VAData($B296, Q$4, $A296, "consensus", "CD", "IMPL","", "")</f>
        <v>31.585777777777775</v>
      </c>
      <c r="R296" s="448" cm="1">
        <f t="array" ref="R296">_xll.VAData($B296, R$4, $A296, "consensus", "CD", "IMPL","", "")</f>
        <v>31.97711111111111</v>
      </c>
      <c r="S296" s="448" cm="1">
        <f t="array" ref="S296">_xll.VAData($B296, S$4, $A296, "consensus", "CD", "IMPL","", "")</f>
        <v>35.197705372425602</v>
      </c>
      <c r="T296" s="451" cm="1">
        <f t="array" ref="T296">_xll.VAData($B296, T$4, $A296, "consensus", "CD", "IMPL","", "")</f>
        <v>120.6448888888889</v>
      </c>
      <c r="U296" s="448" cm="1">
        <f t="array" ref="U296">_xll.VAData($B296, U$4, $A296, "consensus", "CD", "IMPL","", "")</f>
        <v>33.782222222222224</v>
      </c>
      <c r="V296" s="448" cm="1">
        <f t="array" ref="V296">_xll.VAData($B296, V$4, $A296, "consensus", "CD", "IMPL","", "")</f>
        <v>38.770091881468545</v>
      </c>
      <c r="W296" s="448" cm="1">
        <f t="array" ref="W296">_xll.VAData($B296, W$4, $A296, "consensus", "CD", "IMPL","", "")</f>
        <v>39.705081468545785</v>
      </c>
      <c r="X296" s="448" cm="1">
        <f t="array" ref="X296">_xll.VAData($B296, X$4, $A296, "consensus", "CD", "IMPL","", "")</f>
        <v>47.423965795630551</v>
      </c>
      <c r="Y296" s="451" cm="1">
        <f t="array" ref="Y296">_xll.VAData($B296, Y$4, $A296, "consensus", "CD", "IMPL","", "")</f>
        <v>159.68136136786711</v>
      </c>
      <c r="Z296" s="448" cm="1">
        <f t="array" ref="Z296">_xll.VAData($B296, Z$4, $A296, "consensus", "CD", "IMPL","", "")</f>
        <v>40.926234510470437</v>
      </c>
      <c r="AA296" s="448" cm="1">
        <f t="array" ref="AA296">_xll.VAData($B296, AA$4, $A296, "consensus", "CD", "IMPL","", "")</f>
        <v>51.91430469956471</v>
      </c>
      <c r="AB296" s="448" cm="1">
        <f t="array" ref="AB296">_xll.VAData($B296, AB$4, $A296, "consensus", "CD", "IMPL","", "")</f>
        <v>46.4</v>
      </c>
      <c r="AC296" s="434"/>
      <c r="AD296" s="539"/>
      <c r="AE296" s="143"/>
      <c r="AF296" s="143"/>
      <c r="AG296" s="143"/>
      <c r="AH296" s="143"/>
      <c r="AI296" s="279"/>
      <c r="AJ296" s="143"/>
      <c r="AK296" s="143"/>
      <c r="AL296" s="143"/>
      <c r="AM296" s="143"/>
      <c r="AN296" s="279"/>
      <c r="AO296" s="143"/>
      <c r="AP296" s="143"/>
      <c r="AQ296" s="143"/>
      <c r="AR296" s="143"/>
      <c r="AS296" s="279"/>
      <c r="AT296" s="315"/>
      <c r="AU296" s="508"/>
      <c r="AV296" s="143"/>
      <c r="AW296" s="143"/>
      <c r="AX296" s="143"/>
      <c r="AY296" s="143"/>
      <c r="AZ296" s="143"/>
      <c r="BA296" s="143"/>
      <c r="BB296" s="143"/>
      <c r="BC296" s="143"/>
      <c r="BD296" s="143"/>
      <c r="BE296" s="143"/>
      <c r="BF296" s="143"/>
      <c r="BG296" s="143"/>
      <c r="BH296" s="143"/>
      <c r="BI296" s="143"/>
      <c r="BJ296" s="143"/>
      <c r="BK296" s="143"/>
      <c r="BL296" s="143"/>
      <c r="BM296" s="143"/>
      <c r="BN296" s="143"/>
      <c r="BO296" s="143"/>
      <c r="BP296" s="143"/>
      <c r="BQ296" s="143"/>
      <c r="BR296" s="143"/>
      <c r="BS296" s="143"/>
      <c r="BT296" s="143"/>
      <c r="BU296" s="143"/>
      <c r="BV296" s="143"/>
      <c r="BW296" s="143"/>
      <c r="BX296" s="143"/>
      <c r="BY296" s="143"/>
      <c r="BZ296" s="143"/>
      <c r="CA296" s="143"/>
      <c r="CB296" s="143"/>
      <c r="CC296" s="143"/>
      <c r="CD296" s="143"/>
      <c r="CE296" s="143"/>
      <c r="CF296" s="143"/>
      <c r="CG296" s="143"/>
      <c r="CH296" s="143"/>
      <c r="CI296" s="143"/>
      <c r="CJ296" s="143"/>
      <c r="CK296" s="143"/>
      <c r="CL296" s="143"/>
      <c r="CM296" s="143"/>
      <c r="CN296" s="143"/>
      <c r="CO296" s="143"/>
      <c r="CP296" s="143"/>
      <c r="CQ296" s="143"/>
      <c r="CR296" s="143"/>
      <c r="CS296" s="143"/>
      <c r="CT296" s="143"/>
      <c r="CU296" s="143"/>
      <c r="CV296" s="143"/>
      <c r="CW296" s="143"/>
      <c r="CX296" s="143"/>
      <c r="CY296" s="143"/>
      <c r="CZ296" s="143"/>
      <c r="DA296" s="143"/>
      <c r="DB296" s="143"/>
      <c r="DC296" s="143"/>
      <c r="DD296" s="143"/>
      <c r="DE296" s="143"/>
      <c r="DF296" s="143"/>
      <c r="DG296" s="143"/>
      <c r="DH296" s="143"/>
      <c r="DI296" s="143"/>
      <c r="DJ296" s="143"/>
      <c r="DK296" s="143"/>
      <c r="DL296" s="143"/>
      <c r="DM296" s="143"/>
      <c r="DN296" s="143"/>
      <c r="DO296" s="143"/>
      <c r="DP296" s="143"/>
      <c r="DQ296" s="143"/>
      <c r="DR296" s="143"/>
      <c r="DS296" s="143"/>
      <c r="DT296" s="143"/>
      <c r="DU296" s="143"/>
      <c r="DV296" s="143"/>
      <c r="DW296" s="143"/>
      <c r="DX296" s="143"/>
      <c r="DY296" s="143"/>
      <c r="DZ296" s="143"/>
      <c r="EA296" s="143"/>
      <c r="EB296" s="143"/>
      <c r="EC296" s="143"/>
      <c r="ED296" s="143"/>
      <c r="EE296" s="143"/>
      <c r="EF296" s="143"/>
      <c r="EG296" s="143"/>
      <c r="EH296" s="143"/>
      <c r="EI296" s="143"/>
      <c r="EJ296" s="143"/>
      <c r="EK296" s="143"/>
      <c r="EL296" s="143"/>
      <c r="EM296" s="143"/>
      <c r="EN296" s="143"/>
      <c r="EO296" s="143"/>
      <c r="EP296" s="143"/>
      <c r="EQ296" s="143"/>
      <c r="ER296" s="143"/>
      <c r="ES296" s="143"/>
      <c r="ET296" s="143"/>
      <c r="EU296" s="143"/>
      <c r="EV296" s="143"/>
      <c r="EW296" s="143"/>
      <c r="EX296" s="143"/>
      <c r="EY296" s="143"/>
      <c r="EZ296" s="143"/>
      <c r="FA296" s="143"/>
      <c r="FB296" s="143"/>
      <c r="FC296" s="143"/>
      <c r="FD296" s="143"/>
      <c r="FE296" s="143"/>
      <c r="FF296" s="143"/>
      <c r="FG296" s="143"/>
      <c r="FH296" s="143"/>
      <c r="FI296" s="143"/>
      <c r="FJ296" s="143"/>
      <c r="FK296" s="143"/>
      <c r="FL296" s="143"/>
      <c r="FM296" s="143"/>
      <c r="FN296" s="143"/>
      <c r="FO296" s="143"/>
      <c r="FP296" s="143"/>
      <c r="FQ296" s="143"/>
      <c r="FR296" s="143"/>
      <c r="FS296" s="143"/>
      <c r="FT296" s="143"/>
      <c r="FU296" s="143"/>
      <c r="FV296" s="143"/>
      <c r="FW296" s="143"/>
      <c r="FX296" s="143"/>
      <c r="FY296" s="143"/>
      <c r="FZ296" s="143"/>
      <c r="GA296" s="143"/>
      <c r="GB296" s="143"/>
      <c r="GC296" s="143"/>
      <c r="GD296" s="143"/>
      <c r="GE296" s="143"/>
      <c r="GF296" s="143"/>
      <c r="GG296" s="143"/>
      <c r="GH296" s="143"/>
      <c r="GI296" s="143"/>
      <c r="GJ296" s="143"/>
      <c r="GK296" s="143"/>
      <c r="GL296" s="143"/>
      <c r="GM296" s="143"/>
      <c r="GN296" s="143"/>
      <c r="GO296" s="143"/>
      <c r="GP296" s="143"/>
      <c r="GQ296" s="143"/>
      <c r="GR296" s="143"/>
      <c r="GS296" s="143"/>
      <c r="GT296" s="143"/>
      <c r="GU296" s="143"/>
      <c r="GV296" s="143"/>
      <c r="GW296" s="143"/>
      <c r="GX296" s="143"/>
      <c r="GY296" s="143"/>
      <c r="GZ296" s="143"/>
      <c r="HA296" s="143"/>
      <c r="HB296" s="143"/>
      <c r="HC296" s="143"/>
      <c r="HD296" s="143"/>
      <c r="HE296" s="143"/>
      <c r="HF296" s="143"/>
      <c r="HG296" s="143"/>
      <c r="HH296" s="143"/>
      <c r="HI296" s="143"/>
      <c r="HJ296" s="143"/>
      <c r="HK296" s="143"/>
      <c r="HL296" s="143"/>
      <c r="HM296" s="143"/>
      <c r="HN296" s="143"/>
      <c r="HO296" s="143"/>
      <c r="HP296" s="143"/>
      <c r="HQ296" s="143"/>
      <c r="HR296" s="143"/>
      <c r="HS296" s="143"/>
      <c r="HT296" s="143"/>
      <c r="HU296" s="143"/>
      <c r="HV296" s="143"/>
      <c r="HW296" s="143"/>
      <c r="HX296" s="143"/>
      <c r="HY296" s="143"/>
      <c r="HZ296" s="143"/>
      <c r="IA296" s="143"/>
      <c r="IB296" s="143"/>
      <c r="IC296" s="143"/>
      <c r="ID296" s="143"/>
      <c r="IE296" s="143"/>
      <c r="IF296" s="143"/>
      <c r="IG296" s="143"/>
      <c r="IH296" s="143"/>
      <c r="II296" s="143"/>
      <c r="IJ296" s="143"/>
      <c r="IK296" s="143"/>
      <c r="IL296" s="143"/>
      <c r="IM296" s="143"/>
      <c r="IN296" s="143"/>
      <c r="IO296" s="143"/>
      <c r="IP296" s="143"/>
      <c r="IQ296" s="143"/>
      <c r="IR296" s="143"/>
      <c r="IS296" s="143"/>
      <c r="IT296" s="143"/>
      <c r="IU296" s="143"/>
      <c r="IV296" s="143"/>
      <c r="IW296" s="143"/>
      <c r="IX296" s="143"/>
      <c r="IY296" s="143"/>
      <c r="IZ296" s="143"/>
      <c r="JA296" s="143"/>
      <c r="JB296" s="143"/>
      <c r="JC296" s="143"/>
      <c r="JD296" s="143"/>
      <c r="JE296" s="143"/>
      <c r="JF296" s="143"/>
      <c r="JG296" s="143"/>
      <c r="JH296" s="143"/>
      <c r="JI296" s="143"/>
    </row>
    <row r="297" spans="1:269" hidden="1" outlineLevel="1">
      <c r="A297" s="450"/>
      <c r="B297" s="143"/>
      <c r="C297" s="451"/>
      <c r="D297" s="451"/>
      <c r="E297" s="451"/>
      <c r="F297" s="448"/>
      <c r="G297" s="448"/>
      <c r="H297" s="448"/>
      <c r="I297" s="448"/>
      <c r="J297" s="451"/>
      <c r="K297" s="448"/>
      <c r="L297" s="448"/>
      <c r="M297" s="448"/>
      <c r="N297" s="448"/>
      <c r="O297" s="451"/>
      <c r="P297" s="448"/>
      <c r="Q297" s="448"/>
      <c r="R297" s="448"/>
      <c r="S297" s="448"/>
      <c r="T297" s="451"/>
      <c r="U297" s="448"/>
      <c r="V297" s="448"/>
      <c r="W297" s="448"/>
      <c r="X297" s="448"/>
      <c r="Y297" s="451"/>
      <c r="Z297" s="448"/>
      <c r="AA297" s="448"/>
      <c r="AB297" s="448"/>
      <c r="AC297" s="448"/>
      <c r="AD297" s="449"/>
      <c r="AE297" s="448"/>
      <c r="AF297" s="448"/>
      <c r="AG297" s="143"/>
      <c r="AH297" s="143"/>
      <c r="AI297" s="279"/>
      <c r="AJ297" s="143"/>
      <c r="AK297" s="143"/>
      <c r="AL297" s="143"/>
      <c r="AM297" s="143"/>
      <c r="AN297" s="279"/>
      <c r="AO297" s="143"/>
      <c r="AP297" s="143"/>
      <c r="AQ297" s="143"/>
      <c r="AR297" s="143"/>
      <c r="AS297" s="279"/>
      <c r="AT297" s="315"/>
      <c r="AU297" s="508"/>
      <c r="AV297" s="143"/>
      <c r="AW297" s="143"/>
      <c r="AX297" s="143"/>
      <c r="AY297" s="143"/>
      <c r="AZ297" s="143"/>
      <c r="BA297" s="143"/>
      <c r="BB297" s="143"/>
      <c r="BC297" s="143"/>
      <c r="BD297" s="143"/>
      <c r="BE297" s="143"/>
      <c r="BF297" s="143"/>
      <c r="BG297" s="143"/>
      <c r="BH297" s="143"/>
      <c r="BI297" s="143"/>
      <c r="BJ297" s="143"/>
      <c r="BK297" s="143"/>
      <c r="BL297" s="143"/>
      <c r="BM297" s="143"/>
      <c r="BN297" s="143"/>
      <c r="BO297" s="143"/>
      <c r="BP297" s="143"/>
      <c r="BQ297" s="143"/>
      <c r="BR297" s="143"/>
      <c r="BS297" s="143"/>
      <c r="BT297" s="143"/>
      <c r="BU297" s="143"/>
      <c r="BV297" s="143"/>
      <c r="BW297" s="143"/>
      <c r="BX297" s="143"/>
      <c r="BY297" s="143"/>
      <c r="BZ297" s="143"/>
      <c r="CA297" s="143"/>
      <c r="CB297" s="143"/>
      <c r="CC297" s="143"/>
      <c r="CD297" s="143"/>
      <c r="CE297" s="143"/>
      <c r="CF297" s="143"/>
      <c r="CG297" s="143"/>
      <c r="CH297" s="143"/>
      <c r="CI297" s="143"/>
      <c r="CJ297" s="143"/>
      <c r="CK297" s="143"/>
      <c r="CL297" s="143"/>
      <c r="CM297" s="143"/>
      <c r="CN297" s="143"/>
      <c r="CO297" s="143"/>
      <c r="CP297" s="143"/>
      <c r="CQ297" s="143"/>
      <c r="CR297" s="143"/>
      <c r="CS297" s="143"/>
      <c r="CT297" s="143"/>
      <c r="CU297" s="143"/>
      <c r="CV297" s="143"/>
      <c r="CW297" s="143"/>
      <c r="CX297" s="143"/>
      <c r="CY297" s="143"/>
      <c r="CZ297" s="143"/>
      <c r="DA297" s="143"/>
      <c r="DB297" s="143"/>
      <c r="DC297" s="143"/>
      <c r="DD297" s="143"/>
      <c r="DE297" s="143"/>
      <c r="DF297" s="143"/>
      <c r="DG297" s="143"/>
      <c r="DH297" s="143"/>
      <c r="DI297" s="143"/>
      <c r="DJ297" s="143"/>
      <c r="DK297" s="143"/>
      <c r="DL297" s="143"/>
      <c r="DM297" s="143"/>
      <c r="DN297" s="143"/>
      <c r="DO297" s="143"/>
      <c r="DP297" s="143"/>
      <c r="DQ297" s="143"/>
      <c r="DR297" s="143"/>
      <c r="DS297" s="143"/>
      <c r="DT297" s="143"/>
      <c r="DU297" s="143"/>
      <c r="DV297" s="143"/>
      <c r="DW297" s="143"/>
      <c r="DX297" s="143"/>
      <c r="DY297" s="143"/>
      <c r="DZ297" s="143"/>
      <c r="EA297" s="143"/>
      <c r="EB297" s="143"/>
      <c r="EC297" s="143"/>
      <c r="ED297" s="143"/>
      <c r="EE297" s="143"/>
      <c r="EF297" s="143"/>
      <c r="EG297" s="143"/>
      <c r="EH297" s="143"/>
      <c r="EI297" s="143"/>
      <c r="EJ297" s="143"/>
      <c r="EK297" s="143"/>
      <c r="EL297" s="143"/>
      <c r="EM297" s="143"/>
      <c r="EN297" s="143"/>
      <c r="EO297" s="143"/>
      <c r="EP297" s="143"/>
      <c r="EQ297" s="143"/>
      <c r="ER297" s="143"/>
      <c r="ES297" s="143"/>
      <c r="ET297" s="143"/>
      <c r="EU297" s="143"/>
      <c r="EV297" s="143"/>
      <c r="EW297" s="143"/>
      <c r="EX297" s="143"/>
      <c r="EY297" s="143"/>
      <c r="EZ297" s="143"/>
      <c r="FA297" s="143"/>
      <c r="FB297" s="143"/>
      <c r="FC297" s="143"/>
      <c r="FD297" s="143"/>
      <c r="FE297" s="143"/>
      <c r="FF297" s="143"/>
      <c r="FG297" s="143"/>
      <c r="FH297" s="143"/>
      <c r="FI297" s="143"/>
      <c r="FJ297" s="143"/>
      <c r="FK297" s="143"/>
      <c r="FL297" s="143"/>
      <c r="FM297" s="143"/>
      <c r="FN297" s="143"/>
      <c r="FO297" s="143"/>
      <c r="FP297" s="143"/>
      <c r="FQ297" s="143"/>
      <c r="FR297" s="143"/>
      <c r="FS297" s="143"/>
      <c r="FT297" s="143"/>
      <c r="FU297" s="143"/>
      <c r="FV297" s="143"/>
      <c r="FW297" s="143"/>
      <c r="FX297" s="143"/>
      <c r="FY297" s="143"/>
      <c r="FZ297" s="143"/>
      <c r="GA297" s="143"/>
      <c r="GB297" s="143"/>
      <c r="GC297" s="143"/>
      <c r="GD297" s="143"/>
      <c r="GE297" s="143"/>
      <c r="GF297" s="143"/>
      <c r="GG297" s="143"/>
      <c r="GH297" s="143"/>
      <c r="GI297" s="143"/>
      <c r="GJ297" s="143"/>
      <c r="GK297" s="143"/>
      <c r="GL297" s="143"/>
      <c r="GM297" s="143"/>
      <c r="GN297" s="143"/>
      <c r="GO297" s="143"/>
      <c r="GP297" s="143"/>
      <c r="GQ297" s="143"/>
      <c r="GR297" s="143"/>
      <c r="GS297" s="143"/>
      <c r="GT297" s="143"/>
      <c r="GU297" s="143"/>
      <c r="GV297" s="143"/>
      <c r="GW297" s="143"/>
      <c r="GX297" s="143"/>
      <c r="GY297" s="143"/>
      <c r="GZ297" s="143"/>
      <c r="HA297" s="143"/>
      <c r="HB297" s="143"/>
      <c r="HC297" s="143"/>
      <c r="HD297" s="143"/>
      <c r="HE297" s="143"/>
      <c r="HF297" s="143"/>
      <c r="HG297" s="143"/>
      <c r="HH297" s="143"/>
      <c r="HI297" s="143"/>
      <c r="HJ297" s="143"/>
      <c r="HK297" s="143"/>
      <c r="HL297" s="143"/>
      <c r="HM297" s="143"/>
      <c r="HN297" s="143"/>
      <c r="HO297" s="143"/>
      <c r="HP297" s="143"/>
      <c r="HQ297" s="143"/>
      <c r="HR297" s="143"/>
      <c r="HS297" s="143"/>
      <c r="HT297" s="143"/>
      <c r="HU297" s="143"/>
      <c r="HV297" s="143"/>
      <c r="HW297" s="143"/>
      <c r="HX297" s="143"/>
      <c r="HY297" s="143"/>
      <c r="HZ297" s="143"/>
      <c r="IA297" s="143"/>
      <c r="IB297" s="143"/>
      <c r="IC297" s="143"/>
      <c r="ID297" s="143"/>
      <c r="IE297" s="143"/>
      <c r="IF297" s="143"/>
      <c r="IG297" s="143"/>
      <c r="IH297" s="143"/>
      <c r="II297" s="143"/>
      <c r="IJ297" s="143"/>
      <c r="IK297" s="143"/>
      <c r="IL297" s="143"/>
      <c r="IM297" s="143"/>
      <c r="IN297" s="143"/>
      <c r="IO297" s="143"/>
      <c r="IP297" s="143"/>
      <c r="IQ297" s="143"/>
      <c r="IR297" s="143"/>
      <c r="IS297" s="143"/>
      <c r="IT297" s="143"/>
      <c r="IU297" s="143"/>
      <c r="IV297" s="143"/>
      <c r="IW297" s="143"/>
      <c r="IX297" s="143"/>
      <c r="IY297" s="143"/>
      <c r="IZ297" s="143"/>
      <c r="JA297" s="143"/>
      <c r="JB297" s="143"/>
      <c r="JC297" s="143"/>
      <c r="JD297" s="143"/>
      <c r="JE297" s="143"/>
      <c r="JF297" s="143"/>
      <c r="JG297" s="143"/>
      <c r="JH297" s="143"/>
      <c r="JI297" s="143"/>
    </row>
    <row r="298" spans="1:269" hidden="1" outlineLevel="1">
      <c r="A298" s="447" t="s">
        <v>437</v>
      </c>
      <c r="B298" s="143" t="s">
        <v>438</v>
      </c>
      <c r="C298" s="451" t="str" cm="1">
        <f t="array" ref="C298">_xll.VAData($B298, C$4, $A298, "consensus", "CD", "IMPL","", "")</f>
        <v>-</v>
      </c>
      <c r="D298" s="451" t="str" cm="1">
        <f t="array" ref="D298">_xll.VAData($B298, D$4, $A298, "consensus", "CD", "IMPL","", "")</f>
        <v>-</v>
      </c>
      <c r="E298" s="451" t="str" cm="1">
        <f t="array" ref="E298">_xll.VAData($B298, E$4, $A298, "consensus", "CD", "IMPL","", "")</f>
        <v>-</v>
      </c>
      <c r="F298" s="448" cm="1">
        <f t="array" ref="F298">_xll.VAData($B298, F$4, $A298, "consensus", "CD", "IMPL","", "")</f>
        <v>7.7666666666666702</v>
      </c>
      <c r="G298" s="448" cm="1">
        <f t="array" ref="G298">_xll.VAData($B298, G$4, $A298, "consensus", "CD", "IMPL","", "")</f>
        <v>7.7666666666666702</v>
      </c>
      <c r="H298" s="448" cm="1">
        <f t="array" ref="H298">_xll.VAData($B298, H$4, $A298, "consensus", "CD", "IMPL","", "")</f>
        <v>7.7666666666666702</v>
      </c>
      <c r="I298" s="448" cm="1">
        <f t="array" ref="I298">_xll.VAData($B298, I$4, $A298, "consensus", "CD", "IMPL","", "")</f>
        <v>13.242000000000001</v>
      </c>
      <c r="J298" s="451" cm="1">
        <f t="array" ref="J298">_xll.VAData($B298, J$4, $A298, "consensus", "CD", "IMPL","", "")</f>
        <v>34.523301809523808</v>
      </c>
      <c r="K298" s="448" cm="1">
        <f t="array" ref="K298">_xll.VAData($B298, K$4, $A298, "consensus", "CD", "IMPL","", "")</f>
        <v>-2.1885555555555554</v>
      </c>
      <c r="L298" s="448" cm="1">
        <f t="array" ref="L298">_xll.VAData($B298, L$4, $A298, "consensus", "CD", "IMPL","", "")</f>
        <v>-1.0894444444444444</v>
      </c>
      <c r="M298" s="448" cm="1">
        <f t="array" ref="M298">_xll.VAData($B298, M$4, $A298, "consensus", "CD", "IMPL","", "")</f>
        <v>7.5377777777777784</v>
      </c>
      <c r="N298" s="448" cm="1">
        <f t="array" ref="N298">_xll.VAData($B298, N$4, $A298, "consensus", "CD", "IMPL","", "")</f>
        <v>3.5536224905253655</v>
      </c>
      <c r="O298" s="451" cm="1">
        <f t="array" ref="O298">_xll.VAData($B298, O$4, $A298, "consensus", "CD", "IMPL","", "")</f>
        <v>7.7318602414728286</v>
      </c>
      <c r="P298" s="448" cm="1">
        <f t="array" ref="P298">_xll.VAData($B298, P$4, $A298, "consensus", "CD", "IMPL","", "")</f>
        <v>7.0573000000000006</v>
      </c>
      <c r="Q298" s="448" cm="1">
        <f t="array" ref="Q298">_xll.VAData($B298, Q$4, $A298, "consensus", "CD", "IMPL","", "")</f>
        <v>11.633400199999999</v>
      </c>
      <c r="R298" s="448" cm="1">
        <f t="array" ref="R298">_xll.VAData($B298, R$4, $A298, "consensus", "CD", "IMPL","", "")</f>
        <v>5.8054001</v>
      </c>
      <c r="S298" s="448" cm="1">
        <f t="array" ref="S298">_xll.VAData($B298, S$4, $A298, "consensus", "CD", "IMPL","", "")</f>
        <v>8.4919999000000033</v>
      </c>
      <c r="T298" s="451" cm="1">
        <f t="array" ref="T298">_xll.VAData($B298, T$4, $A298, "consensus", "CD", "IMPL","", "")</f>
        <v>32.995899200000011</v>
      </c>
      <c r="U298" s="448" cm="1">
        <f t="array" ref="U298">_xll.VAData($B298, U$4, $A298, "consensus", "CD", "IMPL","", "")</f>
        <v>2.299099900000003</v>
      </c>
      <c r="V298" s="448" cm="1">
        <f t="array" ref="V298">_xll.VAData($B298, V$4, $A298, "consensus", "CD", "IMPL","", "")</f>
        <v>12.84638299332169</v>
      </c>
      <c r="W298" s="448" cm="1">
        <f t="array" ref="W298">_xll.VAData($B298, W$4, $A298, "consensus", "CD", "IMPL","", "")</f>
        <v>16.493100617536221</v>
      </c>
      <c r="X298" s="448" cm="1">
        <f t="array" ref="X298">_xll.VAData($B298, X$4, $A298, "consensus", "CD", "IMPL","", "")</f>
        <v>16.375</v>
      </c>
      <c r="Y298" s="451" cm="1">
        <f t="array" ref="Y298">_xll.VAData($B298, Y$4, $A298, "consensus", "CD", "IMPL","", "")</f>
        <v>48.134675431080396</v>
      </c>
      <c r="Z298" s="448" cm="1">
        <f t="array" ref="Z298">_xll.VAData($B298, Z$4, $A298, "consensus", "CD", "IMPL","", "")</f>
        <v>-0.50060000000000304</v>
      </c>
      <c r="AA298" s="448" cm="1">
        <f t="array" ref="AA298">_xll.VAData($B298, AA$4, $A298, "consensus", "CD", "IMPL","", "")</f>
        <v>17.235099999999999</v>
      </c>
      <c r="AB298" s="448" cm="1">
        <f t="array" ref="AB298">_xll.VAData($B298, AB$4, $A298, "consensus", "CD", "IMPL","", "")</f>
        <v>9.0912500000000041</v>
      </c>
      <c r="AC298" s="448"/>
      <c r="AD298" s="449"/>
      <c r="AE298" s="448"/>
      <c r="AF298" s="448"/>
      <c r="AG298" s="143"/>
      <c r="AH298" s="143"/>
      <c r="AI298" s="279"/>
      <c r="AJ298" s="143"/>
      <c r="AK298" s="143"/>
      <c r="AL298" s="143"/>
      <c r="AM298" s="143"/>
      <c r="AN298" s="279"/>
      <c r="AO298" s="143"/>
      <c r="AP298" s="143"/>
      <c r="AQ298" s="143"/>
      <c r="AR298" s="143"/>
      <c r="AS298" s="279"/>
      <c r="AT298" s="315"/>
      <c r="AU298" s="508"/>
      <c r="AV298" s="143"/>
      <c r="AW298" s="143"/>
      <c r="AX298" s="143"/>
      <c r="AY298" s="143"/>
      <c r="AZ298" s="143"/>
      <c r="BA298" s="143"/>
      <c r="BB298" s="143"/>
      <c r="BC298" s="143"/>
      <c r="BD298" s="143"/>
      <c r="BE298" s="143"/>
      <c r="BF298" s="143"/>
      <c r="BG298" s="143"/>
      <c r="BH298" s="143"/>
      <c r="BI298" s="143"/>
      <c r="BJ298" s="143"/>
      <c r="BK298" s="143"/>
      <c r="BL298" s="143"/>
      <c r="BM298" s="143"/>
      <c r="BN298" s="143"/>
      <c r="BO298" s="143"/>
      <c r="BP298" s="143"/>
      <c r="BQ298" s="143"/>
      <c r="BR298" s="143"/>
      <c r="BS298" s="143"/>
      <c r="BT298" s="143"/>
      <c r="BU298" s="143"/>
      <c r="BV298" s="143"/>
      <c r="BW298" s="143"/>
      <c r="BX298" s="143"/>
      <c r="BY298" s="143"/>
      <c r="BZ298" s="143"/>
      <c r="CA298" s="143"/>
      <c r="CB298" s="143"/>
      <c r="CC298" s="143"/>
      <c r="CD298" s="143"/>
      <c r="CE298" s="143"/>
      <c r="CF298" s="143"/>
      <c r="CG298" s="143"/>
      <c r="CH298" s="143"/>
      <c r="CI298" s="143"/>
      <c r="CJ298" s="143"/>
      <c r="CK298" s="143"/>
      <c r="CL298" s="143"/>
      <c r="CM298" s="143"/>
      <c r="CN298" s="143"/>
      <c r="CO298" s="143"/>
      <c r="CP298" s="143"/>
      <c r="CQ298" s="143"/>
      <c r="CR298" s="143"/>
      <c r="CS298" s="143"/>
      <c r="CT298" s="143"/>
      <c r="CU298" s="143"/>
      <c r="CV298" s="143"/>
      <c r="CW298" s="143"/>
      <c r="CX298" s="143"/>
      <c r="CY298" s="143"/>
      <c r="CZ298" s="143"/>
      <c r="DA298" s="143"/>
      <c r="DB298" s="143"/>
      <c r="DC298" s="143"/>
      <c r="DD298" s="143"/>
      <c r="DE298" s="143"/>
      <c r="DF298" s="143"/>
      <c r="DG298" s="143"/>
      <c r="DH298" s="143"/>
      <c r="DI298" s="143"/>
      <c r="DJ298" s="143"/>
      <c r="DK298" s="143"/>
      <c r="DL298" s="143"/>
      <c r="DM298" s="143"/>
      <c r="DN298" s="143"/>
      <c r="DO298" s="143"/>
      <c r="DP298" s="143"/>
      <c r="DQ298" s="143"/>
      <c r="DR298" s="143"/>
      <c r="DS298" s="143"/>
      <c r="DT298" s="143"/>
      <c r="DU298" s="143"/>
      <c r="DV298" s="143"/>
      <c r="DW298" s="143"/>
      <c r="DX298" s="143"/>
      <c r="DY298" s="143"/>
      <c r="DZ298" s="143"/>
      <c r="EA298" s="143"/>
      <c r="EB298" s="143"/>
      <c r="EC298" s="143"/>
      <c r="ED298" s="143"/>
      <c r="EE298" s="143"/>
      <c r="EF298" s="143"/>
      <c r="EG298" s="143"/>
      <c r="EH298" s="143"/>
      <c r="EI298" s="143"/>
      <c r="EJ298" s="143"/>
      <c r="EK298" s="143"/>
      <c r="EL298" s="143"/>
      <c r="EM298" s="143"/>
      <c r="EN298" s="143"/>
      <c r="EO298" s="143"/>
      <c r="EP298" s="143"/>
      <c r="EQ298" s="143"/>
      <c r="ER298" s="143"/>
      <c r="ES298" s="143"/>
      <c r="ET298" s="143"/>
      <c r="EU298" s="143"/>
      <c r="EV298" s="143"/>
      <c r="EW298" s="143"/>
      <c r="EX298" s="143"/>
      <c r="EY298" s="143"/>
      <c r="EZ298" s="143"/>
      <c r="FA298" s="143"/>
      <c r="FB298" s="143"/>
      <c r="FC298" s="143"/>
      <c r="FD298" s="143"/>
      <c r="FE298" s="143"/>
      <c r="FF298" s="143"/>
      <c r="FG298" s="143"/>
      <c r="FH298" s="143"/>
      <c r="FI298" s="143"/>
      <c r="FJ298" s="143"/>
      <c r="FK298" s="143"/>
      <c r="FL298" s="143"/>
      <c r="FM298" s="143"/>
      <c r="FN298" s="143"/>
      <c r="FO298" s="143"/>
      <c r="FP298" s="143"/>
      <c r="FQ298" s="143"/>
      <c r="FR298" s="143"/>
      <c r="FS298" s="143"/>
      <c r="FT298" s="143"/>
      <c r="FU298" s="143"/>
      <c r="FV298" s="143"/>
      <c r="FW298" s="143"/>
      <c r="FX298" s="143"/>
      <c r="FY298" s="143"/>
      <c r="FZ298" s="143"/>
      <c r="GA298" s="143"/>
      <c r="GB298" s="143"/>
      <c r="GC298" s="143"/>
      <c r="GD298" s="143"/>
      <c r="GE298" s="143"/>
      <c r="GF298" s="143"/>
      <c r="GG298" s="143"/>
      <c r="GH298" s="143"/>
      <c r="GI298" s="143"/>
      <c r="GJ298" s="143"/>
      <c r="GK298" s="143"/>
      <c r="GL298" s="143"/>
      <c r="GM298" s="143"/>
      <c r="GN298" s="143"/>
      <c r="GO298" s="143"/>
      <c r="GP298" s="143"/>
      <c r="GQ298" s="143"/>
      <c r="GR298" s="143"/>
      <c r="GS298" s="143"/>
      <c r="GT298" s="143"/>
      <c r="GU298" s="143"/>
      <c r="GV298" s="143"/>
      <c r="GW298" s="143"/>
      <c r="GX298" s="143"/>
      <c r="GY298" s="143"/>
      <c r="GZ298" s="143"/>
      <c r="HA298" s="143"/>
      <c r="HB298" s="143"/>
      <c r="HC298" s="143"/>
      <c r="HD298" s="143"/>
      <c r="HE298" s="143"/>
      <c r="HF298" s="143"/>
      <c r="HG298" s="143"/>
      <c r="HH298" s="143"/>
      <c r="HI298" s="143"/>
      <c r="HJ298" s="143"/>
      <c r="HK298" s="143"/>
      <c r="HL298" s="143"/>
      <c r="HM298" s="143"/>
      <c r="HN298" s="143"/>
      <c r="HO298" s="143"/>
      <c r="HP298" s="143"/>
      <c r="HQ298" s="143"/>
      <c r="HR298" s="143"/>
      <c r="HS298" s="143"/>
      <c r="HT298" s="143"/>
      <c r="HU298" s="143"/>
      <c r="HV298" s="143"/>
      <c r="HW298" s="143"/>
      <c r="HX298" s="143"/>
      <c r="HY298" s="143"/>
      <c r="HZ298" s="143"/>
      <c r="IA298" s="143"/>
      <c r="IB298" s="143"/>
      <c r="IC298" s="143"/>
      <c r="ID298" s="143"/>
      <c r="IE298" s="143"/>
      <c r="IF298" s="143"/>
      <c r="IG298" s="143"/>
      <c r="IH298" s="143"/>
      <c r="II298" s="143"/>
      <c r="IJ298" s="143"/>
      <c r="IK298" s="143"/>
      <c r="IL298" s="143"/>
      <c r="IM298" s="143"/>
      <c r="IN298" s="143"/>
      <c r="IO298" s="143"/>
      <c r="IP298" s="143"/>
      <c r="IQ298" s="143"/>
      <c r="IR298" s="143"/>
      <c r="IS298" s="143"/>
      <c r="IT298" s="143"/>
      <c r="IU298" s="143"/>
      <c r="IV298" s="143"/>
      <c r="IW298" s="143"/>
      <c r="IX298" s="143"/>
      <c r="IY298" s="143"/>
      <c r="IZ298" s="143"/>
      <c r="JA298" s="143"/>
      <c r="JB298" s="143"/>
      <c r="JC298" s="143"/>
      <c r="JD298" s="143"/>
      <c r="JE298" s="143"/>
      <c r="JF298" s="143"/>
      <c r="JG298" s="143"/>
      <c r="JH298" s="143"/>
      <c r="JI298" s="143"/>
    </row>
    <row r="299" spans="1:269" hidden="1" outlineLevel="1">
      <c r="A299" s="91"/>
      <c r="B299" s="143"/>
      <c r="C299" s="451"/>
      <c r="D299" s="451"/>
      <c r="E299" s="451"/>
      <c r="F299" s="448"/>
      <c r="G299" s="448"/>
      <c r="H299" s="448"/>
      <c r="I299" s="448"/>
      <c r="J299" s="451"/>
      <c r="K299" s="448"/>
      <c r="L299" s="448"/>
      <c r="M299" s="448"/>
      <c r="N299" s="448"/>
      <c r="O299" s="451"/>
      <c r="P299" s="448"/>
      <c r="Q299" s="448"/>
      <c r="R299" s="448"/>
      <c r="S299" s="448"/>
      <c r="T299" s="451"/>
      <c r="U299" s="448"/>
      <c r="V299" s="448"/>
      <c r="W299" s="448"/>
      <c r="X299" s="448"/>
      <c r="Y299" s="451"/>
      <c r="Z299" s="448"/>
      <c r="AA299" s="448"/>
      <c r="AB299" s="448"/>
      <c r="AC299" s="448"/>
      <c r="AD299" s="449"/>
      <c r="AE299" s="448"/>
      <c r="AF299" s="448"/>
      <c r="AG299" s="143"/>
      <c r="AH299" s="143"/>
      <c r="AI299" s="279"/>
      <c r="AJ299" s="143"/>
      <c r="AK299" s="143"/>
      <c r="AL299" s="143"/>
      <c r="AM299" s="143"/>
      <c r="AN299" s="279"/>
      <c r="AO299" s="143"/>
      <c r="AP299" s="143"/>
      <c r="AQ299" s="143"/>
      <c r="AR299" s="143"/>
      <c r="AS299" s="279"/>
      <c r="AT299" s="315"/>
      <c r="AU299" s="508"/>
      <c r="AV299" s="143"/>
      <c r="AW299" s="143"/>
      <c r="AX299" s="143"/>
      <c r="AY299" s="143"/>
      <c r="AZ299" s="143"/>
      <c r="BA299" s="143"/>
      <c r="BB299" s="143"/>
      <c r="BC299" s="143"/>
      <c r="BD299" s="143"/>
      <c r="BE299" s="143"/>
      <c r="BF299" s="143"/>
      <c r="BG299" s="143"/>
      <c r="BH299" s="143"/>
      <c r="BI299" s="143"/>
      <c r="BJ299" s="143"/>
      <c r="BK299" s="143"/>
      <c r="BL299" s="143"/>
      <c r="BM299" s="143"/>
      <c r="BN299" s="143"/>
      <c r="BO299" s="143"/>
      <c r="BP299" s="143"/>
      <c r="BQ299" s="143"/>
      <c r="BR299" s="143"/>
      <c r="BS299" s="143"/>
      <c r="BT299" s="143"/>
      <c r="BU299" s="143"/>
      <c r="BV299" s="143"/>
      <c r="BW299" s="143"/>
      <c r="BX299" s="143"/>
      <c r="BY299" s="143"/>
      <c r="BZ299" s="143"/>
      <c r="CA299" s="143"/>
      <c r="CB299" s="143"/>
      <c r="CC299" s="143"/>
      <c r="CD299" s="143"/>
      <c r="CE299" s="143"/>
      <c r="CF299" s="143"/>
      <c r="CG299" s="143"/>
      <c r="CH299" s="143"/>
      <c r="CI299" s="143"/>
      <c r="CJ299" s="143"/>
      <c r="CK299" s="143"/>
      <c r="CL299" s="143"/>
      <c r="CM299" s="143"/>
      <c r="CN299" s="143"/>
      <c r="CO299" s="143"/>
      <c r="CP299" s="143"/>
      <c r="CQ299" s="143"/>
      <c r="CR299" s="143"/>
      <c r="CS299" s="143"/>
      <c r="CT299" s="143"/>
      <c r="CU299" s="143"/>
      <c r="CV299" s="143"/>
      <c r="CW299" s="143"/>
      <c r="CX299" s="143"/>
      <c r="CY299" s="143"/>
      <c r="CZ299" s="143"/>
      <c r="DA299" s="143"/>
      <c r="DB299" s="143"/>
      <c r="DC299" s="143"/>
      <c r="DD299" s="143"/>
      <c r="DE299" s="143"/>
      <c r="DF299" s="143"/>
      <c r="DG299" s="143"/>
      <c r="DH299" s="143"/>
      <c r="DI299" s="143"/>
      <c r="DJ299" s="143"/>
      <c r="DK299" s="143"/>
      <c r="DL299" s="143"/>
      <c r="DM299" s="143"/>
      <c r="DN299" s="143"/>
      <c r="DO299" s="143"/>
      <c r="DP299" s="143"/>
      <c r="DQ299" s="143"/>
      <c r="DR299" s="143"/>
      <c r="DS299" s="143"/>
      <c r="DT299" s="143"/>
      <c r="DU299" s="143"/>
      <c r="DV299" s="143"/>
      <c r="DW299" s="143"/>
      <c r="DX299" s="143"/>
      <c r="DY299" s="143"/>
      <c r="DZ299" s="143"/>
      <c r="EA299" s="143"/>
      <c r="EB299" s="143"/>
      <c r="EC299" s="143"/>
      <c r="ED299" s="143"/>
      <c r="EE299" s="143"/>
      <c r="EF299" s="143"/>
      <c r="EG299" s="143"/>
      <c r="EH299" s="143"/>
      <c r="EI299" s="143"/>
      <c r="EJ299" s="143"/>
      <c r="EK299" s="143"/>
      <c r="EL299" s="143"/>
      <c r="EM299" s="143"/>
      <c r="EN299" s="143"/>
      <c r="EO299" s="143"/>
      <c r="EP299" s="143"/>
      <c r="EQ299" s="143"/>
      <c r="ER299" s="143"/>
      <c r="ES299" s="143"/>
      <c r="ET299" s="143"/>
      <c r="EU299" s="143"/>
      <c r="EV299" s="143"/>
      <c r="EW299" s="143"/>
      <c r="EX299" s="143"/>
      <c r="EY299" s="143"/>
      <c r="EZ299" s="143"/>
      <c r="FA299" s="143"/>
      <c r="FB299" s="143"/>
      <c r="FC299" s="143"/>
      <c r="FD299" s="143"/>
      <c r="FE299" s="143"/>
      <c r="FF299" s="143"/>
      <c r="FG299" s="143"/>
      <c r="FH299" s="143"/>
      <c r="FI299" s="143"/>
      <c r="FJ299" s="143"/>
      <c r="FK299" s="143"/>
      <c r="FL299" s="143"/>
      <c r="FM299" s="143"/>
      <c r="FN299" s="143"/>
      <c r="FO299" s="143"/>
      <c r="FP299" s="143"/>
      <c r="FQ299" s="143"/>
      <c r="FR299" s="143"/>
      <c r="FS299" s="143"/>
      <c r="FT299" s="143"/>
      <c r="FU299" s="143"/>
      <c r="FV299" s="143"/>
      <c r="FW299" s="143"/>
      <c r="FX299" s="143"/>
      <c r="FY299" s="143"/>
      <c r="FZ299" s="143"/>
      <c r="GA299" s="143"/>
      <c r="GB299" s="143"/>
      <c r="GC299" s="143"/>
      <c r="GD299" s="143"/>
      <c r="GE299" s="143"/>
      <c r="GF299" s="143"/>
      <c r="GG299" s="143"/>
      <c r="GH299" s="143"/>
      <c r="GI299" s="143"/>
      <c r="GJ299" s="143"/>
      <c r="GK299" s="143"/>
      <c r="GL299" s="143"/>
      <c r="GM299" s="143"/>
      <c r="GN299" s="143"/>
      <c r="GO299" s="143"/>
      <c r="GP299" s="143"/>
      <c r="GQ299" s="143"/>
      <c r="GR299" s="143"/>
      <c r="GS299" s="143"/>
      <c r="GT299" s="143"/>
      <c r="GU299" s="143"/>
      <c r="GV299" s="143"/>
      <c r="GW299" s="143"/>
      <c r="GX299" s="143"/>
      <c r="GY299" s="143"/>
      <c r="GZ299" s="143"/>
      <c r="HA299" s="143"/>
      <c r="HB299" s="143"/>
      <c r="HC299" s="143"/>
      <c r="HD299" s="143"/>
      <c r="HE299" s="143"/>
      <c r="HF299" s="143"/>
      <c r="HG299" s="143"/>
      <c r="HH299" s="143"/>
      <c r="HI299" s="143"/>
      <c r="HJ299" s="143"/>
      <c r="HK299" s="143"/>
      <c r="HL299" s="143"/>
      <c r="HM299" s="143"/>
      <c r="HN299" s="143"/>
      <c r="HO299" s="143"/>
      <c r="HP299" s="143"/>
      <c r="HQ299" s="143"/>
      <c r="HR299" s="143"/>
      <c r="HS299" s="143"/>
      <c r="HT299" s="143"/>
      <c r="HU299" s="143"/>
      <c r="HV299" s="143"/>
      <c r="HW299" s="143"/>
      <c r="HX299" s="143"/>
      <c r="HY299" s="143"/>
      <c r="HZ299" s="143"/>
      <c r="IA299" s="143"/>
      <c r="IB299" s="143"/>
      <c r="IC299" s="143"/>
      <c r="ID299" s="143"/>
      <c r="IE299" s="143"/>
      <c r="IF299" s="143"/>
      <c r="IG299" s="143"/>
      <c r="IH299" s="143"/>
      <c r="II299" s="143"/>
      <c r="IJ299" s="143"/>
      <c r="IK299" s="143"/>
      <c r="IL299" s="143"/>
      <c r="IM299" s="143"/>
      <c r="IN299" s="143"/>
      <c r="IO299" s="143"/>
      <c r="IP299" s="143"/>
      <c r="IQ299" s="143"/>
      <c r="IR299" s="143"/>
      <c r="IS299" s="143"/>
      <c r="IT299" s="143"/>
      <c r="IU299" s="143"/>
      <c r="IV299" s="143"/>
      <c r="IW299" s="143"/>
      <c r="IX299" s="143"/>
      <c r="IY299" s="143"/>
      <c r="IZ299" s="143"/>
      <c r="JA299" s="143"/>
      <c r="JB299" s="143"/>
      <c r="JC299" s="143"/>
      <c r="JD299" s="143"/>
      <c r="JE299" s="143"/>
      <c r="JF299" s="143"/>
      <c r="JG299" s="143"/>
      <c r="JH299" s="143"/>
      <c r="JI299" s="143"/>
    </row>
    <row r="300" spans="1:269" hidden="1" outlineLevel="1">
      <c r="A300" s="447"/>
      <c r="B300" s="143"/>
      <c r="C300" s="451"/>
      <c r="D300" s="451"/>
      <c r="E300" s="451"/>
      <c r="F300" s="448"/>
      <c r="G300" s="448"/>
      <c r="H300" s="448"/>
      <c r="I300" s="448"/>
      <c r="J300" s="451"/>
      <c r="K300" s="448"/>
      <c r="L300" s="448"/>
      <c r="M300" s="448"/>
      <c r="N300" s="448"/>
      <c r="O300" s="451"/>
      <c r="P300" s="448"/>
      <c r="Q300" s="448"/>
      <c r="R300" s="448"/>
      <c r="S300" s="448"/>
      <c r="T300" s="451"/>
      <c r="U300" s="448"/>
      <c r="V300" s="448"/>
      <c r="W300" s="448"/>
      <c r="X300" s="448"/>
      <c r="Y300" s="451"/>
      <c r="Z300" s="448"/>
      <c r="AA300" s="448"/>
      <c r="AB300" s="448"/>
      <c r="AC300" s="448"/>
      <c r="AD300" s="449"/>
      <c r="AE300" s="448"/>
      <c r="AF300" s="448"/>
      <c r="AG300" s="143"/>
      <c r="AH300" s="143"/>
      <c r="AI300" s="279"/>
      <c r="AJ300" s="143"/>
      <c r="AK300" s="143"/>
      <c r="AL300" s="143"/>
      <c r="AM300" s="143"/>
      <c r="AN300" s="279"/>
      <c r="AO300" s="143"/>
      <c r="AP300" s="143"/>
      <c r="AQ300" s="143"/>
      <c r="AR300" s="143"/>
      <c r="AS300" s="279"/>
      <c r="AT300" s="315"/>
      <c r="AU300" s="508"/>
      <c r="AV300" s="143"/>
      <c r="AW300" s="143"/>
      <c r="AX300" s="143"/>
      <c r="AY300" s="143"/>
      <c r="AZ300" s="143"/>
      <c r="BA300" s="143"/>
      <c r="BB300" s="143"/>
      <c r="BC300" s="143"/>
      <c r="BD300" s="143"/>
      <c r="BE300" s="143"/>
      <c r="BF300" s="143"/>
      <c r="BG300" s="143"/>
      <c r="BH300" s="143"/>
      <c r="BI300" s="143"/>
      <c r="BJ300" s="143"/>
      <c r="BK300" s="143"/>
      <c r="BL300" s="143"/>
      <c r="BM300" s="143"/>
      <c r="BN300" s="143"/>
      <c r="BO300" s="143"/>
      <c r="BP300" s="143"/>
      <c r="BQ300" s="143"/>
      <c r="BR300" s="143"/>
      <c r="BS300" s="143"/>
      <c r="BT300" s="143"/>
      <c r="BU300" s="143"/>
      <c r="BV300" s="143"/>
      <c r="BW300" s="143"/>
      <c r="BX300" s="143"/>
      <c r="BY300" s="143"/>
      <c r="BZ300" s="143"/>
      <c r="CA300" s="143"/>
      <c r="CB300" s="143"/>
      <c r="CC300" s="143"/>
      <c r="CD300" s="143"/>
      <c r="CE300" s="143"/>
      <c r="CF300" s="143"/>
      <c r="CG300" s="143"/>
      <c r="CH300" s="143"/>
      <c r="CI300" s="143"/>
      <c r="CJ300" s="143"/>
      <c r="CK300" s="143"/>
      <c r="CL300" s="143"/>
      <c r="CM300" s="143"/>
      <c r="CN300" s="143"/>
      <c r="CO300" s="143"/>
      <c r="CP300" s="143"/>
      <c r="CQ300" s="143"/>
      <c r="CR300" s="143"/>
      <c r="CS300" s="143"/>
      <c r="CT300" s="143"/>
      <c r="CU300" s="143"/>
      <c r="CV300" s="143"/>
      <c r="CW300" s="143"/>
      <c r="CX300" s="143"/>
      <c r="CY300" s="143"/>
      <c r="CZ300" s="143"/>
      <c r="DA300" s="143"/>
      <c r="DB300" s="143"/>
      <c r="DC300" s="143"/>
      <c r="DD300" s="143"/>
      <c r="DE300" s="143"/>
      <c r="DF300" s="143"/>
      <c r="DG300" s="143"/>
      <c r="DH300" s="143"/>
      <c r="DI300" s="143"/>
      <c r="DJ300" s="143"/>
      <c r="DK300" s="143"/>
      <c r="DL300" s="143"/>
      <c r="DM300" s="143"/>
      <c r="DN300" s="143"/>
      <c r="DO300" s="143"/>
      <c r="DP300" s="143"/>
      <c r="DQ300" s="143"/>
      <c r="DR300" s="143"/>
      <c r="DS300" s="143"/>
      <c r="DT300" s="143"/>
      <c r="DU300" s="143"/>
      <c r="DV300" s="143"/>
      <c r="DW300" s="143"/>
      <c r="DX300" s="143"/>
      <c r="DY300" s="143"/>
      <c r="DZ300" s="143"/>
      <c r="EA300" s="143"/>
      <c r="EB300" s="143"/>
      <c r="EC300" s="143"/>
      <c r="ED300" s="143"/>
      <c r="EE300" s="143"/>
      <c r="EF300" s="143"/>
      <c r="EG300" s="143"/>
      <c r="EH300" s="143"/>
      <c r="EI300" s="143"/>
      <c r="EJ300" s="143"/>
      <c r="EK300" s="143"/>
      <c r="EL300" s="143"/>
      <c r="EM300" s="143"/>
      <c r="EN300" s="143"/>
      <c r="EO300" s="143"/>
      <c r="EP300" s="143"/>
      <c r="EQ300" s="143"/>
      <c r="ER300" s="143"/>
      <c r="ES300" s="143"/>
      <c r="ET300" s="143"/>
      <c r="EU300" s="143"/>
      <c r="EV300" s="143"/>
      <c r="EW300" s="143"/>
      <c r="EX300" s="143"/>
      <c r="EY300" s="143"/>
      <c r="EZ300" s="143"/>
      <c r="FA300" s="143"/>
      <c r="FB300" s="143"/>
      <c r="FC300" s="143"/>
      <c r="FD300" s="143"/>
      <c r="FE300" s="143"/>
      <c r="FF300" s="143"/>
      <c r="FG300" s="143"/>
      <c r="FH300" s="143"/>
      <c r="FI300" s="143"/>
      <c r="FJ300" s="143"/>
      <c r="FK300" s="143"/>
      <c r="FL300" s="143"/>
      <c r="FM300" s="143"/>
      <c r="FN300" s="143"/>
      <c r="FO300" s="143"/>
      <c r="FP300" s="143"/>
      <c r="FQ300" s="143"/>
      <c r="FR300" s="143"/>
      <c r="FS300" s="143"/>
      <c r="FT300" s="143"/>
      <c r="FU300" s="143"/>
      <c r="FV300" s="143"/>
      <c r="FW300" s="143"/>
      <c r="FX300" s="143"/>
      <c r="FY300" s="143"/>
      <c r="FZ300" s="143"/>
      <c r="GA300" s="143"/>
      <c r="GB300" s="143"/>
      <c r="GC300" s="143"/>
      <c r="GD300" s="143"/>
      <c r="GE300" s="143"/>
      <c r="GF300" s="143"/>
      <c r="GG300" s="143"/>
      <c r="GH300" s="143"/>
      <c r="GI300" s="143"/>
      <c r="GJ300" s="143"/>
      <c r="GK300" s="143"/>
      <c r="GL300" s="143"/>
      <c r="GM300" s="143"/>
      <c r="GN300" s="143"/>
      <c r="GO300" s="143"/>
      <c r="GP300" s="143"/>
      <c r="GQ300" s="143"/>
      <c r="GR300" s="143"/>
      <c r="GS300" s="143"/>
      <c r="GT300" s="143"/>
      <c r="GU300" s="143"/>
      <c r="GV300" s="143"/>
      <c r="GW300" s="143"/>
      <c r="GX300" s="143"/>
      <c r="GY300" s="143"/>
      <c r="GZ300" s="143"/>
      <c r="HA300" s="143"/>
      <c r="HB300" s="143"/>
      <c r="HC300" s="143"/>
      <c r="HD300" s="143"/>
      <c r="HE300" s="143"/>
      <c r="HF300" s="143"/>
      <c r="HG300" s="143"/>
      <c r="HH300" s="143"/>
      <c r="HI300" s="143"/>
      <c r="HJ300" s="143"/>
      <c r="HK300" s="143"/>
      <c r="HL300" s="143"/>
      <c r="HM300" s="143"/>
      <c r="HN300" s="143"/>
      <c r="HO300" s="143"/>
      <c r="HP300" s="143"/>
      <c r="HQ300" s="143"/>
      <c r="HR300" s="143"/>
      <c r="HS300" s="143"/>
      <c r="HT300" s="143"/>
      <c r="HU300" s="143"/>
      <c r="HV300" s="143"/>
      <c r="HW300" s="143"/>
      <c r="HX300" s="143"/>
      <c r="HY300" s="143"/>
      <c r="HZ300" s="143"/>
      <c r="IA300" s="143"/>
      <c r="IB300" s="143"/>
      <c r="IC300" s="143"/>
      <c r="ID300" s="143"/>
      <c r="IE300" s="143"/>
      <c r="IF300" s="143"/>
      <c r="IG300" s="143"/>
      <c r="IH300" s="143"/>
      <c r="II300" s="143"/>
      <c r="IJ300" s="143"/>
      <c r="IK300" s="143"/>
      <c r="IL300" s="143"/>
      <c r="IM300" s="143"/>
      <c r="IN300" s="143"/>
      <c r="IO300" s="143"/>
      <c r="IP300" s="143"/>
      <c r="IQ300" s="143"/>
      <c r="IR300" s="143"/>
      <c r="IS300" s="143"/>
      <c r="IT300" s="143"/>
      <c r="IU300" s="143"/>
      <c r="IV300" s="143"/>
      <c r="IW300" s="143"/>
      <c r="IX300" s="143"/>
      <c r="IY300" s="143"/>
      <c r="IZ300" s="143"/>
      <c r="JA300" s="143"/>
      <c r="JB300" s="143"/>
      <c r="JC300" s="143"/>
      <c r="JD300" s="143"/>
      <c r="JE300" s="143"/>
      <c r="JF300" s="143"/>
      <c r="JG300" s="143"/>
      <c r="JH300" s="143"/>
      <c r="JI300" s="143"/>
    </row>
    <row r="301" spans="1:269" hidden="1" outlineLevel="1">
      <c r="A301" s="52" t="s">
        <v>216</v>
      </c>
      <c r="B301" s="53"/>
      <c r="C301" s="54"/>
      <c r="D301" s="54"/>
      <c r="E301" s="54"/>
      <c r="F301" s="54"/>
      <c r="G301" s="54"/>
      <c r="H301" s="54"/>
      <c r="I301" s="54"/>
      <c r="J301" s="54"/>
      <c r="K301" s="54"/>
      <c r="L301" s="54"/>
      <c r="M301" s="54"/>
      <c r="N301" s="54"/>
      <c r="O301" s="54"/>
      <c r="P301" s="54"/>
      <c r="Q301" s="54"/>
      <c r="R301" s="54"/>
      <c r="S301" s="54"/>
      <c r="T301" s="54"/>
      <c r="U301" s="54"/>
      <c r="V301" s="54"/>
      <c r="W301" s="54"/>
      <c r="X301" s="54"/>
      <c r="Y301" s="54"/>
      <c r="Z301" s="54"/>
      <c r="AA301" s="54"/>
      <c r="AB301" s="54"/>
      <c r="AC301" s="55"/>
      <c r="AD301" s="55"/>
      <c r="AE301" s="55"/>
      <c r="AF301" s="55"/>
      <c r="AG301" s="55"/>
      <c r="AH301" s="55"/>
      <c r="AI301" s="55"/>
      <c r="AJ301" s="55"/>
      <c r="AK301" s="55"/>
      <c r="AL301" s="55"/>
      <c r="AM301" s="55"/>
      <c r="AN301" s="55"/>
      <c r="AO301" s="55"/>
      <c r="AP301" s="55"/>
      <c r="AQ301" s="55"/>
      <c r="AR301" s="55"/>
      <c r="AS301" s="55"/>
      <c r="AT301" s="315"/>
      <c r="AU301" s="508"/>
      <c r="AV301" s="143"/>
      <c r="AW301" s="143"/>
      <c r="AX301" s="143"/>
      <c r="AY301" s="143"/>
      <c r="AZ301" s="143"/>
      <c r="BA301" s="143"/>
      <c r="BB301" s="143"/>
      <c r="BC301" s="143"/>
      <c r="BD301" s="143"/>
      <c r="BE301" s="143"/>
      <c r="BF301" s="143"/>
      <c r="BG301" s="143"/>
      <c r="BH301" s="143"/>
      <c r="BI301" s="143"/>
      <c r="BJ301" s="143"/>
      <c r="BK301" s="143"/>
      <c r="BL301" s="143"/>
      <c r="BM301" s="143"/>
      <c r="BN301" s="143"/>
      <c r="BO301" s="143"/>
      <c r="BP301" s="143"/>
      <c r="BQ301" s="143"/>
      <c r="BR301" s="143"/>
      <c r="BS301" s="143"/>
      <c r="BT301" s="143"/>
      <c r="BU301" s="143"/>
      <c r="BV301" s="143"/>
      <c r="BW301" s="143"/>
      <c r="BX301" s="143"/>
      <c r="BY301" s="143"/>
      <c r="BZ301" s="143"/>
      <c r="CA301" s="143"/>
      <c r="CB301" s="143"/>
      <c r="CC301" s="143"/>
      <c r="CD301" s="143"/>
      <c r="CE301" s="143"/>
      <c r="CF301" s="143"/>
      <c r="CG301" s="143"/>
      <c r="CH301" s="143"/>
      <c r="CI301" s="143"/>
      <c r="CJ301" s="143"/>
      <c r="CK301" s="143"/>
      <c r="CL301" s="143"/>
      <c r="CM301" s="143"/>
      <c r="CN301" s="143"/>
      <c r="CO301" s="143"/>
      <c r="CP301" s="143"/>
      <c r="CQ301" s="143"/>
      <c r="CR301" s="143"/>
      <c r="CS301" s="143"/>
      <c r="CT301" s="143"/>
      <c r="CU301" s="143"/>
      <c r="CV301" s="143"/>
      <c r="CW301" s="143"/>
      <c r="CX301" s="143"/>
      <c r="CY301" s="143"/>
      <c r="CZ301" s="143"/>
      <c r="DA301" s="143"/>
      <c r="DB301" s="143"/>
      <c r="DC301" s="143"/>
      <c r="DD301" s="143"/>
      <c r="DE301" s="143"/>
      <c r="DF301" s="143"/>
      <c r="DG301" s="143"/>
      <c r="DH301" s="143"/>
      <c r="DI301" s="143"/>
      <c r="DJ301" s="143"/>
      <c r="DK301" s="143"/>
      <c r="DL301" s="143"/>
      <c r="DM301" s="143"/>
      <c r="DN301" s="143"/>
      <c r="DO301" s="143"/>
      <c r="DP301" s="143"/>
      <c r="DQ301" s="143"/>
      <c r="DR301" s="143"/>
      <c r="DS301" s="143"/>
      <c r="DT301" s="143"/>
      <c r="DU301" s="143"/>
      <c r="DV301" s="143"/>
      <c r="DW301" s="143"/>
      <c r="DX301" s="143"/>
      <c r="DY301" s="143"/>
      <c r="DZ301" s="143"/>
      <c r="EA301" s="143"/>
      <c r="EB301" s="143"/>
      <c r="EC301" s="143"/>
      <c r="ED301" s="143"/>
      <c r="EE301" s="143"/>
      <c r="EF301" s="143"/>
      <c r="EG301" s="143"/>
      <c r="EH301" s="143"/>
      <c r="EI301" s="143"/>
      <c r="EJ301" s="143"/>
      <c r="EK301" s="143"/>
      <c r="EL301" s="143"/>
      <c r="EM301" s="143"/>
      <c r="EN301" s="143"/>
      <c r="EO301" s="143"/>
      <c r="EP301" s="143"/>
      <c r="EQ301" s="143"/>
      <c r="ER301" s="143"/>
      <c r="ES301" s="143"/>
      <c r="ET301" s="143"/>
      <c r="EU301" s="143"/>
      <c r="EV301" s="143"/>
      <c r="EW301" s="143"/>
      <c r="EX301" s="143"/>
      <c r="EY301" s="143"/>
      <c r="EZ301" s="143"/>
      <c r="FA301" s="143"/>
      <c r="FB301" s="143"/>
      <c r="FC301" s="143"/>
      <c r="FD301" s="143"/>
      <c r="FE301" s="143"/>
      <c r="FF301" s="143"/>
      <c r="FG301" s="143"/>
      <c r="FH301" s="143"/>
      <c r="FI301" s="143"/>
      <c r="FJ301" s="143"/>
      <c r="FK301" s="143"/>
      <c r="FL301" s="143"/>
      <c r="FM301" s="143"/>
      <c r="FN301" s="143"/>
      <c r="FO301" s="143"/>
      <c r="FP301" s="143"/>
      <c r="FQ301" s="143"/>
      <c r="FR301" s="143"/>
      <c r="FS301" s="143"/>
      <c r="FT301" s="143"/>
      <c r="FU301" s="143"/>
      <c r="FV301" s="143"/>
      <c r="FW301" s="143"/>
      <c r="FX301" s="143"/>
      <c r="FY301" s="143"/>
      <c r="FZ301" s="143"/>
      <c r="GA301" s="143"/>
      <c r="GB301" s="143"/>
      <c r="GC301" s="143"/>
      <c r="GD301" s="143"/>
      <c r="GE301" s="143"/>
      <c r="GF301" s="143"/>
      <c r="GG301" s="143"/>
      <c r="GH301" s="143"/>
      <c r="GI301" s="143"/>
      <c r="GJ301" s="143"/>
      <c r="GK301" s="143"/>
      <c r="GL301" s="143"/>
      <c r="GM301" s="143"/>
      <c r="GN301" s="143"/>
      <c r="GO301" s="143"/>
      <c r="GP301" s="143"/>
      <c r="GQ301" s="143"/>
      <c r="GR301" s="143"/>
      <c r="GS301" s="143"/>
      <c r="GT301" s="143"/>
      <c r="GU301" s="143"/>
      <c r="GV301" s="143"/>
      <c r="GW301" s="143"/>
      <c r="GX301" s="143"/>
      <c r="GY301" s="143"/>
      <c r="GZ301" s="143"/>
      <c r="HA301" s="143"/>
      <c r="HB301" s="143"/>
      <c r="HC301" s="143"/>
      <c r="HD301" s="143"/>
      <c r="HE301" s="143"/>
      <c r="HF301" s="143"/>
      <c r="HG301" s="143"/>
      <c r="HH301" s="143"/>
      <c r="HI301" s="143"/>
      <c r="HJ301" s="143"/>
      <c r="HK301" s="143"/>
      <c r="HL301" s="143"/>
      <c r="HM301" s="143"/>
      <c r="HN301" s="143"/>
      <c r="HO301" s="143"/>
      <c r="HP301" s="143"/>
      <c r="HQ301" s="143"/>
      <c r="HR301" s="143"/>
      <c r="HS301" s="143"/>
      <c r="HT301" s="143"/>
      <c r="HU301" s="143"/>
      <c r="HV301" s="143"/>
      <c r="HW301" s="143"/>
      <c r="HX301" s="143"/>
      <c r="HY301" s="143"/>
      <c r="HZ301" s="143"/>
      <c r="IA301" s="143"/>
      <c r="IB301" s="143"/>
      <c r="IC301" s="143"/>
      <c r="ID301" s="143"/>
      <c r="IE301" s="143"/>
      <c r="IF301" s="143"/>
      <c r="IG301" s="143"/>
      <c r="IH301" s="143"/>
      <c r="II301" s="143"/>
      <c r="IJ301" s="143"/>
      <c r="IK301" s="143"/>
      <c r="IL301" s="143"/>
      <c r="IM301" s="143"/>
      <c r="IN301" s="143"/>
      <c r="IO301" s="143"/>
      <c r="IP301" s="143"/>
      <c r="IQ301" s="143"/>
      <c r="IR301" s="143"/>
      <c r="IS301" s="143"/>
      <c r="IT301" s="143"/>
      <c r="IU301" s="143"/>
      <c r="IV301" s="143"/>
      <c r="IW301" s="143"/>
      <c r="IX301" s="143"/>
      <c r="IY301" s="143"/>
      <c r="IZ301" s="143"/>
      <c r="JA301" s="143"/>
      <c r="JB301" s="143"/>
      <c r="JC301" s="143"/>
      <c r="JD301" s="143"/>
      <c r="JE301" s="143"/>
      <c r="JF301" s="143"/>
      <c r="JG301" s="143"/>
      <c r="JH301" s="143"/>
      <c r="JI301" s="143"/>
    </row>
    <row r="302" spans="1:269" ht="15" hidden="1" outlineLevel="1" thickBot="1">
      <c r="A302" s="447"/>
      <c r="B302" s="143"/>
      <c r="C302" s="451"/>
      <c r="D302" s="451"/>
      <c r="E302" s="451"/>
      <c r="F302" s="448"/>
      <c r="G302" s="448"/>
      <c r="H302" s="448"/>
      <c r="I302" s="448"/>
      <c r="J302" s="451"/>
      <c r="K302" s="448"/>
      <c r="L302" s="448"/>
      <c r="M302" s="448"/>
      <c r="N302" s="448"/>
      <c r="O302" s="451"/>
      <c r="P302" s="448"/>
      <c r="Q302" s="448"/>
      <c r="R302" s="448"/>
      <c r="S302" s="448"/>
      <c r="T302" s="451"/>
      <c r="U302" s="448"/>
      <c r="V302" s="448"/>
      <c r="W302" s="448"/>
      <c r="X302" s="448"/>
      <c r="Y302" s="451"/>
      <c r="Z302" s="448"/>
      <c r="AA302" s="448"/>
      <c r="AB302" s="448"/>
      <c r="AC302" s="448"/>
      <c r="AD302" s="449"/>
      <c r="AE302" s="448"/>
      <c r="AF302" s="448"/>
      <c r="AG302" s="143"/>
      <c r="AH302" s="143"/>
      <c r="AI302" s="279"/>
      <c r="AJ302" s="143"/>
      <c r="AK302" s="143"/>
      <c r="AL302" s="143"/>
      <c r="AM302" s="143"/>
      <c r="AN302" s="279"/>
      <c r="AO302" s="143"/>
      <c r="AP302" s="143"/>
      <c r="AQ302" s="143"/>
      <c r="AR302" s="143"/>
      <c r="AS302" s="279"/>
      <c r="AT302" s="315"/>
      <c r="AU302" s="508"/>
      <c r="AV302" s="143"/>
      <c r="AW302" s="143"/>
      <c r="AX302" s="143"/>
      <c r="AY302" s="143"/>
      <c r="AZ302" s="143"/>
      <c r="BA302" s="143"/>
      <c r="BB302" s="143"/>
      <c r="BC302" s="143"/>
      <c r="BD302" s="143"/>
      <c r="BE302" s="143"/>
      <c r="BF302" s="143"/>
      <c r="BG302" s="143"/>
      <c r="BH302" s="143"/>
      <c r="BI302" s="143"/>
      <c r="BJ302" s="143"/>
      <c r="BK302" s="143"/>
      <c r="BL302" s="143"/>
      <c r="BM302" s="143"/>
      <c r="BN302" s="143"/>
      <c r="BO302" s="143"/>
      <c r="BP302" s="143"/>
      <c r="BQ302" s="143"/>
      <c r="BR302" s="143"/>
      <c r="BS302" s="143"/>
      <c r="BT302" s="143"/>
      <c r="BU302" s="143"/>
      <c r="BV302" s="143"/>
      <c r="BW302" s="143"/>
      <c r="BX302" s="143"/>
      <c r="BY302" s="143"/>
      <c r="BZ302" s="143"/>
      <c r="CA302" s="143"/>
      <c r="CB302" s="143"/>
      <c r="CC302" s="143"/>
      <c r="CD302" s="143"/>
      <c r="CE302" s="143"/>
      <c r="CF302" s="143"/>
      <c r="CG302" s="143"/>
      <c r="CH302" s="143"/>
      <c r="CI302" s="143"/>
      <c r="CJ302" s="143"/>
      <c r="CK302" s="143"/>
      <c r="CL302" s="143"/>
      <c r="CM302" s="143"/>
      <c r="CN302" s="143"/>
      <c r="CO302" s="143"/>
      <c r="CP302" s="143"/>
      <c r="CQ302" s="143"/>
      <c r="CR302" s="143"/>
      <c r="CS302" s="143"/>
      <c r="CT302" s="143"/>
      <c r="CU302" s="143"/>
      <c r="CV302" s="143"/>
      <c r="CW302" s="143"/>
      <c r="CX302" s="143"/>
      <c r="CY302" s="143"/>
      <c r="CZ302" s="143"/>
      <c r="DA302" s="143"/>
      <c r="DB302" s="143"/>
      <c r="DC302" s="143"/>
      <c r="DD302" s="143"/>
      <c r="DE302" s="143"/>
      <c r="DF302" s="143"/>
      <c r="DG302" s="143"/>
      <c r="DH302" s="143"/>
      <c r="DI302" s="143"/>
      <c r="DJ302" s="143"/>
      <c r="DK302" s="143"/>
      <c r="DL302" s="143"/>
      <c r="DM302" s="143"/>
      <c r="DN302" s="143"/>
      <c r="DO302" s="143"/>
      <c r="DP302" s="143"/>
      <c r="DQ302" s="143"/>
      <c r="DR302" s="143"/>
      <c r="DS302" s="143"/>
      <c r="DT302" s="143"/>
      <c r="DU302" s="143"/>
      <c r="DV302" s="143"/>
      <c r="DW302" s="143"/>
      <c r="DX302" s="143"/>
      <c r="DY302" s="143"/>
      <c r="DZ302" s="143"/>
      <c r="EA302" s="143"/>
      <c r="EB302" s="143"/>
      <c r="EC302" s="143"/>
      <c r="ED302" s="143"/>
      <c r="EE302" s="143"/>
      <c r="EF302" s="143"/>
      <c r="EG302" s="143"/>
      <c r="EH302" s="143"/>
      <c r="EI302" s="143"/>
      <c r="EJ302" s="143"/>
      <c r="EK302" s="143"/>
      <c r="EL302" s="143"/>
      <c r="EM302" s="143"/>
      <c r="EN302" s="143"/>
      <c r="EO302" s="143"/>
      <c r="EP302" s="143"/>
      <c r="EQ302" s="143"/>
      <c r="ER302" s="143"/>
      <c r="ES302" s="143"/>
      <c r="ET302" s="143"/>
      <c r="EU302" s="143"/>
      <c r="EV302" s="143"/>
      <c r="EW302" s="143"/>
      <c r="EX302" s="143"/>
      <c r="EY302" s="143"/>
      <c r="EZ302" s="143"/>
      <c r="FA302" s="143"/>
      <c r="FB302" s="143"/>
      <c r="FC302" s="143"/>
      <c r="FD302" s="143"/>
      <c r="FE302" s="143"/>
      <c r="FF302" s="143"/>
      <c r="FG302" s="143"/>
      <c r="FH302" s="143"/>
      <c r="FI302" s="143"/>
      <c r="FJ302" s="143"/>
      <c r="FK302" s="143"/>
      <c r="FL302" s="143"/>
      <c r="FM302" s="143"/>
      <c r="FN302" s="143"/>
      <c r="FO302" s="143"/>
      <c r="FP302" s="143"/>
      <c r="FQ302" s="143"/>
      <c r="FR302" s="143"/>
      <c r="FS302" s="143"/>
      <c r="FT302" s="143"/>
      <c r="FU302" s="143"/>
      <c r="FV302" s="143"/>
      <c r="FW302" s="143"/>
      <c r="FX302" s="143"/>
      <c r="FY302" s="143"/>
      <c r="FZ302" s="143"/>
      <c r="GA302" s="143"/>
      <c r="GB302" s="143"/>
      <c r="GC302" s="143"/>
      <c r="GD302" s="143"/>
      <c r="GE302" s="143"/>
      <c r="GF302" s="143"/>
      <c r="GG302" s="143"/>
      <c r="GH302" s="143"/>
      <c r="GI302" s="143"/>
      <c r="GJ302" s="143"/>
      <c r="GK302" s="143"/>
      <c r="GL302" s="143"/>
      <c r="GM302" s="143"/>
      <c r="GN302" s="143"/>
      <c r="GO302" s="143"/>
      <c r="GP302" s="143"/>
      <c r="GQ302" s="143"/>
      <c r="GR302" s="143"/>
      <c r="GS302" s="143"/>
      <c r="GT302" s="143"/>
      <c r="GU302" s="143"/>
      <c r="GV302" s="143"/>
      <c r="GW302" s="143"/>
      <c r="GX302" s="143"/>
      <c r="GY302" s="143"/>
      <c r="GZ302" s="143"/>
      <c r="HA302" s="143"/>
      <c r="HB302" s="143"/>
      <c r="HC302" s="143"/>
      <c r="HD302" s="143"/>
      <c r="HE302" s="143"/>
      <c r="HF302" s="143"/>
      <c r="HG302" s="143"/>
      <c r="HH302" s="143"/>
      <c r="HI302" s="143"/>
      <c r="HJ302" s="143"/>
      <c r="HK302" s="143"/>
      <c r="HL302" s="143"/>
      <c r="HM302" s="143"/>
      <c r="HN302" s="143"/>
      <c r="HO302" s="143"/>
      <c r="HP302" s="143"/>
      <c r="HQ302" s="143"/>
      <c r="HR302" s="143"/>
      <c r="HS302" s="143"/>
      <c r="HT302" s="143"/>
      <c r="HU302" s="143"/>
      <c r="HV302" s="143"/>
      <c r="HW302" s="143"/>
      <c r="HX302" s="143"/>
      <c r="HY302" s="143"/>
      <c r="HZ302" s="143"/>
      <c r="IA302" s="143"/>
      <c r="IB302" s="143"/>
      <c r="IC302" s="143"/>
      <c r="ID302" s="143"/>
      <c r="IE302" s="143"/>
      <c r="IF302" s="143"/>
      <c r="IG302" s="143"/>
      <c r="IH302" s="143"/>
      <c r="II302" s="143"/>
      <c r="IJ302" s="143"/>
      <c r="IK302" s="143"/>
      <c r="IL302" s="143"/>
      <c r="IM302" s="143"/>
      <c r="IN302" s="143"/>
      <c r="IO302" s="143"/>
      <c r="IP302" s="143"/>
      <c r="IQ302" s="143"/>
      <c r="IR302" s="143"/>
      <c r="IS302" s="143"/>
      <c r="IT302" s="143"/>
      <c r="IU302" s="143"/>
      <c r="IV302" s="143"/>
      <c r="IW302" s="143"/>
      <c r="IX302" s="143"/>
      <c r="IY302" s="143"/>
      <c r="IZ302" s="143"/>
      <c r="JA302" s="143"/>
      <c r="JB302" s="143"/>
      <c r="JC302" s="143"/>
      <c r="JD302" s="143"/>
      <c r="JE302" s="143"/>
      <c r="JF302" s="143"/>
      <c r="JG302" s="143"/>
      <c r="JH302" s="143"/>
      <c r="JI302" s="143"/>
    </row>
    <row r="303" spans="1:269" hidden="1" outlineLevel="1">
      <c r="A303" s="447" t="s">
        <v>433</v>
      </c>
      <c r="B303" s="143"/>
      <c r="C303" s="417"/>
      <c r="D303" s="417"/>
      <c r="E303" s="417"/>
      <c r="F303" s="414"/>
      <c r="G303" s="414"/>
      <c r="H303" s="414"/>
      <c r="I303" s="414"/>
      <c r="J303" s="417"/>
      <c r="K303" s="414"/>
      <c r="L303" s="414"/>
      <c r="M303" s="414"/>
      <c r="N303" s="414"/>
      <c r="O303" s="417"/>
      <c r="P303" s="414"/>
      <c r="Q303" s="414"/>
      <c r="R303" s="414">
        <f>R292/R281-1</f>
        <v>-1.7590564726292501E-2</v>
      </c>
      <c r="S303" s="414">
        <f t="shared" ref="S303:AB303" si="555">S292/S281-1</f>
        <v>1.6641990224044445E-3</v>
      </c>
      <c r="T303" s="417">
        <f t="shared" si="555"/>
        <v>1.6641990224044445E-3</v>
      </c>
      <c r="U303" s="414">
        <f t="shared" si="555"/>
        <v>-3.1912557038870082E-3</v>
      </c>
      <c r="V303" s="414">
        <f t="shared" si="555"/>
        <v>-1.3737362123213415E-2</v>
      </c>
      <c r="W303" s="414">
        <f t="shared" si="555"/>
        <v>1.1275294450958651E-2</v>
      </c>
      <c r="X303" s="414">
        <f t="shared" si="555"/>
        <v>-3.1511213812698724E-2</v>
      </c>
      <c r="Y303" s="417">
        <f t="shared" si="555"/>
        <v>-3.1511213812698724E-2</v>
      </c>
      <c r="Z303" s="414">
        <f t="shared" si="555"/>
        <v>2.5741458360406533E-2</v>
      </c>
      <c r="AA303" s="414">
        <f t="shared" si="555"/>
        <v>2.3472179057836717E-2</v>
      </c>
      <c r="AB303" s="414">
        <f t="shared" si="555"/>
        <v>-3.5912150883121496E-2</v>
      </c>
      <c r="AC303" s="414"/>
      <c r="AD303" s="422"/>
      <c r="AE303" s="414"/>
      <c r="AF303" s="414"/>
      <c r="AG303" s="143"/>
      <c r="AH303" s="143"/>
      <c r="AI303" s="279"/>
      <c r="AJ303" s="143"/>
      <c r="AK303" s="143"/>
      <c r="AL303" s="143"/>
      <c r="AM303" s="143"/>
      <c r="AN303" s="279"/>
      <c r="AO303" s="143"/>
      <c r="AP303" s="143"/>
      <c r="AQ303" s="143"/>
      <c r="AR303" s="143"/>
      <c r="AS303" s="279"/>
      <c r="AT303" s="315"/>
      <c r="AU303" s="815"/>
      <c r="AV303" s="143"/>
      <c r="AW303" s="143"/>
      <c r="AX303" s="143"/>
      <c r="AY303" s="143"/>
      <c r="AZ303" s="143"/>
      <c r="BA303" s="143"/>
      <c r="BB303" s="143"/>
      <c r="BC303" s="143"/>
      <c r="BD303" s="143"/>
      <c r="BE303" s="143"/>
      <c r="BF303" s="143"/>
      <c r="BG303" s="143"/>
      <c r="BH303" s="143"/>
      <c r="BI303" s="143"/>
      <c r="BJ303" s="143"/>
      <c r="BK303" s="143"/>
      <c r="BL303" s="143"/>
      <c r="BM303" s="143"/>
      <c r="BN303" s="143"/>
      <c r="BO303" s="143"/>
      <c r="BP303" s="143"/>
      <c r="BQ303" s="143"/>
      <c r="BR303" s="143"/>
      <c r="BS303" s="143"/>
      <c r="BT303" s="143"/>
      <c r="BU303" s="143"/>
      <c r="BV303" s="143"/>
      <c r="BW303" s="143"/>
      <c r="BX303" s="143"/>
      <c r="BY303" s="143"/>
      <c r="BZ303" s="143"/>
      <c r="CA303" s="143"/>
      <c r="CB303" s="143"/>
      <c r="CC303" s="143"/>
      <c r="CD303" s="143"/>
      <c r="CE303" s="143"/>
      <c r="CF303" s="143"/>
      <c r="CG303" s="143"/>
      <c r="CH303" s="143"/>
      <c r="CI303" s="143"/>
      <c r="CJ303" s="143"/>
      <c r="CK303" s="143"/>
      <c r="CL303" s="143"/>
      <c r="CM303" s="143"/>
      <c r="CN303" s="143"/>
      <c r="CO303" s="143"/>
      <c r="CP303" s="143"/>
      <c r="CQ303" s="143"/>
      <c r="CR303" s="143"/>
      <c r="CS303" s="143"/>
      <c r="CT303" s="143"/>
      <c r="CU303" s="143"/>
      <c r="CV303" s="143"/>
      <c r="CW303" s="143"/>
      <c r="CX303" s="143"/>
      <c r="CY303" s="143"/>
      <c r="CZ303" s="143"/>
      <c r="DA303" s="143"/>
      <c r="DB303" s="143"/>
      <c r="DC303" s="143"/>
      <c r="DD303" s="143"/>
      <c r="DE303" s="143"/>
      <c r="DF303" s="143"/>
      <c r="DG303" s="143"/>
      <c r="DH303" s="143"/>
      <c r="DI303" s="143"/>
      <c r="DJ303" s="143"/>
      <c r="DK303" s="143"/>
      <c r="DL303" s="143"/>
      <c r="DM303" s="143"/>
      <c r="DN303" s="143"/>
      <c r="DO303" s="143"/>
      <c r="DP303" s="143"/>
      <c r="DQ303" s="143"/>
      <c r="DR303" s="143"/>
      <c r="DS303" s="143"/>
      <c r="DT303" s="143"/>
      <c r="DU303" s="143"/>
      <c r="DV303" s="143"/>
      <c r="DW303" s="143"/>
      <c r="DX303" s="143"/>
      <c r="DY303" s="143"/>
      <c r="DZ303" s="143"/>
      <c r="EA303" s="143"/>
      <c r="EB303" s="143"/>
      <c r="EC303" s="143"/>
      <c r="ED303" s="143"/>
      <c r="EE303" s="143"/>
      <c r="EF303" s="143"/>
      <c r="EG303" s="143"/>
      <c r="EH303" s="143"/>
      <c r="EI303" s="143"/>
      <c r="EJ303" s="143"/>
      <c r="EK303" s="143"/>
      <c r="EL303" s="143"/>
      <c r="EM303" s="143"/>
      <c r="EN303" s="143"/>
      <c r="EO303" s="143"/>
      <c r="EP303" s="143"/>
      <c r="EQ303" s="143"/>
      <c r="ER303" s="143"/>
      <c r="ES303" s="143"/>
      <c r="ET303" s="143"/>
      <c r="EU303" s="143"/>
      <c r="EV303" s="143"/>
      <c r="EW303" s="143"/>
      <c r="EX303" s="143"/>
      <c r="EY303" s="143"/>
      <c r="EZ303" s="143"/>
      <c r="FA303" s="143"/>
      <c r="FB303" s="143"/>
      <c r="FC303" s="143"/>
      <c r="FD303" s="143"/>
      <c r="FE303" s="143"/>
      <c r="FF303" s="143"/>
      <c r="FG303" s="143"/>
      <c r="FH303" s="143"/>
      <c r="FI303" s="143"/>
      <c r="FJ303" s="143"/>
      <c r="FK303" s="143"/>
      <c r="FL303" s="143"/>
      <c r="FM303" s="143"/>
      <c r="FN303" s="143"/>
      <c r="FO303" s="143"/>
      <c r="FP303" s="143"/>
      <c r="FQ303" s="143"/>
      <c r="FR303" s="143"/>
      <c r="FS303" s="143"/>
      <c r="FT303" s="143"/>
      <c r="FU303" s="143"/>
      <c r="FV303" s="143"/>
      <c r="FW303" s="143"/>
      <c r="FX303" s="143"/>
      <c r="FY303" s="143"/>
      <c r="FZ303" s="143"/>
      <c r="GA303" s="143"/>
      <c r="GB303" s="143"/>
      <c r="GC303" s="143"/>
      <c r="GD303" s="143"/>
      <c r="GE303" s="143"/>
      <c r="GF303" s="143"/>
      <c r="GG303" s="143"/>
      <c r="GH303" s="143"/>
      <c r="GI303" s="143"/>
      <c r="GJ303" s="143"/>
      <c r="GK303" s="143"/>
      <c r="GL303" s="143"/>
      <c r="GM303" s="143"/>
      <c r="GN303" s="143"/>
      <c r="GO303" s="143"/>
      <c r="GP303" s="143"/>
      <c r="GQ303" s="143"/>
      <c r="GR303" s="143"/>
      <c r="GS303" s="143"/>
      <c r="GT303" s="143"/>
      <c r="GU303" s="143"/>
      <c r="GV303" s="143"/>
      <c r="GW303" s="143"/>
      <c r="GX303" s="143"/>
      <c r="GY303" s="143"/>
      <c r="GZ303" s="143"/>
      <c r="HA303" s="143"/>
      <c r="HB303" s="143"/>
      <c r="HC303" s="143"/>
      <c r="HD303" s="143"/>
      <c r="HE303" s="143"/>
      <c r="HF303" s="143"/>
      <c r="HG303" s="143"/>
      <c r="HH303" s="143"/>
      <c r="HI303" s="143"/>
      <c r="HJ303" s="143"/>
      <c r="HK303" s="143"/>
      <c r="HL303" s="143"/>
      <c r="HM303" s="143"/>
      <c r="HN303" s="143"/>
      <c r="HO303" s="143"/>
      <c r="HP303" s="143"/>
      <c r="HQ303" s="143"/>
      <c r="HR303" s="143"/>
      <c r="HS303" s="143"/>
      <c r="HT303" s="143"/>
      <c r="HU303" s="143"/>
      <c r="HV303" s="143"/>
      <c r="HW303" s="143"/>
      <c r="HX303" s="143"/>
      <c r="HY303" s="143"/>
      <c r="HZ303" s="143"/>
      <c r="IA303" s="143"/>
      <c r="IB303" s="143"/>
      <c r="IC303" s="143"/>
      <c r="ID303" s="143"/>
      <c r="IE303" s="143"/>
      <c r="IF303" s="143"/>
      <c r="IG303" s="143"/>
      <c r="IH303" s="143"/>
      <c r="II303" s="143"/>
      <c r="IJ303" s="143"/>
      <c r="IK303" s="143"/>
      <c r="IL303" s="143"/>
      <c r="IM303" s="143"/>
      <c r="IN303" s="143"/>
      <c r="IO303" s="143"/>
      <c r="IP303" s="143"/>
      <c r="IQ303" s="143"/>
      <c r="IR303" s="143"/>
      <c r="IS303" s="143"/>
      <c r="IT303" s="143"/>
      <c r="IU303" s="143"/>
      <c r="IV303" s="143"/>
      <c r="IW303" s="143"/>
      <c r="IX303" s="143"/>
      <c r="IY303" s="143"/>
      <c r="IZ303" s="143"/>
      <c r="JA303" s="143"/>
      <c r="JB303" s="143"/>
      <c r="JC303" s="143"/>
      <c r="JD303" s="143"/>
      <c r="JE303" s="143"/>
      <c r="JF303" s="143"/>
      <c r="JG303" s="143"/>
      <c r="JH303" s="143"/>
      <c r="JI303" s="143"/>
    </row>
    <row r="304" spans="1:269" hidden="1" outlineLevel="1">
      <c r="A304" s="450" t="s">
        <v>434</v>
      </c>
      <c r="B304" s="143"/>
      <c r="C304" s="417"/>
      <c r="D304" s="417"/>
      <c r="E304" s="417"/>
      <c r="F304" s="414"/>
      <c r="G304" s="414"/>
      <c r="H304" s="414"/>
      <c r="I304" s="414"/>
      <c r="J304" s="417"/>
      <c r="K304" s="414"/>
      <c r="L304" s="414"/>
      <c r="M304" s="414"/>
      <c r="N304" s="414"/>
      <c r="O304" s="417"/>
      <c r="P304" s="414"/>
      <c r="Q304" s="414"/>
      <c r="R304" s="414">
        <f t="shared" ref="R304:AB304" si="556">R293/R282-1</f>
        <v>-1.2221787833973541E-2</v>
      </c>
      <c r="S304" s="414">
        <f t="shared" si="556"/>
        <v>-1.7420659640380309E-3</v>
      </c>
      <c r="T304" s="417">
        <f t="shared" si="556"/>
        <v>-1.5242578326828404E-3</v>
      </c>
      <c r="U304" s="414">
        <f t="shared" si="556"/>
        <v>-4.0833610403248066E-3</v>
      </c>
      <c r="V304" s="414">
        <f t="shared" si="556"/>
        <v>-8.5843618491178164E-3</v>
      </c>
      <c r="W304" s="414">
        <f t="shared" si="556"/>
        <v>5.3440788887790802E-3</v>
      </c>
      <c r="X304" s="414">
        <f t="shared" si="556"/>
        <v>-1.8584475282149904E-2</v>
      </c>
      <c r="Y304" s="417">
        <f t="shared" si="556"/>
        <v>-2.0198954047818019E-2</v>
      </c>
      <c r="Z304" s="414">
        <f t="shared" si="556"/>
        <v>1.4412488637863374E-2</v>
      </c>
      <c r="AA304" s="414">
        <f t="shared" si="556"/>
        <v>1.1963253936030371E-2</v>
      </c>
      <c r="AB304" s="414">
        <f t="shared" si="556"/>
        <v>-2.1562727508193547E-2</v>
      </c>
      <c r="AC304" s="414"/>
      <c r="AD304" s="422"/>
      <c r="AE304" s="414"/>
      <c r="AF304" s="414"/>
      <c r="AG304" s="143"/>
      <c r="AH304" s="143"/>
      <c r="AI304" s="279"/>
      <c r="AJ304" s="143"/>
      <c r="AK304" s="143"/>
      <c r="AL304" s="143"/>
      <c r="AM304" s="143"/>
      <c r="AN304" s="279"/>
      <c r="AO304" s="143"/>
      <c r="AP304" s="143"/>
      <c r="AQ304" s="143"/>
      <c r="AR304" s="143"/>
      <c r="AS304" s="279"/>
      <c r="AT304" s="315"/>
      <c r="AU304" s="816"/>
      <c r="AV304" s="143"/>
      <c r="AW304" s="143"/>
      <c r="AX304" s="143"/>
      <c r="AY304" s="143"/>
      <c r="AZ304" s="143"/>
      <c r="BA304" s="143"/>
      <c r="BB304" s="143"/>
      <c r="BC304" s="143"/>
      <c r="BD304" s="143"/>
      <c r="BE304" s="143"/>
      <c r="BF304" s="143"/>
      <c r="BG304" s="143"/>
      <c r="BH304" s="143"/>
      <c r="BI304" s="143"/>
      <c r="BJ304" s="143"/>
      <c r="BK304" s="143"/>
      <c r="BL304" s="143"/>
      <c r="BM304" s="143"/>
      <c r="BN304" s="143"/>
      <c r="BO304" s="143"/>
      <c r="BP304" s="143"/>
      <c r="BQ304" s="143"/>
      <c r="BR304" s="143"/>
      <c r="BS304" s="143"/>
      <c r="BT304" s="143"/>
      <c r="BU304" s="143"/>
      <c r="BV304" s="143"/>
      <c r="BW304" s="143"/>
      <c r="BX304" s="143"/>
      <c r="BY304" s="143"/>
      <c r="BZ304" s="143"/>
      <c r="CA304" s="143"/>
      <c r="CB304" s="143"/>
      <c r="CC304" s="143"/>
      <c r="CD304" s="143"/>
      <c r="CE304" s="143"/>
      <c r="CF304" s="143"/>
      <c r="CG304" s="143"/>
      <c r="CH304" s="143"/>
      <c r="CI304" s="143"/>
      <c r="CJ304" s="143"/>
      <c r="CK304" s="143"/>
      <c r="CL304" s="143"/>
      <c r="CM304" s="143"/>
      <c r="CN304" s="143"/>
      <c r="CO304" s="143"/>
      <c r="CP304" s="143"/>
      <c r="CQ304" s="143"/>
      <c r="CR304" s="143"/>
      <c r="CS304" s="143"/>
      <c r="CT304" s="143"/>
      <c r="CU304" s="143"/>
      <c r="CV304" s="143"/>
      <c r="CW304" s="143"/>
      <c r="CX304" s="143"/>
      <c r="CY304" s="143"/>
      <c r="CZ304" s="143"/>
      <c r="DA304" s="143"/>
      <c r="DB304" s="143"/>
      <c r="DC304" s="143"/>
      <c r="DD304" s="143"/>
      <c r="DE304" s="143"/>
      <c r="DF304" s="143"/>
      <c r="DG304" s="143"/>
      <c r="DH304" s="143"/>
      <c r="DI304" s="143"/>
      <c r="DJ304" s="143"/>
      <c r="DK304" s="143"/>
      <c r="DL304" s="143"/>
      <c r="DM304" s="143"/>
      <c r="DN304" s="143"/>
      <c r="DO304" s="143"/>
      <c r="DP304" s="143"/>
      <c r="DQ304" s="143"/>
      <c r="DR304" s="143"/>
      <c r="DS304" s="143"/>
      <c r="DT304" s="143"/>
      <c r="DU304" s="143"/>
      <c r="DV304" s="143"/>
      <c r="DW304" s="143"/>
      <c r="DX304" s="143"/>
      <c r="DY304" s="143"/>
      <c r="DZ304" s="143"/>
      <c r="EA304" s="143"/>
      <c r="EB304" s="143"/>
      <c r="EC304" s="143"/>
      <c r="ED304" s="143"/>
      <c r="EE304" s="143"/>
      <c r="EF304" s="143"/>
      <c r="EG304" s="143"/>
      <c r="EH304" s="143"/>
      <c r="EI304" s="143"/>
      <c r="EJ304" s="143"/>
      <c r="EK304" s="143"/>
      <c r="EL304" s="143"/>
      <c r="EM304" s="143"/>
      <c r="EN304" s="143"/>
      <c r="EO304" s="143"/>
      <c r="EP304" s="143"/>
      <c r="EQ304" s="143"/>
      <c r="ER304" s="143"/>
      <c r="ES304" s="143"/>
      <c r="ET304" s="143"/>
      <c r="EU304" s="143"/>
      <c r="EV304" s="143"/>
      <c r="EW304" s="143"/>
      <c r="EX304" s="143"/>
      <c r="EY304" s="143"/>
      <c r="EZ304" s="143"/>
      <c r="FA304" s="143"/>
      <c r="FB304" s="143"/>
      <c r="FC304" s="143"/>
      <c r="FD304" s="143"/>
      <c r="FE304" s="143"/>
      <c r="FF304" s="143"/>
      <c r="FG304" s="143"/>
      <c r="FH304" s="143"/>
      <c r="FI304" s="143"/>
      <c r="FJ304" s="143"/>
      <c r="FK304" s="143"/>
      <c r="FL304" s="143"/>
      <c r="FM304" s="143"/>
      <c r="FN304" s="143"/>
      <c r="FO304" s="143"/>
      <c r="FP304" s="143"/>
      <c r="FQ304" s="143"/>
      <c r="FR304" s="143"/>
      <c r="FS304" s="143"/>
      <c r="FT304" s="143"/>
      <c r="FU304" s="143"/>
      <c r="FV304" s="143"/>
      <c r="FW304" s="143"/>
      <c r="FX304" s="143"/>
      <c r="FY304" s="143"/>
      <c r="FZ304" s="143"/>
      <c r="GA304" s="143"/>
      <c r="GB304" s="143"/>
      <c r="GC304" s="143"/>
      <c r="GD304" s="143"/>
      <c r="GE304" s="143"/>
      <c r="GF304" s="143"/>
      <c r="GG304" s="143"/>
      <c r="GH304" s="143"/>
      <c r="GI304" s="143"/>
      <c r="GJ304" s="143"/>
      <c r="GK304" s="143"/>
      <c r="GL304" s="143"/>
      <c r="GM304" s="143"/>
      <c r="GN304" s="143"/>
      <c r="GO304" s="143"/>
      <c r="GP304" s="143"/>
      <c r="GQ304" s="143"/>
      <c r="GR304" s="143"/>
      <c r="GS304" s="143"/>
      <c r="GT304" s="143"/>
      <c r="GU304" s="143"/>
      <c r="GV304" s="143"/>
      <c r="GW304" s="143"/>
      <c r="GX304" s="143"/>
      <c r="GY304" s="143"/>
      <c r="GZ304" s="143"/>
      <c r="HA304" s="143"/>
      <c r="HB304" s="143"/>
      <c r="HC304" s="143"/>
      <c r="HD304" s="143"/>
      <c r="HE304" s="143"/>
      <c r="HF304" s="143"/>
      <c r="HG304" s="143"/>
      <c r="HH304" s="143"/>
      <c r="HI304" s="143"/>
      <c r="HJ304" s="143"/>
      <c r="HK304" s="143"/>
      <c r="HL304" s="143"/>
      <c r="HM304" s="143"/>
      <c r="HN304" s="143"/>
      <c r="HO304" s="143"/>
      <c r="HP304" s="143"/>
      <c r="HQ304" s="143"/>
      <c r="HR304" s="143"/>
      <c r="HS304" s="143"/>
      <c r="HT304" s="143"/>
      <c r="HU304" s="143"/>
      <c r="HV304" s="143"/>
      <c r="HW304" s="143"/>
      <c r="HX304" s="143"/>
      <c r="HY304" s="143"/>
      <c r="HZ304" s="143"/>
      <c r="IA304" s="143"/>
      <c r="IB304" s="143"/>
      <c r="IC304" s="143"/>
      <c r="ID304" s="143"/>
      <c r="IE304" s="143"/>
      <c r="IF304" s="143"/>
      <c r="IG304" s="143"/>
      <c r="IH304" s="143"/>
      <c r="II304" s="143"/>
      <c r="IJ304" s="143"/>
      <c r="IK304" s="143"/>
      <c r="IL304" s="143"/>
      <c r="IM304" s="143"/>
      <c r="IN304" s="143"/>
      <c r="IO304" s="143"/>
      <c r="IP304" s="143"/>
      <c r="IQ304" s="143"/>
      <c r="IR304" s="143"/>
      <c r="IS304" s="143"/>
      <c r="IT304" s="143"/>
      <c r="IU304" s="143"/>
      <c r="IV304" s="143"/>
      <c r="IW304" s="143"/>
      <c r="IX304" s="143"/>
      <c r="IY304" s="143"/>
      <c r="IZ304" s="143"/>
      <c r="JA304" s="143"/>
      <c r="JB304" s="143"/>
      <c r="JC304" s="143"/>
      <c r="JD304" s="143"/>
      <c r="JE304" s="143"/>
      <c r="JF304" s="143"/>
      <c r="JG304" s="143"/>
      <c r="JH304" s="143"/>
      <c r="JI304" s="143"/>
    </row>
    <row r="305" spans="1:269" hidden="1" outlineLevel="1">
      <c r="A305" s="450"/>
      <c r="B305" s="143"/>
      <c r="C305" s="417"/>
      <c r="D305" s="417"/>
      <c r="E305" s="417"/>
      <c r="F305" s="414"/>
      <c r="G305" s="414"/>
      <c r="H305" s="414"/>
      <c r="I305" s="414"/>
      <c r="J305" s="417"/>
      <c r="K305" s="414"/>
      <c r="L305" s="414"/>
      <c r="M305" s="414"/>
      <c r="N305" s="414"/>
      <c r="O305" s="417"/>
      <c r="P305" s="414"/>
      <c r="Q305" s="414"/>
      <c r="R305" s="414"/>
      <c r="S305" s="414"/>
      <c r="T305" s="417"/>
      <c r="U305" s="414"/>
      <c r="V305" s="414"/>
      <c r="W305" s="414"/>
      <c r="X305" s="414"/>
      <c r="Y305" s="417"/>
      <c r="Z305" s="414"/>
      <c r="AA305" s="414"/>
      <c r="AB305" s="414"/>
      <c r="AC305" s="414"/>
      <c r="AD305" s="422"/>
      <c r="AE305" s="414"/>
      <c r="AF305" s="414"/>
      <c r="AG305" s="143"/>
      <c r="AH305" s="143"/>
      <c r="AI305" s="279"/>
      <c r="AJ305" s="143"/>
      <c r="AK305" s="143"/>
      <c r="AL305" s="143"/>
      <c r="AM305" s="143"/>
      <c r="AN305" s="279"/>
      <c r="AO305" s="143"/>
      <c r="AP305" s="143"/>
      <c r="AQ305" s="143"/>
      <c r="AR305" s="143"/>
      <c r="AS305" s="279"/>
      <c r="AT305" s="315"/>
      <c r="AU305" s="816"/>
      <c r="AV305" s="143"/>
      <c r="AW305" s="143"/>
      <c r="AX305" s="143"/>
      <c r="AY305" s="143"/>
      <c r="AZ305" s="143"/>
      <c r="BA305" s="143"/>
      <c r="BB305" s="143"/>
      <c r="BC305" s="143"/>
      <c r="BD305" s="143"/>
      <c r="BE305" s="143"/>
      <c r="BF305" s="143"/>
      <c r="BG305" s="143"/>
      <c r="BH305" s="143"/>
      <c r="BI305" s="143"/>
      <c r="BJ305" s="143"/>
      <c r="BK305" s="143"/>
      <c r="BL305" s="143"/>
      <c r="BM305" s="143"/>
      <c r="BN305" s="143"/>
      <c r="BO305" s="143"/>
      <c r="BP305" s="143"/>
      <c r="BQ305" s="143"/>
      <c r="BR305" s="143"/>
      <c r="BS305" s="143"/>
      <c r="BT305" s="143"/>
      <c r="BU305" s="143"/>
      <c r="BV305" s="143"/>
      <c r="BW305" s="143"/>
      <c r="BX305" s="143"/>
      <c r="BY305" s="143"/>
      <c r="BZ305" s="143"/>
      <c r="CA305" s="143"/>
      <c r="CB305" s="143"/>
      <c r="CC305" s="143"/>
      <c r="CD305" s="143"/>
      <c r="CE305" s="143"/>
      <c r="CF305" s="143"/>
      <c r="CG305" s="143"/>
      <c r="CH305" s="143"/>
      <c r="CI305" s="143"/>
      <c r="CJ305" s="143"/>
      <c r="CK305" s="143"/>
      <c r="CL305" s="143"/>
      <c r="CM305" s="143"/>
      <c r="CN305" s="143"/>
      <c r="CO305" s="143"/>
      <c r="CP305" s="143"/>
      <c r="CQ305" s="143"/>
      <c r="CR305" s="143"/>
      <c r="CS305" s="143"/>
      <c r="CT305" s="143"/>
      <c r="CU305" s="143"/>
      <c r="CV305" s="143"/>
      <c r="CW305" s="143"/>
      <c r="CX305" s="143"/>
      <c r="CY305" s="143"/>
      <c r="CZ305" s="143"/>
      <c r="DA305" s="143"/>
      <c r="DB305" s="143"/>
      <c r="DC305" s="143"/>
      <c r="DD305" s="143"/>
      <c r="DE305" s="143"/>
      <c r="DF305" s="143"/>
      <c r="DG305" s="143"/>
      <c r="DH305" s="143"/>
      <c r="DI305" s="143"/>
      <c r="DJ305" s="143"/>
      <c r="DK305" s="143"/>
      <c r="DL305" s="143"/>
      <c r="DM305" s="143"/>
      <c r="DN305" s="143"/>
      <c r="DO305" s="143"/>
      <c r="DP305" s="143"/>
      <c r="DQ305" s="143"/>
      <c r="DR305" s="143"/>
      <c r="DS305" s="143"/>
      <c r="DT305" s="143"/>
      <c r="DU305" s="143"/>
      <c r="DV305" s="143"/>
      <c r="DW305" s="143"/>
      <c r="DX305" s="143"/>
      <c r="DY305" s="143"/>
      <c r="DZ305" s="143"/>
      <c r="EA305" s="143"/>
      <c r="EB305" s="143"/>
      <c r="EC305" s="143"/>
      <c r="ED305" s="143"/>
      <c r="EE305" s="143"/>
      <c r="EF305" s="143"/>
      <c r="EG305" s="143"/>
      <c r="EH305" s="143"/>
      <c r="EI305" s="143"/>
      <c r="EJ305" s="143"/>
      <c r="EK305" s="143"/>
      <c r="EL305" s="143"/>
      <c r="EM305" s="143"/>
      <c r="EN305" s="143"/>
      <c r="EO305" s="143"/>
      <c r="EP305" s="143"/>
      <c r="EQ305" s="143"/>
      <c r="ER305" s="143"/>
      <c r="ES305" s="143"/>
      <c r="ET305" s="143"/>
      <c r="EU305" s="143"/>
      <c r="EV305" s="143"/>
      <c r="EW305" s="143"/>
      <c r="EX305" s="143"/>
      <c r="EY305" s="143"/>
      <c r="EZ305" s="143"/>
      <c r="FA305" s="143"/>
      <c r="FB305" s="143"/>
      <c r="FC305" s="143"/>
      <c r="FD305" s="143"/>
      <c r="FE305" s="143"/>
      <c r="FF305" s="143"/>
      <c r="FG305" s="143"/>
      <c r="FH305" s="143"/>
      <c r="FI305" s="143"/>
      <c r="FJ305" s="143"/>
      <c r="FK305" s="143"/>
      <c r="FL305" s="143"/>
      <c r="FM305" s="143"/>
      <c r="FN305" s="143"/>
      <c r="FO305" s="143"/>
      <c r="FP305" s="143"/>
      <c r="FQ305" s="143"/>
      <c r="FR305" s="143"/>
      <c r="FS305" s="143"/>
      <c r="FT305" s="143"/>
      <c r="FU305" s="143"/>
      <c r="FV305" s="143"/>
      <c r="FW305" s="143"/>
      <c r="FX305" s="143"/>
      <c r="FY305" s="143"/>
      <c r="FZ305" s="143"/>
      <c r="GA305" s="143"/>
      <c r="GB305" s="143"/>
      <c r="GC305" s="143"/>
      <c r="GD305" s="143"/>
      <c r="GE305" s="143"/>
      <c r="GF305" s="143"/>
      <c r="GG305" s="143"/>
      <c r="GH305" s="143"/>
      <c r="GI305" s="143"/>
      <c r="GJ305" s="143"/>
      <c r="GK305" s="143"/>
      <c r="GL305" s="143"/>
      <c r="GM305" s="143"/>
      <c r="GN305" s="143"/>
      <c r="GO305" s="143"/>
      <c r="GP305" s="143"/>
      <c r="GQ305" s="143"/>
      <c r="GR305" s="143"/>
      <c r="GS305" s="143"/>
      <c r="GT305" s="143"/>
      <c r="GU305" s="143"/>
      <c r="GV305" s="143"/>
      <c r="GW305" s="143"/>
      <c r="GX305" s="143"/>
      <c r="GY305" s="143"/>
      <c r="GZ305" s="143"/>
      <c r="HA305" s="143"/>
      <c r="HB305" s="143"/>
      <c r="HC305" s="143"/>
      <c r="HD305" s="143"/>
      <c r="HE305" s="143"/>
      <c r="HF305" s="143"/>
      <c r="HG305" s="143"/>
      <c r="HH305" s="143"/>
      <c r="HI305" s="143"/>
      <c r="HJ305" s="143"/>
      <c r="HK305" s="143"/>
      <c r="HL305" s="143"/>
      <c r="HM305" s="143"/>
      <c r="HN305" s="143"/>
      <c r="HO305" s="143"/>
      <c r="HP305" s="143"/>
      <c r="HQ305" s="143"/>
      <c r="HR305" s="143"/>
      <c r="HS305" s="143"/>
      <c r="HT305" s="143"/>
      <c r="HU305" s="143"/>
      <c r="HV305" s="143"/>
      <c r="HW305" s="143"/>
      <c r="HX305" s="143"/>
      <c r="HY305" s="143"/>
      <c r="HZ305" s="143"/>
      <c r="IA305" s="143"/>
      <c r="IB305" s="143"/>
      <c r="IC305" s="143"/>
      <c r="ID305" s="143"/>
      <c r="IE305" s="143"/>
      <c r="IF305" s="143"/>
      <c r="IG305" s="143"/>
      <c r="IH305" s="143"/>
      <c r="II305" s="143"/>
      <c r="IJ305" s="143"/>
      <c r="IK305" s="143"/>
      <c r="IL305" s="143"/>
      <c r="IM305" s="143"/>
      <c r="IN305" s="143"/>
      <c r="IO305" s="143"/>
      <c r="IP305" s="143"/>
      <c r="IQ305" s="143"/>
      <c r="IR305" s="143"/>
      <c r="IS305" s="143"/>
      <c r="IT305" s="143"/>
      <c r="IU305" s="143"/>
      <c r="IV305" s="143"/>
      <c r="IW305" s="143"/>
      <c r="IX305" s="143"/>
      <c r="IY305" s="143"/>
      <c r="IZ305" s="143"/>
      <c r="JA305" s="143"/>
      <c r="JB305" s="143"/>
      <c r="JC305" s="143"/>
      <c r="JD305" s="143"/>
      <c r="JE305" s="143"/>
      <c r="JF305" s="143"/>
      <c r="JG305" s="143"/>
      <c r="JH305" s="143"/>
      <c r="JI305" s="143"/>
    </row>
    <row r="306" spans="1:269" hidden="1" outlineLevel="1">
      <c r="A306" s="450" t="s">
        <v>435</v>
      </c>
      <c r="B306" s="143"/>
      <c r="C306" s="417"/>
      <c r="D306" s="417"/>
      <c r="E306" s="417"/>
      <c r="F306" s="414"/>
      <c r="G306" s="414"/>
      <c r="H306" s="414"/>
      <c r="I306" s="414"/>
      <c r="J306" s="417"/>
      <c r="K306" s="414"/>
      <c r="L306" s="414"/>
      <c r="M306" s="414"/>
      <c r="N306" s="414"/>
      <c r="O306" s="417"/>
      <c r="P306" s="414"/>
      <c r="Q306" s="414"/>
      <c r="R306" s="414">
        <f t="shared" ref="R306:AB306" si="557">R295/R284-1</f>
        <v>0.17406013089131589</v>
      </c>
      <c r="S306" s="414">
        <f t="shared" si="557"/>
        <v>9.5384730201111712E-2</v>
      </c>
      <c r="T306" s="417">
        <f t="shared" si="557"/>
        <v>2.6777040963440246E-2</v>
      </c>
      <c r="U306" s="414">
        <f t="shared" si="557"/>
        <v>0.1026221809101644</v>
      </c>
      <c r="V306" s="414">
        <f t="shared" si="557"/>
        <v>0.24692065367550731</v>
      </c>
      <c r="W306" s="414">
        <f t="shared" si="557"/>
        <v>9.8160539225376153E-2</v>
      </c>
      <c r="X306" s="414">
        <f t="shared" si="557"/>
        <v>3.3003447485647541E-2</v>
      </c>
      <c r="Y306" s="417">
        <f t="shared" si="557"/>
        <v>9.2345585819229026E-3</v>
      </c>
      <c r="Z306" s="414">
        <f t="shared" si="557"/>
        <v>-4.8436406820644429E-2</v>
      </c>
      <c r="AA306" s="414">
        <f t="shared" si="557"/>
        <v>1.0290301278221392E-2</v>
      </c>
      <c r="AB306" s="414">
        <f t="shared" si="557"/>
        <v>-0.15793277871686984</v>
      </c>
      <c r="AC306" s="414"/>
      <c r="AD306" s="422"/>
      <c r="AE306" s="414"/>
      <c r="AF306" s="414"/>
      <c r="AG306" s="143"/>
      <c r="AH306" s="143"/>
      <c r="AI306" s="279"/>
      <c r="AJ306" s="143"/>
      <c r="AK306" s="143"/>
      <c r="AL306" s="143"/>
      <c r="AM306" s="143"/>
      <c r="AN306" s="279"/>
      <c r="AO306" s="143"/>
      <c r="AP306" s="143"/>
      <c r="AQ306" s="143"/>
      <c r="AR306" s="143"/>
      <c r="AS306" s="279"/>
      <c r="AT306" s="315"/>
      <c r="AU306" s="816"/>
      <c r="AV306" s="143"/>
      <c r="AW306" s="143"/>
      <c r="AX306" s="143"/>
      <c r="AY306" s="143"/>
      <c r="AZ306" s="143"/>
      <c r="BA306" s="143"/>
      <c r="BB306" s="143"/>
      <c r="BC306" s="143"/>
      <c r="BD306" s="143"/>
      <c r="BE306" s="143"/>
      <c r="BF306" s="143"/>
      <c r="BG306" s="143"/>
      <c r="BH306" s="143"/>
      <c r="BI306" s="143"/>
      <c r="BJ306" s="143"/>
      <c r="BK306" s="143"/>
      <c r="BL306" s="143"/>
      <c r="BM306" s="143"/>
      <c r="BN306" s="143"/>
      <c r="BO306" s="143"/>
      <c r="BP306" s="143"/>
      <c r="BQ306" s="143"/>
      <c r="BR306" s="143"/>
      <c r="BS306" s="143"/>
      <c r="BT306" s="143"/>
      <c r="BU306" s="143"/>
      <c r="BV306" s="143"/>
      <c r="BW306" s="143"/>
      <c r="BX306" s="143"/>
      <c r="BY306" s="143"/>
      <c r="BZ306" s="143"/>
      <c r="CA306" s="143"/>
      <c r="CB306" s="143"/>
      <c r="CC306" s="143"/>
      <c r="CD306" s="143"/>
      <c r="CE306" s="143"/>
      <c r="CF306" s="143"/>
      <c r="CG306" s="143"/>
      <c r="CH306" s="143"/>
      <c r="CI306" s="143"/>
      <c r="CJ306" s="143"/>
      <c r="CK306" s="143"/>
      <c r="CL306" s="143"/>
      <c r="CM306" s="143"/>
      <c r="CN306" s="143"/>
      <c r="CO306" s="143"/>
      <c r="CP306" s="143"/>
      <c r="CQ306" s="143"/>
      <c r="CR306" s="143"/>
      <c r="CS306" s="143"/>
      <c r="CT306" s="143"/>
      <c r="CU306" s="143"/>
      <c r="CV306" s="143"/>
      <c r="CW306" s="143"/>
      <c r="CX306" s="143"/>
      <c r="CY306" s="143"/>
      <c r="CZ306" s="143"/>
      <c r="DA306" s="143"/>
      <c r="DB306" s="143"/>
      <c r="DC306" s="143"/>
      <c r="DD306" s="143"/>
      <c r="DE306" s="143"/>
      <c r="DF306" s="143"/>
      <c r="DG306" s="143"/>
      <c r="DH306" s="143"/>
      <c r="DI306" s="143"/>
      <c r="DJ306" s="143"/>
      <c r="DK306" s="143"/>
      <c r="DL306" s="143"/>
      <c r="DM306" s="143"/>
      <c r="DN306" s="143"/>
      <c r="DO306" s="143"/>
      <c r="DP306" s="143"/>
      <c r="DQ306" s="143"/>
      <c r="DR306" s="143"/>
      <c r="DS306" s="143"/>
      <c r="DT306" s="143"/>
      <c r="DU306" s="143"/>
      <c r="DV306" s="143"/>
      <c r="DW306" s="143"/>
      <c r="DX306" s="143"/>
      <c r="DY306" s="143"/>
      <c r="DZ306" s="143"/>
      <c r="EA306" s="143"/>
      <c r="EB306" s="143"/>
      <c r="EC306" s="143"/>
      <c r="ED306" s="143"/>
      <c r="EE306" s="143"/>
      <c r="EF306" s="143"/>
      <c r="EG306" s="143"/>
      <c r="EH306" s="143"/>
      <c r="EI306" s="143"/>
      <c r="EJ306" s="143"/>
      <c r="EK306" s="143"/>
      <c r="EL306" s="143"/>
      <c r="EM306" s="143"/>
      <c r="EN306" s="143"/>
      <c r="EO306" s="143"/>
      <c r="EP306" s="143"/>
      <c r="EQ306" s="143"/>
      <c r="ER306" s="143"/>
      <c r="ES306" s="143"/>
      <c r="ET306" s="143"/>
      <c r="EU306" s="143"/>
      <c r="EV306" s="143"/>
      <c r="EW306" s="143"/>
      <c r="EX306" s="143"/>
      <c r="EY306" s="143"/>
      <c r="EZ306" s="143"/>
      <c r="FA306" s="143"/>
      <c r="FB306" s="143"/>
      <c r="FC306" s="143"/>
      <c r="FD306" s="143"/>
      <c r="FE306" s="143"/>
      <c r="FF306" s="143"/>
      <c r="FG306" s="143"/>
      <c r="FH306" s="143"/>
      <c r="FI306" s="143"/>
      <c r="FJ306" s="143"/>
      <c r="FK306" s="143"/>
      <c r="FL306" s="143"/>
      <c r="FM306" s="143"/>
      <c r="FN306" s="143"/>
      <c r="FO306" s="143"/>
      <c r="FP306" s="143"/>
      <c r="FQ306" s="143"/>
      <c r="FR306" s="143"/>
      <c r="FS306" s="143"/>
      <c r="FT306" s="143"/>
      <c r="FU306" s="143"/>
      <c r="FV306" s="143"/>
      <c r="FW306" s="143"/>
      <c r="FX306" s="143"/>
      <c r="FY306" s="143"/>
      <c r="FZ306" s="143"/>
      <c r="GA306" s="143"/>
      <c r="GB306" s="143"/>
      <c r="GC306" s="143"/>
      <c r="GD306" s="143"/>
      <c r="GE306" s="143"/>
      <c r="GF306" s="143"/>
      <c r="GG306" s="143"/>
      <c r="GH306" s="143"/>
      <c r="GI306" s="143"/>
      <c r="GJ306" s="143"/>
      <c r="GK306" s="143"/>
      <c r="GL306" s="143"/>
      <c r="GM306" s="143"/>
      <c r="GN306" s="143"/>
      <c r="GO306" s="143"/>
      <c r="GP306" s="143"/>
      <c r="GQ306" s="143"/>
      <c r="GR306" s="143"/>
      <c r="GS306" s="143"/>
      <c r="GT306" s="143"/>
      <c r="GU306" s="143"/>
      <c r="GV306" s="143"/>
      <c r="GW306" s="143"/>
      <c r="GX306" s="143"/>
      <c r="GY306" s="143"/>
      <c r="GZ306" s="143"/>
      <c r="HA306" s="143"/>
      <c r="HB306" s="143"/>
      <c r="HC306" s="143"/>
      <c r="HD306" s="143"/>
      <c r="HE306" s="143"/>
      <c r="HF306" s="143"/>
      <c r="HG306" s="143"/>
      <c r="HH306" s="143"/>
      <c r="HI306" s="143"/>
      <c r="HJ306" s="143"/>
      <c r="HK306" s="143"/>
      <c r="HL306" s="143"/>
      <c r="HM306" s="143"/>
      <c r="HN306" s="143"/>
      <c r="HO306" s="143"/>
      <c r="HP306" s="143"/>
      <c r="HQ306" s="143"/>
      <c r="HR306" s="143"/>
      <c r="HS306" s="143"/>
      <c r="HT306" s="143"/>
      <c r="HU306" s="143"/>
      <c r="HV306" s="143"/>
      <c r="HW306" s="143"/>
      <c r="HX306" s="143"/>
      <c r="HY306" s="143"/>
      <c r="HZ306" s="143"/>
      <c r="IA306" s="143"/>
      <c r="IB306" s="143"/>
      <c r="IC306" s="143"/>
      <c r="ID306" s="143"/>
      <c r="IE306" s="143"/>
      <c r="IF306" s="143"/>
      <c r="IG306" s="143"/>
      <c r="IH306" s="143"/>
      <c r="II306" s="143"/>
      <c r="IJ306" s="143"/>
      <c r="IK306" s="143"/>
      <c r="IL306" s="143"/>
      <c r="IM306" s="143"/>
      <c r="IN306" s="143"/>
      <c r="IO306" s="143"/>
      <c r="IP306" s="143"/>
      <c r="IQ306" s="143"/>
      <c r="IR306" s="143"/>
      <c r="IS306" s="143"/>
      <c r="IT306" s="143"/>
      <c r="IU306" s="143"/>
      <c r="IV306" s="143"/>
      <c r="IW306" s="143"/>
      <c r="IX306" s="143"/>
      <c r="IY306" s="143"/>
      <c r="IZ306" s="143"/>
      <c r="JA306" s="143"/>
      <c r="JB306" s="143"/>
      <c r="JC306" s="143"/>
      <c r="JD306" s="143"/>
      <c r="JE306" s="143"/>
      <c r="JF306" s="143"/>
      <c r="JG306" s="143"/>
      <c r="JH306" s="143"/>
      <c r="JI306" s="143"/>
    </row>
    <row r="307" spans="1:269" hidden="1" outlineLevel="1">
      <c r="A307" s="450" t="s">
        <v>436</v>
      </c>
      <c r="B307" s="143"/>
      <c r="C307" s="316"/>
      <c r="D307" s="316"/>
      <c r="E307" s="316"/>
      <c r="F307" s="280"/>
      <c r="G307" s="280"/>
      <c r="H307" s="280"/>
      <c r="I307" s="280"/>
      <c r="J307" s="316"/>
      <c r="K307" s="280"/>
      <c r="L307" s="280"/>
      <c r="M307" s="280"/>
      <c r="N307" s="280"/>
      <c r="O307" s="316"/>
      <c r="P307" s="280"/>
      <c r="Q307" s="280"/>
      <c r="R307" s="414">
        <f t="shared" ref="R307:AB307" si="558">R296/R285-1</f>
        <v>1.2641353983962045E-3</v>
      </c>
      <c r="S307" s="414">
        <f t="shared" si="558"/>
        <v>6.7829692658003538E-3</v>
      </c>
      <c r="T307" s="417">
        <f t="shared" si="558"/>
        <v>1.9400482560605337E-3</v>
      </c>
      <c r="U307" s="414">
        <f t="shared" si="558"/>
        <v>-3.0412979566482368E-2</v>
      </c>
      <c r="V307" s="414">
        <f t="shared" si="558"/>
        <v>1.6617514831377855E-2</v>
      </c>
      <c r="W307" s="414">
        <f t="shared" si="558"/>
        <v>9.6420901192619812E-3</v>
      </c>
      <c r="X307" s="414">
        <f t="shared" si="558"/>
        <v>9.8830082200024982E-2</v>
      </c>
      <c r="Y307" s="417">
        <f t="shared" si="558"/>
        <v>2.7500350148331298E-2</v>
      </c>
      <c r="Z307" s="414">
        <f t="shared" si="558"/>
        <v>-5.0285548970487204E-2</v>
      </c>
      <c r="AA307" s="414">
        <f t="shared" si="558"/>
        <v>2.6930117228770145E-2</v>
      </c>
      <c r="AB307" s="414">
        <f t="shared" si="558"/>
        <v>-0.16329711047837692</v>
      </c>
      <c r="AC307" s="280"/>
      <c r="AD307" s="320"/>
      <c r="AE307" s="280"/>
      <c r="AF307" s="280"/>
      <c r="AG307" s="143"/>
      <c r="AH307" s="143"/>
      <c r="AI307" s="279"/>
      <c r="AJ307" s="143"/>
      <c r="AK307" s="143"/>
      <c r="AL307" s="143"/>
      <c r="AM307" s="143"/>
      <c r="AN307" s="279"/>
      <c r="AO307" s="143"/>
      <c r="AP307" s="143"/>
      <c r="AQ307" s="143"/>
      <c r="AR307" s="143"/>
      <c r="AS307" s="279"/>
      <c r="AT307" s="315"/>
      <c r="AU307" s="817"/>
      <c r="AV307" s="143"/>
      <c r="AW307" s="143"/>
      <c r="AX307" s="143"/>
      <c r="AY307" s="143"/>
      <c r="AZ307" s="143"/>
      <c r="BA307" s="143"/>
      <c r="BB307" s="143"/>
      <c r="BC307" s="143"/>
      <c r="BD307" s="143"/>
      <c r="BE307" s="143"/>
      <c r="BF307" s="143"/>
      <c r="BG307" s="143"/>
      <c r="BH307" s="143"/>
      <c r="BI307" s="143"/>
      <c r="BJ307" s="143"/>
      <c r="BK307" s="143"/>
      <c r="BL307" s="143"/>
      <c r="BM307" s="143"/>
      <c r="BN307" s="143"/>
      <c r="BO307" s="143"/>
      <c r="BP307" s="143"/>
      <c r="BQ307" s="143"/>
      <c r="BR307" s="143"/>
      <c r="BS307" s="143"/>
      <c r="BT307" s="143"/>
      <c r="BU307" s="143"/>
      <c r="BV307" s="143"/>
      <c r="BW307" s="143"/>
      <c r="BX307" s="143"/>
      <c r="BY307" s="143"/>
      <c r="BZ307" s="143"/>
      <c r="CA307" s="143"/>
      <c r="CB307" s="143"/>
      <c r="CC307" s="143"/>
      <c r="CD307" s="143"/>
      <c r="CE307" s="143"/>
      <c r="CF307" s="143"/>
      <c r="CG307" s="143"/>
      <c r="CH307" s="143"/>
      <c r="CI307" s="143"/>
      <c r="CJ307" s="143"/>
      <c r="CK307" s="143"/>
      <c r="CL307" s="143"/>
      <c r="CM307" s="143"/>
      <c r="CN307" s="143"/>
      <c r="CO307" s="143"/>
      <c r="CP307" s="143"/>
      <c r="CQ307" s="143"/>
      <c r="CR307" s="143"/>
      <c r="CS307" s="143"/>
      <c r="CT307" s="143"/>
      <c r="CU307" s="143"/>
      <c r="CV307" s="143"/>
      <c r="CW307" s="143"/>
      <c r="CX307" s="143"/>
      <c r="CY307" s="143"/>
      <c r="CZ307" s="143"/>
      <c r="DA307" s="143"/>
      <c r="DB307" s="143"/>
      <c r="DC307" s="143"/>
      <c r="DD307" s="143"/>
      <c r="DE307" s="143"/>
      <c r="DF307" s="143"/>
      <c r="DG307" s="143"/>
      <c r="DH307" s="143"/>
      <c r="DI307" s="143"/>
      <c r="DJ307" s="143"/>
      <c r="DK307" s="143"/>
      <c r="DL307" s="143"/>
      <c r="DM307" s="143"/>
      <c r="DN307" s="143"/>
      <c r="DO307" s="143"/>
      <c r="DP307" s="143"/>
      <c r="DQ307" s="143"/>
      <c r="DR307" s="143"/>
      <c r="DS307" s="143"/>
      <c r="DT307" s="143"/>
      <c r="DU307" s="143"/>
      <c r="DV307" s="143"/>
      <c r="DW307" s="143"/>
      <c r="DX307" s="143"/>
      <c r="DY307" s="143"/>
      <c r="DZ307" s="143"/>
      <c r="EA307" s="143"/>
      <c r="EB307" s="143"/>
      <c r="EC307" s="143"/>
      <c r="ED307" s="143"/>
      <c r="EE307" s="143"/>
      <c r="EF307" s="143"/>
      <c r="EG307" s="143"/>
      <c r="EH307" s="143"/>
      <c r="EI307" s="143"/>
      <c r="EJ307" s="143"/>
      <c r="EK307" s="143"/>
      <c r="EL307" s="143"/>
      <c r="EM307" s="143"/>
      <c r="EN307" s="143"/>
      <c r="EO307" s="143"/>
      <c r="EP307" s="143"/>
      <c r="EQ307" s="143"/>
      <c r="ER307" s="143"/>
      <c r="ES307" s="143"/>
      <c r="ET307" s="143"/>
      <c r="EU307" s="143"/>
      <c r="EV307" s="143"/>
      <c r="EW307" s="143"/>
      <c r="EX307" s="143"/>
      <c r="EY307" s="143"/>
      <c r="EZ307" s="143"/>
      <c r="FA307" s="143"/>
      <c r="FB307" s="143"/>
      <c r="FC307" s="143"/>
      <c r="FD307" s="143"/>
      <c r="FE307" s="143"/>
      <c r="FF307" s="143"/>
      <c r="FG307" s="143"/>
      <c r="FH307" s="143"/>
      <c r="FI307" s="143"/>
      <c r="FJ307" s="143"/>
      <c r="FK307" s="143"/>
      <c r="FL307" s="143"/>
      <c r="FM307" s="143"/>
      <c r="FN307" s="143"/>
      <c r="FO307" s="143"/>
      <c r="FP307" s="143"/>
      <c r="FQ307" s="143"/>
      <c r="FR307" s="143"/>
      <c r="FS307" s="143"/>
      <c r="FT307" s="143"/>
      <c r="FU307" s="143"/>
      <c r="FV307" s="143"/>
      <c r="FW307" s="143"/>
      <c r="FX307" s="143"/>
      <c r="FY307" s="143"/>
      <c r="FZ307" s="143"/>
      <c r="GA307" s="143"/>
      <c r="GB307" s="143"/>
      <c r="GC307" s="143"/>
      <c r="GD307" s="143"/>
      <c r="GE307" s="143"/>
      <c r="GF307" s="143"/>
      <c r="GG307" s="143"/>
      <c r="GH307" s="143"/>
      <c r="GI307" s="143"/>
      <c r="GJ307" s="143"/>
      <c r="GK307" s="143"/>
      <c r="GL307" s="143"/>
      <c r="GM307" s="143"/>
      <c r="GN307" s="143"/>
      <c r="GO307" s="143"/>
      <c r="GP307" s="143"/>
      <c r="GQ307" s="143"/>
      <c r="GR307" s="143"/>
      <c r="GS307" s="143"/>
      <c r="GT307" s="143"/>
      <c r="GU307" s="143"/>
      <c r="GV307" s="143"/>
      <c r="GW307" s="143"/>
      <c r="GX307" s="143"/>
      <c r="GY307" s="143"/>
      <c r="GZ307" s="143"/>
      <c r="HA307" s="143"/>
      <c r="HB307" s="143"/>
      <c r="HC307" s="143"/>
      <c r="HD307" s="143"/>
      <c r="HE307" s="143"/>
      <c r="HF307" s="143"/>
      <c r="HG307" s="143"/>
      <c r="HH307" s="143"/>
      <c r="HI307" s="143"/>
      <c r="HJ307" s="143"/>
      <c r="HK307" s="143"/>
      <c r="HL307" s="143"/>
      <c r="HM307" s="143"/>
      <c r="HN307" s="143"/>
      <c r="HO307" s="143"/>
      <c r="HP307" s="143"/>
      <c r="HQ307" s="143"/>
      <c r="HR307" s="143"/>
      <c r="HS307" s="143"/>
      <c r="HT307" s="143"/>
      <c r="HU307" s="143"/>
      <c r="HV307" s="143"/>
      <c r="HW307" s="143"/>
      <c r="HX307" s="143"/>
      <c r="HY307" s="143"/>
      <c r="HZ307" s="143"/>
      <c r="IA307" s="143"/>
      <c r="IB307" s="143"/>
      <c r="IC307" s="143"/>
      <c r="ID307" s="143"/>
      <c r="IE307" s="143"/>
      <c r="IF307" s="143"/>
      <c r="IG307" s="143"/>
      <c r="IH307" s="143"/>
      <c r="II307" s="143"/>
      <c r="IJ307" s="143"/>
      <c r="IK307" s="143"/>
      <c r="IL307" s="143"/>
      <c r="IM307" s="143"/>
      <c r="IN307" s="143"/>
      <c r="IO307" s="143"/>
      <c r="IP307" s="143"/>
      <c r="IQ307" s="143"/>
      <c r="IR307" s="143"/>
      <c r="IS307" s="143"/>
      <c r="IT307" s="143"/>
      <c r="IU307" s="143"/>
      <c r="IV307" s="143"/>
      <c r="IW307" s="143"/>
      <c r="IX307" s="143"/>
      <c r="IY307" s="143"/>
      <c r="IZ307" s="143"/>
      <c r="JA307" s="143"/>
      <c r="JB307" s="143"/>
      <c r="JC307" s="143"/>
      <c r="JD307" s="143"/>
      <c r="JE307" s="143"/>
      <c r="JF307" s="143"/>
      <c r="JG307" s="143"/>
      <c r="JH307" s="143"/>
      <c r="JI307" s="143"/>
    </row>
    <row r="308" spans="1:269" hidden="1" outlineLevel="1">
      <c r="A308" s="450"/>
      <c r="B308" s="143"/>
      <c r="C308" s="417"/>
      <c r="D308" s="417"/>
      <c r="E308" s="417"/>
      <c r="F308" s="414"/>
      <c r="G308" s="414"/>
      <c r="H308" s="414"/>
      <c r="I308" s="414"/>
      <c r="J308" s="417"/>
      <c r="K308" s="414"/>
      <c r="L308" s="414"/>
      <c r="M308" s="414"/>
      <c r="N308" s="414"/>
      <c r="O308" s="417"/>
      <c r="P308" s="414"/>
      <c r="Q308" s="414"/>
      <c r="R308" s="414"/>
      <c r="S308" s="414"/>
      <c r="T308" s="417"/>
      <c r="U308" s="414"/>
      <c r="V308" s="414"/>
      <c r="W308" s="414"/>
      <c r="X308" s="414"/>
      <c r="Y308" s="417"/>
      <c r="Z308" s="414"/>
      <c r="AA308" s="414"/>
      <c r="AB308" s="414"/>
      <c r="AC308" s="414"/>
      <c r="AD308" s="422"/>
      <c r="AE308" s="414"/>
      <c r="AF308" s="414"/>
      <c r="AG308" s="143"/>
      <c r="AH308" s="143"/>
      <c r="AI308" s="279"/>
      <c r="AJ308" s="143"/>
      <c r="AK308" s="143"/>
      <c r="AL308" s="143"/>
      <c r="AM308" s="143"/>
      <c r="AN308" s="279"/>
      <c r="AO308" s="143"/>
      <c r="AP308" s="143"/>
      <c r="AQ308" s="143"/>
      <c r="AR308" s="143"/>
      <c r="AS308" s="279"/>
      <c r="AT308" s="315"/>
      <c r="AU308" s="816"/>
      <c r="AV308" s="143"/>
      <c r="AW308" s="143"/>
      <c r="AX308" s="143"/>
      <c r="AY308" s="143"/>
      <c r="AZ308" s="143"/>
      <c r="BA308" s="143"/>
      <c r="BB308" s="143"/>
      <c r="BC308" s="143"/>
      <c r="BD308" s="143"/>
      <c r="BE308" s="143"/>
      <c r="BF308" s="143"/>
      <c r="BG308" s="143"/>
      <c r="BH308" s="143"/>
      <c r="BI308" s="143"/>
      <c r="BJ308" s="143"/>
      <c r="BK308" s="143"/>
      <c r="BL308" s="143"/>
      <c r="BM308" s="143"/>
      <c r="BN308" s="143"/>
      <c r="BO308" s="143"/>
      <c r="BP308" s="143"/>
      <c r="BQ308" s="143"/>
      <c r="BR308" s="143"/>
      <c r="BS308" s="143"/>
      <c r="BT308" s="143"/>
      <c r="BU308" s="143"/>
      <c r="BV308" s="143"/>
      <c r="BW308" s="143"/>
      <c r="BX308" s="143"/>
      <c r="BY308" s="143"/>
      <c r="BZ308" s="143"/>
      <c r="CA308" s="143"/>
      <c r="CB308" s="143"/>
      <c r="CC308" s="143"/>
      <c r="CD308" s="143"/>
      <c r="CE308" s="143"/>
      <c r="CF308" s="143"/>
      <c r="CG308" s="143"/>
      <c r="CH308" s="143"/>
      <c r="CI308" s="143"/>
      <c r="CJ308" s="143"/>
      <c r="CK308" s="143"/>
      <c r="CL308" s="143"/>
      <c r="CM308" s="143"/>
      <c r="CN308" s="143"/>
      <c r="CO308" s="143"/>
      <c r="CP308" s="143"/>
      <c r="CQ308" s="143"/>
      <c r="CR308" s="143"/>
      <c r="CS308" s="143"/>
      <c r="CT308" s="143"/>
      <c r="CU308" s="143"/>
      <c r="CV308" s="143"/>
      <c r="CW308" s="143"/>
      <c r="CX308" s="143"/>
      <c r="CY308" s="143"/>
      <c r="CZ308" s="143"/>
      <c r="DA308" s="143"/>
      <c r="DB308" s="143"/>
      <c r="DC308" s="143"/>
      <c r="DD308" s="143"/>
      <c r="DE308" s="143"/>
      <c r="DF308" s="143"/>
      <c r="DG308" s="143"/>
      <c r="DH308" s="143"/>
      <c r="DI308" s="143"/>
      <c r="DJ308" s="143"/>
      <c r="DK308" s="143"/>
      <c r="DL308" s="143"/>
      <c r="DM308" s="143"/>
      <c r="DN308" s="143"/>
      <c r="DO308" s="143"/>
      <c r="DP308" s="143"/>
      <c r="DQ308" s="143"/>
      <c r="DR308" s="143"/>
      <c r="DS308" s="143"/>
      <c r="DT308" s="143"/>
      <c r="DU308" s="143"/>
      <c r="DV308" s="143"/>
      <c r="DW308" s="143"/>
      <c r="DX308" s="143"/>
      <c r="DY308" s="143"/>
      <c r="DZ308" s="143"/>
      <c r="EA308" s="143"/>
      <c r="EB308" s="143"/>
      <c r="EC308" s="143"/>
      <c r="ED308" s="143"/>
      <c r="EE308" s="143"/>
      <c r="EF308" s="143"/>
      <c r="EG308" s="143"/>
      <c r="EH308" s="143"/>
      <c r="EI308" s="143"/>
      <c r="EJ308" s="143"/>
      <c r="EK308" s="143"/>
      <c r="EL308" s="143"/>
      <c r="EM308" s="143"/>
      <c r="EN308" s="143"/>
      <c r="EO308" s="143"/>
      <c r="EP308" s="143"/>
      <c r="EQ308" s="143"/>
      <c r="ER308" s="143"/>
      <c r="ES308" s="143"/>
      <c r="ET308" s="143"/>
      <c r="EU308" s="143"/>
      <c r="EV308" s="143"/>
      <c r="EW308" s="143"/>
      <c r="EX308" s="143"/>
      <c r="EY308" s="143"/>
      <c r="EZ308" s="143"/>
      <c r="FA308" s="143"/>
      <c r="FB308" s="143"/>
      <c r="FC308" s="143"/>
      <c r="FD308" s="143"/>
      <c r="FE308" s="143"/>
      <c r="FF308" s="143"/>
      <c r="FG308" s="143"/>
      <c r="FH308" s="143"/>
      <c r="FI308" s="143"/>
      <c r="FJ308" s="143"/>
      <c r="FK308" s="143"/>
      <c r="FL308" s="143"/>
      <c r="FM308" s="143"/>
      <c r="FN308" s="143"/>
      <c r="FO308" s="143"/>
      <c r="FP308" s="143"/>
      <c r="FQ308" s="143"/>
      <c r="FR308" s="143"/>
      <c r="FS308" s="143"/>
      <c r="FT308" s="143"/>
      <c r="FU308" s="143"/>
      <c r="FV308" s="143"/>
      <c r="FW308" s="143"/>
      <c r="FX308" s="143"/>
      <c r="FY308" s="143"/>
      <c r="FZ308" s="143"/>
      <c r="GA308" s="143"/>
      <c r="GB308" s="143"/>
      <c r="GC308" s="143"/>
      <c r="GD308" s="143"/>
      <c r="GE308" s="143"/>
      <c r="GF308" s="143"/>
      <c r="GG308" s="143"/>
      <c r="GH308" s="143"/>
      <c r="GI308" s="143"/>
      <c r="GJ308" s="143"/>
      <c r="GK308" s="143"/>
      <c r="GL308" s="143"/>
      <c r="GM308" s="143"/>
      <c r="GN308" s="143"/>
      <c r="GO308" s="143"/>
      <c r="GP308" s="143"/>
      <c r="GQ308" s="143"/>
      <c r="GR308" s="143"/>
      <c r="GS308" s="143"/>
      <c r="GT308" s="143"/>
      <c r="GU308" s="143"/>
      <c r="GV308" s="143"/>
      <c r="GW308" s="143"/>
      <c r="GX308" s="143"/>
      <c r="GY308" s="143"/>
      <c r="GZ308" s="143"/>
      <c r="HA308" s="143"/>
      <c r="HB308" s="143"/>
      <c r="HC308" s="143"/>
      <c r="HD308" s="143"/>
      <c r="HE308" s="143"/>
      <c r="HF308" s="143"/>
      <c r="HG308" s="143"/>
      <c r="HH308" s="143"/>
      <c r="HI308" s="143"/>
      <c r="HJ308" s="143"/>
      <c r="HK308" s="143"/>
      <c r="HL308" s="143"/>
      <c r="HM308" s="143"/>
      <c r="HN308" s="143"/>
      <c r="HO308" s="143"/>
      <c r="HP308" s="143"/>
      <c r="HQ308" s="143"/>
      <c r="HR308" s="143"/>
      <c r="HS308" s="143"/>
      <c r="HT308" s="143"/>
      <c r="HU308" s="143"/>
      <c r="HV308" s="143"/>
      <c r="HW308" s="143"/>
      <c r="HX308" s="143"/>
      <c r="HY308" s="143"/>
      <c r="HZ308" s="143"/>
      <c r="IA308" s="143"/>
      <c r="IB308" s="143"/>
      <c r="IC308" s="143"/>
      <c r="ID308" s="143"/>
      <c r="IE308" s="143"/>
      <c r="IF308" s="143"/>
      <c r="IG308" s="143"/>
      <c r="IH308" s="143"/>
      <c r="II308" s="143"/>
      <c r="IJ308" s="143"/>
      <c r="IK308" s="143"/>
      <c r="IL308" s="143"/>
      <c r="IM308" s="143"/>
      <c r="IN308" s="143"/>
      <c r="IO308" s="143"/>
      <c r="IP308" s="143"/>
      <c r="IQ308" s="143"/>
      <c r="IR308" s="143"/>
      <c r="IS308" s="143"/>
      <c r="IT308" s="143"/>
      <c r="IU308" s="143"/>
      <c r="IV308" s="143"/>
      <c r="IW308" s="143"/>
      <c r="IX308" s="143"/>
      <c r="IY308" s="143"/>
      <c r="IZ308" s="143"/>
      <c r="JA308" s="143"/>
      <c r="JB308" s="143"/>
      <c r="JC308" s="143"/>
      <c r="JD308" s="143"/>
      <c r="JE308" s="143"/>
      <c r="JF308" s="143"/>
      <c r="JG308" s="143"/>
      <c r="JH308" s="143"/>
      <c r="JI308" s="143"/>
    </row>
    <row r="309" spans="1:269" hidden="1" outlineLevel="1">
      <c r="A309" s="447" t="s">
        <v>437</v>
      </c>
      <c r="B309" s="143"/>
      <c r="C309" s="417"/>
      <c r="D309" s="417"/>
      <c r="E309" s="417"/>
      <c r="F309" s="414"/>
      <c r="G309" s="414"/>
      <c r="H309" s="414"/>
      <c r="I309" s="414"/>
      <c r="J309" s="417"/>
      <c r="K309" s="414"/>
      <c r="L309" s="414"/>
      <c r="M309" s="414"/>
      <c r="N309" s="414"/>
      <c r="O309" s="417"/>
      <c r="P309" s="414"/>
      <c r="Q309" s="414"/>
      <c r="R309" s="414">
        <f t="shared" ref="R309:AB309" si="559">R298/R287-1</f>
        <v>1.2635579317568797</v>
      </c>
      <c r="S309" s="414">
        <f t="shared" si="559"/>
        <v>0.60680251513939942</v>
      </c>
      <c r="T309" s="417">
        <f t="shared" si="559"/>
        <v>0.11720784729140532</v>
      </c>
      <c r="U309" s="414">
        <f t="shared" si="559"/>
        <v>-0.7226262815829736</v>
      </c>
      <c r="V309" s="414">
        <f t="shared" si="559"/>
        <v>0.36585616220266193</v>
      </c>
      <c r="W309" s="414">
        <f t="shared" si="559"/>
        <v>0.15150439271182825</v>
      </c>
      <c r="X309" s="414">
        <f t="shared" si="559"/>
        <v>-9.4690534910868429E-4</v>
      </c>
      <c r="Y309" s="417">
        <f t="shared" si="559"/>
        <v>1.0385371013042821E-2</v>
      </c>
      <c r="Z309" s="414">
        <f t="shared" si="559"/>
        <v>-1.0985336550836713</v>
      </c>
      <c r="AA309" s="414">
        <f t="shared" si="559"/>
        <v>-6.0248918327493017E-2</v>
      </c>
      <c r="AB309" s="414">
        <f t="shared" si="559"/>
        <v>-0.56669077128654144</v>
      </c>
      <c r="AC309" s="414"/>
      <c r="AD309" s="422"/>
      <c r="AE309" s="414"/>
      <c r="AF309" s="414"/>
      <c r="AG309" s="143"/>
      <c r="AH309" s="143"/>
      <c r="AI309" s="279"/>
      <c r="AJ309" s="143"/>
      <c r="AK309" s="143"/>
      <c r="AL309" s="143"/>
      <c r="AM309" s="143"/>
      <c r="AN309" s="279"/>
      <c r="AO309" s="143"/>
      <c r="AP309" s="143"/>
      <c r="AQ309" s="143"/>
      <c r="AR309" s="143"/>
      <c r="AS309" s="279"/>
      <c r="AT309" s="315"/>
      <c r="AU309" s="816"/>
      <c r="AV309" s="143"/>
      <c r="AW309" s="143"/>
      <c r="AX309" s="143"/>
      <c r="AY309" s="143"/>
      <c r="AZ309" s="143"/>
      <c r="BA309" s="143"/>
      <c r="BB309" s="143"/>
      <c r="BC309" s="143"/>
      <c r="BD309" s="143"/>
      <c r="BE309" s="143"/>
      <c r="BF309" s="143"/>
      <c r="BG309" s="143"/>
      <c r="BH309" s="143"/>
      <c r="BI309" s="143"/>
      <c r="BJ309" s="143"/>
      <c r="BK309" s="143"/>
      <c r="BL309" s="143"/>
      <c r="BM309" s="143"/>
      <c r="BN309" s="143"/>
      <c r="BO309" s="143"/>
      <c r="BP309" s="143"/>
      <c r="BQ309" s="143"/>
      <c r="BR309" s="143"/>
      <c r="BS309" s="143"/>
      <c r="BT309" s="143"/>
      <c r="BU309" s="143"/>
      <c r="BV309" s="143"/>
      <c r="BW309" s="143"/>
      <c r="BX309" s="143"/>
      <c r="BY309" s="143"/>
      <c r="BZ309" s="143"/>
      <c r="CA309" s="143"/>
      <c r="CB309" s="143"/>
      <c r="CC309" s="143"/>
      <c r="CD309" s="143"/>
      <c r="CE309" s="143"/>
      <c r="CF309" s="143"/>
      <c r="CG309" s="143"/>
      <c r="CH309" s="143"/>
      <c r="CI309" s="143"/>
      <c r="CJ309" s="143"/>
      <c r="CK309" s="143"/>
      <c r="CL309" s="143"/>
      <c r="CM309" s="143"/>
      <c r="CN309" s="143"/>
      <c r="CO309" s="143"/>
      <c r="CP309" s="143"/>
      <c r="CQ309" s="143"/>
      <c r="CR309" s="143"/>
      <c r="CS309" s="143"/>
      <c r="CT309" s="143"/>
      <c r="CU309" s="143"/>
      <c r="CV309" s="143"/>
      <c r="CW309" s="143"/>
      <c r="CX309" s="143"/>
      <c r="CY309" s="143"/>
      <c r="CZ309" s="143"/>
      <c r="DA309" s="143"/>
      <c r="DB309" s="143"/>
      <c r="DC309" s="143"/>
      <c r="DD309" s="143"/>
      <c r="DE309" s="143"/>
      <c r="DF309" s="143"/>
      <c r="DG309" s="143"/>
      <c r="DH309" s="143"/>
      <c r="DI309" s="143"/>
      <c r="DJ309" s="143"/>
      <c r="DK309" s="143"/>
      <c r="DL309" s="143"/>
      <c r="DM309" s="143"/>
      <c r="DN309" s="143"/>
      <c r="DO309" s="143"/>
      <c r="DP309" s="143"/>
      <c r="DQ309" s="143"/>
      <c r="DR309" s="143"/>
      <c r="DS309" s="143"/>
      <c r="DT309" s="143"/>
      <c r="DU309" s="143"/>
      <c r="DV309" s="143"/>
      <c r="DW309" s="143"/>
      <c r="DX309" s="143"/>
      <c r="DY309" s="143"/>
      <c r="DZ309" s="143"/>
      <c r="EA309" s="143"/>
      <c r="EB309" s="143"/>
      <c r="EC309" s="143"/>
      <c r="ED309" s="143"/>
      <c r="EE309" s="143"/>
      <c r="EF309" s="143"/>
      <c r="EG309" s="143"/>
      <c r="EH309" s="143"/>
      <c r="EI309" s="143"/>
      <c r="EJ309" s="143"/>
      <c r="EK309" s="143"/>
      <c r="EL309" s="143"/>
      <c r="EM309" s="143"/>
      <c r="EN309" s="143"/>
      <c r="EO309" s="143"/>
      <c r="EP309" s="143"/>
      <c r="EQ309" s="143"/>
      <c r="ER309" s="143"/>
      <c r="ES309" s="143"/>
      <c r="ET309" s="143"/>
      <c r="EU309" s="143"/>
      <c r="EV309" s="143"/>
      <c r="EW309" s="143"/>
      <c r="EX309" s="143"/>
      <c r="EY309" s="143"/>
      <c r="EZ309" s="143"/>
      <c r="FA309" s="143"/>
      <c r="FB309" s="143"/>
      <c r="FC309" s="143"/>
      <c r="FD309" s="143"/>
      <c r="FE309" s="143"/>
      <c r="FF309" s="143"/>
      <c r="FG309" s="143"/>
      <c r="FH309" s="143"/>
      <c r="FI309" s="143"/>
      <c r="FJ309" s="143"/>
      <c r="FK309" s="143"/>
      <c r="FL309" s="143"/>
      <c r="FM309" s="143"/>
      <c r="FN309" s="143"/>
      <c r="FO309" s="143"/>
      <c r="FP309" s="143"/>
      <c r="FQ309" s="143"/>
      <c r="FR309" s="143"/>
      <c r="FS309" s="143"/>
      <c r="FT309" s="143"/>
      <c r="FU309" s="143"/>
      <c r="FV309" s="143"/>
      <c r="FW309" s="143"/>
      <c r="FX309" s="143"/>
      <c r="FY309" s="143"/>
      <c r="FZ309" s="143"/>
      <c r="GA309" s="143"/>
      <c r="GB309" s="143"/>
      <c r="GC309" s="143"/>
      <c r="GD309" s="143"/>
      <c r="GE309" s="143"/>
      <c r="GF309" s="143"/>
      <c r="GG309" s="143"/>
      <c r="GH309" s="143"/>
      <c r="GI309" s="143"/>
      <c r="GJ309" s="143"/>
      <c r="GK309" s="143"/>
      <c r="GL309" s="143"/>
      <c r="GM309" s="143"/>
      <c r="GN309" s="143"/>
      <c r="GO309" s="143"/>
      <c r="GP309" s="143"/>
      <c r="GQ309" s="143"/>
      <c r="GR309" s="143"/>
      <c r="GS309" s="143"/>
      <c r="GT309" s="143"/>
      <c r="GU309" s="143"/>
      <c r="GV309" s="143"/>
      <c r="GW309" s="143"/>
      <c r="GX309" s="143"/>
      <c r="GY309" s="143"/>
      <c r="GZ309" s="143"/>
      <c r="HA309" s="143"/>
      <c r="HB309" s="143"/>
      <c r="HC309" s="143"/>
      <c r="HD309" s="143"/>
      <c r="HE309" s="143"/>
      <c r="HF309" s="143"/>
      <c r="HG309" s="143"/>
      <c r="HH309" s="143"/>
      <c r="HI309" s="143"/>
      <c r="HJ309" s="143"/>
      <c r="HK309" s="143"/>
      <c r="HL309" s="143"/>
      <c r="HM309" s="143"/>
      <c r="HN309" s="143"/>
      <c r="HO309" s="143"/>
      <c r="HP309" s="143"/>
      <c r="HQ309" s="143"/>
      <c r="HR309" s="143"/>
      <c r="HS309" s="143"/>
      <c r="HT309" s="143"/>
      <c r="HU309" s="143"/>
      <c r="HV309" s="143"/>
      <c r="HW309" s="143"/>
      <c r="HX309" s="143"/>
      <c r="HY309" s="143"/>
      <c r="HZ309" s="143"/>
      <c r="IA309" s="143"/>
      <c r="IB309" s="143"/>
      <c r="IC309" s="143"/>
      <c r="ID309" s="143"/>
      <c r="IE309" s="143"/>
      <c r="IF309" s="143"/>
      <c r="IG309" s="143"/>
      <c r="IH309" s="143"/>
      <c r="II309" s="143"/>
      <c r="IJ309" s="143"/>
      <c r="IK309" s="143"/>
      <c r="IL309" s="143"/>
      <c r="IM309" s="143"/>
      <c r="IN309" s="143"/>
      <c r="IO309" s="143"/>
      <c r="IP309" s="143"/>
      <c r="IQ309" s="143"/>
      <c r="IR309" s="143"/>
      <c r="IS309" s="143"/>
      <c r="IT309" s="143"/>
      <c r="IU309" s="143"/>
      <c r="IV309" s="143"/>
      <c r="IW309" s="143"/>
      <c r="IX309" s="143"/>
      <c r="IY309" s="143"/>
      <c r="IZ309" s="143"/>
      <c r="JA309" s="143"/>
      <c r="JB309" s="143"/>
      <c r="JC309" s="143"/>
      <c r="JD309" s="143"/>
      <c r="JE309" s="143"/>
      <c r="JF309" s="143"/>
      <c r="JG309" s="143"/>
      <c r="JH309" s="143"/>
      <c r="JI309" s="143"/>
    </row>
    <row r="310" spans="1:269" hidden="1" outlineLevel="1">
      <c r="A310" s="447"/>
      <c r="B310" s="143"/>
      <c r="C310" s="451"/>
      <c r="D310" s="451"/>
      <c r="E310" s="451"/>
      <c r="F310" s="448"/>
      <c r="G310" s="448"/>
      <c r="H310" s="448"/>
      <c r="I310" s="448"/>
      <c r="J310" s="451"/>
      <c r="K310" s="448"/>
      <c r="L310" s="448"/>
      <c r="M310" s="448"/>
      <c r="N310" s="448"/>
      <c r="O310" s="451"/>
      <c r="P310" s="448"/>
      <c r="Q310" s="448"/>
      <c r="R310" s="448"/>
      <c r="S310" s="448"/>
      <c r="T310" s="451"/>
      <c r="U310" s="448"/>
      <c r="V310" s="448"/>
      <c r="W310" s="448"/>
      <c r="X310" s="448"/>
      <c r="Y310" s="451"/>
      <c r="Z310" s="448"/>
      <c r="AA310" s="448"/>
      <c r="AB310" s="448"/>
      <c r="AC310" s="448"/>
      <c r="AD310" s="449"/>
      <c r="AE310" s="448"/>
      <c r="AF310" s="448"/>
      <c r="AG310" s="143"/>
      <c r="AH310" s="143"/>
      <c r="AI310" s="279"/>
      <c r="AJ310" s="143"/>
      <c r="AK310" s="143"/>
      <c r="AL310" s="143"/>
      <c r="AM310" s="143"/>
      <c r="AN310" s="279"/>
      <c r="AO310" s="143"/>
      <c r="AP310" s="143"/>
      <c r="AQ310" s="143"/>
      <c r="AR310" s="143"/>
      <c r="AS310" s="279"/>
      <c r="AT310" s="315"/>
      <c r="AU310" s="508"/>
      <c r="AV310" s="143"/>
      <c r="AW310" s="143"/>
      <c r="AX310" s="143"/>
      <c r="AY310" s="143"/>
      <c r="AZ310" s="143"/>
      <c r="BA310" s="143"/>
      <c r="BB310" s="143"/>
      <c r="BC310" s="143"/>
      <c r="BD310" s="143"/>
      <c r="BE310" s="143"/>
      <c r="BF310" s="143"/>
      <c r="BG310" s="143"/>
      <c r="BH310" s="143"/>
      <c r="BI310" s="143"/>
      <c r="BJ310" s="143"/>
      <c r="BK310" s="143"/>
      <c r="BL310" s="143"/>
      <c r="BM310" s="143"/>
      <c r="BN310" s="143"/>
      <c r="BO310" s="143"/>
      <c r="BP310" s="143"/>
      <c r="BQ310" s="143"/>
      <c r="BR310" s="143"/>
      <c r="BS310" s="143"/>
      <c r="BT310" s="143"/>
      <c r="BU310" s="143"/>
      <c r="BV310" s="143"/>
      <c r="BW310" s="143"/>
      <c r="BX310" s="143"/>
      <c r="BY310" s="143"/>
      <c r="BZ310" s="143"/>
      <c r="CA310" s="143"/>
      <c r="CB310" s="143"/>
      <c r="CC310" s="143"/>
      <c r="CD310" s="143"/>
      <c r="CE310" s="143"/>
      <c r="CF310" s="143"/>
      <c r="CG310" s="143"/>
      <c r="CH310" s="143"/>
      <c r="CI310" s="143"/>
      <c r="CJ310" s="143"/>
      <c r="CK310" s="143"/>
      <c r="CL310" s="143"/>
      <c r="CM310" s="143"/>
      <c r="CN310" s="143"/>
      <c r="CO310" s="143"/>
      <c r="CP310" s="143"/>
      <c r="CQ310" s="143"/>
      <c r="CR310" s="143"/>
      <c r="CS310" s="143"/>
      <c r="CT310" s="143"/>
      <c r="CU310" s="143"/>
      <c r="CV310" s="143"/>
      <c r="CW310" s="143"/>
      <c r="CX310" s="143"/>
      <c r="CY310" s="143"/>
      <c r="CZ310" s="143"/>
      <c r="DA310" s="143"/>
      <c r="DB310" s="143"/>
      <c r="DC310" s="143"/>
      <c r="DD310" s="143"/>
      <c r="DE310" s="143"/>
      <c r="DF310" s="143"/>
      <c r="DG310" s="143"/>
      <c r="DH310" s="143"/>
      <c r="DI310" s="143"/>
      <c r="DJ310" s="143"/>
      <c r="DK310" s="143"/>
      <c r="DL310" s="143"/>
      <c r="DM310" s="143"/>
      <c r="DN310" s="143"/>
      <c r="DO310" s="143"/>
      <c r="DP310" s="143"/>
      <c r="DQ310" s="143"/>
      <c r="DR310" s="143"/>
      <c r="DS310" s="143"/>
      <c r="DT310" s="143"/>
      <c r="DU310" s="143"/>
      <c r="DV310" s="143"/>
      <c r="DW310" s="143"/>
      <c r="DX310" s="143"/>
      <c r="DY310" s="143"/>
      <c r="DZ310" s="143"/>
      <c r="EA310" s="143"/>
      <c r="EB310" s="143"/>
      <c r="EC310" s="143"/>
      <c r="ED310" s="143"/>
      <c r="EE310" s="143"/>
      <c r="EF310" s="143"/>
      <c r="EG310" s="143"/>
      <c r="EH310" s="143"/>
      <c r="EI310" s="143"/>
      <c r="EJ310" s="143"/>
      <c r="EK310" s="143"/>
      <c r="EL310" s="143"/>
      <c r="EM310" s="143"/>
      <c r="EN310" s="143"/>
      <c r="EO310" s="143"/>
      <c r="EP310" s="143"/>
      <c r="EQ310" s="143"/>
      <c r="ER310" s="143"/>
      <c r="ES310" s="143"/>
      <c r="ET310" s="143"/>
      <c r="EU310" s="143"/>
      <c r="EV310" s="143"/>
      <c r="EW310" s="143"/>
      <c r="EX310" s="143"/>
      <c r="EY310" s="143"/>
      <c r="EZ310" s="143"/>
      <c r="FA310" s="143"/>
      <c r="FB310" s="143"/>
      <c r="FC310" s="143"/>
      <c r="FD310" s="143"/>
      <c r="FE310" s="143"/>
      <c r="FF310" s="143"/>
      <c r="FG310" s="143"/>
      <c r="FH310" s="143"/>
      <c r="FI310" s="143"/>
      <c r="FJ310" s="143"/>
      <c r="FK310" s="143"/>
      <c r="FL310" s="143"/>
      <c r="FM310" s="143"/>
      <c r="FN310" s="143"/>
      <c r="FO310" s="143"/>
      <c r="FP310" s="143"/>
      <c r="FQ310" s="143"/>
      <c r="FR310" s="143"/>
      <c r="FS310" s="143"/>
      <c r="FT310" s="143"/>
      <c r="FU310" s="143"/>
      <c r="FV310" s="143"/>
      <c r="FW310" s="143"/>
      <c r="FX310" s="143"/>
      <c r="FY310" s="143"/>
      <c r="FZ310" s="143"/>
      <c r="GA310" s="143"/>
      <c r="GB310" s="143"/>
      <c r="GC310" s="143"/>
      <c r="GD310" s="143"/>
      <c r="GE310" s="143"/>
      <c r="GF310" s="143"/>
      <c r="GG310" s="143"/>
      <c r="GH310" s="143"/>
      <c r="GI310" s="143"/>
      <c r="GJ310" s="143"/>
      <c r="GK310" s="143"/>
      <c r="GL310" s="143"/>
      <c r="GM310" s="143"/>
      <c r="GN310" s="143"/>
      <c r="GO310" s="143"/>
      <c r="GP310" s="143"/>
      <c r="GQ310" s="143"/>
      <c r="GR310" s="143"/>
      <c r="GS310" s="143"/>
      <c r="GT310" s="143"/>
      <c r="GU310" s="143"/>
      <c r="GV310" s="143"/>
      <c r="GW310" s="143"/>
      <c r="GX310" s="143"/>
      <c r="GY310" s="143"/>
      <c r="GZ310" s="143"/>
      <c r="HA310" s="143"/>
      <c r="HB310" s="143"/>
      <c r="HC310" s="143"/>
      <c r="HD310" s="143"/>
      <c r="HE310" s="143"/>
      <c r="HF310" s="143"/>
      <c r="HG310" s="143"/>
      <c r="HH310" s="143"/>
      <c r="HI310" s="143"/>
      <c r="HJ310" s="143"/>
      <c r="HK310" s="143"/>
      <c r="HL310" s="143"/>
      <c r="HM310" s="143"/>
      <c r="HN310" s="143"/>
      <c r="HO310" s="143"/>
      <c r="HP310" s="143"/>
      <c r="HQ310" s="143"/>
      <c r="HR310" s="143"/>
      <c r="HS310" s="143"/>
      <c r="HT310" s="143"/>
      <c r="HU310" s="143"/>
      <c r="HV310" s="143"/>
      <c r="HW310" s="143"/>
      <c r="HX310" s="143"/>
      <c r="HY310" s="143"/>
      <c r="HZ310" s="143"/>
      <c r="IA310" s="143"/>
      <c r="IB310" s="143"/>
      <c r="IC310" s="143"/>
      <c r="ID310" s="143"/>
      <c r="IE310" s="143"/>
      <c r="IF310" s="143"/>
      <c r="IG310" s="143"/>
      <c r="IH310" s="143"/>
      <c r="II310" s="143"/>
      <c r="IJ310" s="143"/>
      <c r="IK310" s="143"/>
      <c r="IL310" s="143"/>
      <c r="IM310" s="143"/>
      <c r="IN310" s="143"/>
      <c r="IO310" s="143"/>
      <c r="IP310" s="143"/>
      <c r="IQ310" s="143"/>
      <c r="IR310" s="143"/>
      <c r="IS310" s="143"/>
      <c r="IT310" s="143"/>
      <c r="IU310" s="143"/>
      <c r="IV310" s="143"/>
      <c r="IW310" s="143"/>
      <c r="IX310" s="143"/>
      <c r="IY310" s="143"/>
      <c r="IZ310" s="143"/>
      <c r="JA310" s="143"/>
      <c r="JB310" s="143"/>
      <c r="JC310" s="143"/>
      <c r="JD310" s="143"/>
      <c r="JE310" s="143"/>
      <c r="JF310" s="143"/>
      <c r="JG310" s="143"/>
      <c r="JH310" s="143"/>
      <c r="JI310" s="143"/>
    </row>
    <row r="311" spans="1:269" hidden="1" outlineLevel="1">
      <c r="A311" s="52" t="s">
        <v>217</v>
      </c>
      <c r="B311" s="53"/>
      <c r="C311" s="54"/>
      <c r="D311" s="54"/>
      <c r="E311" s="54"/>
      <c r="F311" s="54"/>
      <c r="G311" s="54"/>
      <c r="H311" s="54"/>
      <c r="I311" s="54"/>
      <c r="J311" s="54"/>
      <c r="K311" s="54"/>
      <c r="L311" s="54"/>
      <c r="M311" s="54"/>
      <c r="N311" s="54"/>
      <c r="O311" s="54"/>
      <c r="P311" s="54"/>
      <c r="Q311" s="54"/>
      <c r="R311" s="54"/>
      <c r="S311" s="54"/>
      <c r="T311" s="54"/>
      <c r="U311" s="54"/>
      <c r="V311" s="54"/>
      <c r="W311" s="54"/>
      <c r="X311" s="54"/>
      <c r="Y311" s="54"/>
      <c r="Z311" s="54"/>
      <c r="AA311" s="54"/>
      <c r="AB311" s="54"/>
      <c r="AC311" s="55"/>
      <c r="AD311" s="55"/>
      <c r="AE311" s="55"/>
      <c r="AF311" s="55"/>
      <c r="AG311" s="55"/>
      <c r="AH311" s="55"/>
      <c r="AI311" s="55"/>
      <c r="AJ311" s="55"/>
      <c r="AK311" s="55"/>
      <c r="AL311" s="55"/>
      <c r="AM311" s="55"/>
      <c r="AN311" s="55"/>
      <c r="AO311" s="55"/>
      <c r="AP311" s="55"/>
      <c r="AQ311" s="55"/>
      <c r="AR311" s="55"/>
      <c r="AS311" s="55"/>
      <c r="AT311" s="315"/>
      <c r="AU311" s="508"/>
      <c r="AV311" s="143"/>
      <c r="AW311" s="143"/>
      <c r="AX311" s="143"/>
      <c r="AY311" s="143"/>
      <c r="AZ311" s="143"/>
      <c r="BA311" s="143"/>
      <c r="BB311" s="143"/>
      <c r="BC311" s="143"/>
      <c r="BD311" s="143"/>
      <c r="BE311" s="143"/>
      <c r="BF311" s="143"/>
      <c r="BG311" s="143"/>
      <c r="BH311" s="143"/>
      <c r="BI311" s="143"/>
      <c r="BJ311" s="143"/>
      <c r="BK311" s="143"/>
      <c r="BL311" s="143"/>
      <c r="BM311" s="143"/>
      <c r="BN311" s="143"/>
      <c r="BO311" s="143"/>
      <c r="BP311" s="143"/>
      <c r="BQ311" s="143"/>
      <c r="BR311" s="143"/>
      <c r="BS311" s="143"/>
      <c r="BT311" s="143"/>
      <c r="BU311" s="143"/>
      <c r="BV311" s="143"/>
      <c r="BW311" s="143"/>
      <c r="BX311" s="143"/>
      <c r="BY311" s="143"/>
      <c r="BZ311" s="143"/>
      <c r="CA311" s="143"/>
      <c r="CB311" s="143"/>
      <c r="CC311" s="143"/>
      <c r="CD311" s="143"/>
      <c r="CE311" s="143"/>
      <c r="CF311" s="143"/>
      <c r="CG311" s="143"/>
      <c r="CH311" s="143"/>
      <c r="CI311" s="143"/>
      <c r="CJ311" s="143"/>
      <c r="CK311" s="143"/>
      <c r="CL311" s="143"/>
      <c r="CM311" s="143"/>
      <c r="CN311" s="143"/>
      <c r="CO311" s="143"/>
      <c r="CP311" s="143"/>
      <c r="CQ311" s="143"/>
      <c r="CR311" s="143"/>
      <c r="CS311" s="143"/>
      <c r="CT311" s="143"/>
      <c r="CU311" s="143"/>
      <c r="CV311" s="143"/>
      <c r="CW311" s="143"/>
      <c r="CX311" s="143"/>
      <c r="CY311" s="143"/>
      <c r="CZ311" s="143"/>
      <c r="DA311" s="143"/>
      <c r="DB311" s="143"/>
      <c r="DC311" s="143"/>
      <c r="DD311" s="143"/>
      <c r="DE311" s="143"/>
      <c r="DF311" s="143"/>
      <c r="DG311" s="143"/>
      <c r="DH311" s="143"/>
      <c r="DI311" s="143"/>
      <c r="DJ311" s="143"/>
      <c r="DK311" s="143"/>
      <c r="DL311" s="143"/>
      <c r="DM311" s="143"/>
      <c r="DN311" s="143"/>
      <c r="DO311" s="143"/>
      <c r="DP311" s="143"/>
      <c r="DQ311" s="143"/>
      <c r="DR311" s="143"/>
      <c r="DS311" s="143"/>
      <c r="DT311" s="143"/>
      <c r="DU311" s="143"/>
      <c r="DV311" s="143"/>
      <c r="DW311" s="143"/>
      <c r="DX311" s="143"/>
      <c r="DY311" s="143"/>
      <c r="DZ311" s="143"/>
      <c r="EA311" s="143"/>
      <c r="EB311" s="143"/>
      <c r="EC311" s="143"/>
      <c r="ED311" s="143"/>
      <c r="EE311" s="143"/>
      <c r="EF311" s="143"/>
      <c r="EG311" s="143"/>
      <c r="EH311" s="143"/>
      <c r="EI311" s="143"/>
      <c r="EJ311" s="143"/>
      <c r="EK311" s="143"/>
      <c r="EL311" s="143"/>
      <c r="EM311" s="143"/>
      <c r="EN311" s="143"/>
      <c r="EO311" s="143"/>
      <c r="EP311" s="143"/>
      <c r="EQ311" s="143"/>
      <c r="ER311" s="143"/>
      <c r="ES311" s="143"/>
      <c r="ET311" s="143"/>
      <c r="EU311" s="143"/>
      <c r="EV311" s="143"/>
      <c r="EW311" s="143"/>
      <c r="EX311" s="143"/>
      <c r="EY311" s="143"/>
      <c r="EZ311" s="143"/>
      <c r="FA311" s="143"/>
      <c r="FB311" s="143"/>
      <c r="FC311" s="143"/>
      <c r="FD311" s="143"/>
      <c r="FE311" s="143"/>
      <c r="FF311" s="143"/>
      <c r="FG311" s="143"/>
      <c r="FH311" s="143"/>
      <c r="FI311" s="143"/>
      <c r="FJ311" s="143"/>
      <c r="FK311" s="143"/>
      <c r="FL311" s="143"/>
      <c r="FM311" s="143"/>
      <c r="FN311" s="143"/>
      <c r="FO311" s="143"/>
      <c r="FP311" s="143"/>
      <c r="FQ311" s="143"/>
      <c r="FR311" s="143"/>
      <c r="FS311" s="143"/>
      <c r="FT311" s="143"/>
      <c r="FU311" s="143"/>
      <c r="FV311" s="143"/>
      <c r="FW311" s="143"/>
      <c r="FX311" s="143"/>
      <c r="FY311" s="143"/>
      <c r="FZ311" s="143"/>
      <c r="GA311" s="143"/>
      <c r="GB311" s="143"/>
      <c r="GC311" s="143"/>
      <c r="GD311" s="143"/>
      <c r="GE311" s="143"/>
      <c r="GF311" s="143"/>
      <c r="GG311" s="143"/>
      <c r="GH311" s="143"/>
      <c r="GI311" s="143"/>
      <c r="GJ311" s="143"/>
      <c r="GK311" s="143"/>
      <c r="GL311" s="143"/>
      <c r="GM311" s="143"/>
      <c r="GN311" s="143"/>
      <c r="GO311" s="143"/>
      <c r="GP311" s="143"/>
      <c r="GQ311" s="143"/>
      <c r="GR311" s="143"/>
      <c r="GS311" s="143"/>
      <c r="GT311" s="143"/>
      <c r="GU311" s="143"/>
      <c r="GV311" s="143"/>
      <c r="GW311" s="143"/>
      <c r="GX311" s="143"/>
      <c r="GY311" s="143"/>
      <c r="GZ311" s="143"/>
      <c r="HA311" s="143"/>
      <c r="HB311" s="143"/>
      <c r="HC311" s="143"/>
      <c r="HD311" s="143"/>
      <c r="HE311" s="143"/>
      <c r="HF311" s="143"/>
      <c r="HG311" s="143"/>
      <c r="HH311" s="143"/>
      <c r="HI311" s="143"/>
      <c r="HJ311" s="143"/>
      <c r="HK311" s="143"/>
      <c r="HL311" s="143"/>
      <c r="HM311" s="143"/>
      <c r="HN311" s="143"/>
      <c r="HO311" s="143"/>
      <c r="HP311" s="143"/>
      <c r="HQ311" s="143"/>
      <c r="HR311" s="143"/>
      <c r="HS311" s="143"/>
      <c r="HT311" s="143"/>
      <c r="HU311" s="143"/>
      <c r="HV311" s="143"/>
      <c r="HW311" s="143"/>
      <c r="HX311" s="143"/>
      <c r="HY311" s="143"/>
      <c r="HZ311" s="143"/>
      <c r="IA311" s="143"/>
      <c r="IB311" s="143"/>
      <c r="IC311" s="143"/>
      <c r="ID311" s="143"/>
      <c r="IE311" s="143"/>
      <c r="IF311" s="143"/>
      <c r="IG311" s="143"/>
      <c r="IH311" s="143"/>
      <c r="II311" s="143"/>
      <c r="IJ311" s="143"/>
      <c r="IK311" s="143"/>
      <c r="IL311" s="143"/>
      <c r="IM311" s="143"/>
      <c r="IN311" s="143"/>
      <c r="IO311" s="143"/>
      <c r="IP311" s="143"/>
      <c r="IQ311" s="143"/>
      <c r="IR311" s="143"/>
      <c r="IS311" s="143"/>
      <c r="IT311" s="143"/>
      <c r="IU311" s="143"/>
      <c r="IV311" s="143"/>
      <c r="IW311" s="143"/>
      <c r="IX311" s="143"/>
      <c r="IY311" s="143"/>
      <c r="IZ311" s="143"/>
      <c r="JA311" s="143"/>
      <c r="JB311" s="143"/>
      <c r="JC311" s="143"/>
      <c r="JD311" s="143"/>
      <c r="JE311" s="143"/>
      <c r="JF311" s="143"/>
      <c r="JG311" s="143"/>
      <c r="JH311" s="143"/>
      <c r="JI311" s="143"/>
    </row>
    <row r="312" spans="1:269" hidden="1" outlineLevel="1">
      <c r="A312" s="447"/>
      <c r="B312" s="143"/>
      <c r="C312" s="451"/>
      <c r="D312" s="451"/>
      <c r="E312" s="451"/>
      <c r="F312" s="448"/>
      <c r="G312" s="448"/>
      <c r="H312" s="448"/>
      <c r="I312" s="448"/>
      <c r="J312" s="451"/>
      <c r="K312" s="448"/>
      <c r="L312" s="448"/>
      <c r="M312" s="448"/>
      <c r="N312" s="448"/>
      <c r="O312" s="451"/>
      <c r="P312" s="448"/>
      <c r="Q312" s="448"/>
      <c r="R312" s="448"/>
      <c r="S312" s="448"/>
      <c r="T312" s="451"/>
      <c r="U312" s="448"/>
      <c r="V312" s="448"/>
      <c r="W312" s="448"/>
      <c r="X312" s="448"/>
      <c r="Y312" s="451"/>
      <c r="Z312" s="448"/>
      <c r="AA312" s="448"/>
      <c r="AB312" s="448"/>
      <c r="AC312" s="448"/>
      <c r="AD312" s="449"/>
      <c r="AE312" s="448"/>
      <c r="AF312" s="448"/>
      <c r="AG312" s="143"/>
      <c r="AH312" s="143"/>
      <c r="AI312" s="279"/>
      <c r="AJ312" s="143"/>
      <c r="AK312" s="143"/>
      <c r="AL312" s="143"/>
      <c r="AM312" s="143"/>
      <c r="AN312" s="279"/>
      <c r="AO312" s="143"/>
      <c r="AP312" s="143"/>
      <c r="AQ312" s="143"/>
      <c r="AR312" s="143"/>
      <c r="AS312" s="279"/>
      <c r="AT312" s="315"/>
      <c r="AU312" s="508"/>
      <c r="AV312" s="143"/>
      <c r="AW312" s="143"/>
      <c r="AX312" s="143"/>
      <c r="AY312" s="143"/>
      <c r="AZ312" s="143"/>
      <c r="BA312" s="143"/>
      <c r="BB312" s="143"/>
      <c r="BC312" s="143"/>
      <c r="BD312" s="143"/>
      <c r="BE312" s="143"/>
      <c r="BF312" s="143"/>
      <c r="BG312" s="143"/>
      <c r="BH312" s="143"/>
      <c r="BI312" s="143"/>
      <c r="BJ312" s="143"/>
      <c r="BK312" s="143"/>
      <c r="BL312" s="143"/>
      <c r="BM312" s="143"/>
      <c r="BN312" s="143"/>
      <c r="BO312" s="143"/>
      <c r="BP312" s="143"/>
      <c r="BQ312" s="143"/>
      <c r="BR312" s="143"/>
      <c r="BS312" s="143"/>
      <c r="BT312" s="143"/>
      <c r="BU312" s="143"/>
      <c r="BV312" s="143"/>
      <c r="BW312" s="143"/>
      <c r="BX312" s="143"/>
      <c r="BY312" s="143"/>
      <c r="BZ312" s="143"/>
      <c r="CA312" s="143"/>
      <c r="CB312" s="143"/>
      <c r="CC312" s="143"/>
      <c r="CD312" s="143"/>
      <c r="CE312" s="143"/>
      <c r="CF312" s="143"/>
      <c r="CG312" s="143"/>
      <c r="CH312" s="143"/>
      <c r="CI312" s="143"/>
      <c r="CJ312" s="143"/>
      <c r="CK312" s="143"/>
      <c r="CL312" s="143"/>
      <c r="CM312" s="143"/>
      <c r="CN312" s="143"/>
      <c r="CO312" s="143"/>
      <c r="CP312" s="143"/>
      <c r="CQ312" s="143"/>
      <c r="CR312" s="143"/>
      <c r="CS312" s="143"/>
      <c r="CT312" s="143"/>
      <c r="CU312" s="143"/>
      <c r="CV312" s="143"/>
      <c r="CW312" s="143"/>
      <c r="CX312" s="143"/>
      <c r="CY312" s="143"/>
      <c r="CZ312" s="143"/>
      <c r="DA312" s="143"/>
      <c r="DB312" s="143"/>
      <c r="DC312" s="143"/>
      <c r="DD312" s="143"/>
      <c r="DE312" s="143"/>
      <c r="DF312" s="143"/>
      <c r="DG312" s="143"/>
      <c r="DH312" s="143"/>
      <c r="DI312" s="143"/>
      <c r="DJ312" s="143"/>
      <c r="DK312" s="143"/>
      <c r="DL312" s="143"/>
      <c r="DM312" s="143"/>
      <c r="DN312" s="143"/>
      <c r="DO312" s="143"/>
      <c r="DP312" s="143"/>
      <c r="DQ312" s="143"/>
      <c r="DR312" s="143"/>
      <c r="DS312" s="143"/>
      <c r="DT312" s="143"/>
      <c r="DU312" s="143"/>
      <c r="DV312" s="143"/>
      <c r="DW312" s="143"/>
      <c r="DX312" s="143"/>
      <c r="DY312" s="143"/>
      <c r="DZ312" s="143"/>
      <c r="EA312" s="143"/>
      <c r="EB312" s="143"/>
      <c r="EC312" s="143"/>
      <c r="ED312" s="143"/>
      <c r="EE312" s="143"/>
      <c r="EF312" s="143"/>
      <c r="EG312" s="143"/>
      <c r="EH312" s="143"/>
      <c r="EI312" s="143"/>
      <c r="EJ312" s="143"/>
      <c r="EK312" s="143"/>
      <c r="EL312" s="143"/>
      <c r="EM312" s="143"/>
      <c r="EN312" s="143"/>
      <c r="EO312" s="143"/>
      <c r="EP312" s="143"/>
      <c r="EQ312" s="143"/>
      <c r="ER312" s="143"/>
      <c r="ES312" s="143"/>
      <c r="ET312" s="143"/>
      <c r="EU312" s="143"/>
      <c r="EV312" s="143"/>
      <c r="EW312" s="143"/>
      <c r="EX312" s="143"/>
      <c r="EY312" s="143"/>
      <c r="EZ312" s="143"/>
      <c r="FA312" s="143"/>
      <c r="FB312" s="143"/>
      <c r="FC312" s="143"/>
      <c r="FD312" s="143"/>
      <c r="FE312" s="143"/>
      <c r="FF312" s="143"/>
      <c r="FG312" s="143"/>
      <c r="FH312" s="143"/>
      <c r="FI312" s="143"/>
      <c r="FJ312" s="143"/>
      <c r="FK312" s="143"/>
      <c r="FL312" s="143"/>
      <c r="FM312" s="143"/>
      <c r="FN312" s="143"/>
      <c r="FO312" s="143"/>
      <c r="FP312" s="143"/>
      <c r="FQ312" s="143"/>
      <c r="FR312" s="143"/>
      <c r="FS312" s="143"/>
      <c r="FT312" s="143"/>
      <c r="FU312" s="143"/>
      <c r="FV312" s="143"/>
      <c r="FW312" s="143"/>
      <c r="FX312" s="143"/>
      <c r="FY312" s="143"/>
      <c r="FZ312" s="143"/>
      <c r="GA312" s="143"/>
      <c r="GB312" s="143"/>
      <c r="GC312" s="143"/>
      <c r="GD312" s="143"/>
      <c r="GE312" s="143"/>
      <c r="GF312" s="143"/>
      <c r="GG312" s="143"/>
      <c r="GH312" s="143"/>
      <c r="GI312" s="143"/>
      <c r="GJ312" s="143"/>
      <c r="GK312" s="143"/>
      <c r="GL312" s="143"/>
      <c r="GM312" s="143"/>
      <c r="GN312" s="143"/>
      <c r="GO312" s="143"/>
      <c r="GP312" s="143"/>
      <c r="GQ312" s="143"/>
      <c r="GR312" s="143"/>
      <c r="GS312" s="143"/>
      <c r="GT312" s="143"/>
      <c r="GU312" s="143"/>
      <c r="GV312" s="143"/>
      <c r="GW312" s="143"/>
      <c r="GX312" s="143"/>
      <c r="GY312" s="143"/>
      <c r="GZ312" s="143"/>
      <c r="HA312" s="143"/>
      <c r="HB312" s="143"/>
      <c r="HC312" s="143"/>
      <c r="HD312" s="143"/>
      <c r="HE312" s="143"/>
      <c r="HF312" s="143"/>
      <c r="HG312" s="143"/>
      <c r="HH312" s="143"/>
      <c r="HI312" s="143"/>
      <c r="HJ312" s="143"/>
      <c r="HK312" s="143"/>
      <c r="HL312" s="143"/>
      <c r="HM312" s="143"/>
      <c r="HN312" s="143"/>
      <c r="HO312" s="143"/>
      <c r="HP312" s="143"/>
      <c r="HQ312" s="143"/>
      <c r="HR312" s="143"/>
      <c r="HS312" s="143"/>
      <c r="HT312" s="143"/>
      <c r="HU312" s="143"/>
      <c r="HV312" s="143"/>
      <c r="HW312" s="143"/>
      <c r="HX312" s="143"/>
      <c r="HY312" s="143"/>
      <c r="HZ312" s="143"/>
      <c r="IA312" s="143"/>
      <c r="IB312" s="143"/>
      <c r="IC312" s="143"/>
      <c r="ID312" s="143"/>
      <c r="IE312" s="143"/>
      <c r="IF312" s="143"/>
      <c r="IG312" s="143"/>
      <c r="IH312" s="143"/>
      <c r="II312" s="143"/>
      <c r="IJ312" s="143"/>
      <c r="IK312" s="143"/>
      <c r="IL312" s="143"/>
      <c r="IM312" s="143"/>
      <c r="IN312" s="143"/>
      <c r="IO312" s="143"/>
      <c r="IP312" s="143"/>
      <c r="IQ312" s="143"/>
      <c r="IR312" s="143"/>
      <c r="IS312" s="143"/>
      <c r="IT312" s="143"/>
      <c r="IU312" s="143"/>
      <c r="IV312" s="143"/>
      <c r="IW312" s="143"/>
      <c r="IX312" s="143"/>
      <c r="IY312" s="143"/>
      <c r="IZ312" s="143"/>
      <c r="JA312" s="143"/>
      <c r="JB312" s="143"/>
      <c r="JC312" s="143"/>
      <c r="JD312" s="143"/>
      <c r="JE312" s="143"/>
      <c r="JF312" s="143"/>
      <c r="JG312" s="143"/>
      <c r="JH312" s="143"/>
      <c r="JI312" s="143"/>
    </row>
    <row r="313" spans="1:269" ht="15" hidden="1" outlineLevel="1" thickBot="1">
      <c r="A313" s="473" t="s">
        <v>218</v>
      </c>
      <c r="B313" s="67"/>
      <c r="C313" s="472"/>
      <c r="D313" s="472"/>
      <c r="E313" s="472"/>
      <c r="F313" s="471"/>
      <c r="G313" s="471"/>
      <c r="H313" s="471"/>
      <c r="I313" s="471"/>
      <c r="J313" s="472"/>
      <c r="K313" s="471"/>
      <c r="L313" s="471"/>
      <c r="M313" s="471"/>
      <c r="N313" s="471"/>
      <c r="O313" s="472"/>
      <c r="P313" s="471"/>
      <c r="Q313" s="471"/>
      <c r="R313" s="471"/>
      <c r="S313" s="471"/>
      <c r="T313" s="472"/>
      <c r="U313" s="471"/>
      <c r="V313" s="471"/>
      <c r="W313" s="471"/>
      <c r="X313" s="471"/>
      <c r="Y313" s="472"/>
      <c r="Z313" s="471"/>
      <c r="AA313" s="471"/>
      <c r="AB313" s="471"/>
      <c r="AC313" s="471"/>
      <c r="AD313" s="515"/>
      <c r="AE313" s="471"/>
      <c r="AF313" s="471"/>
      <c r="AG313" s="67"/>
      <c r="AH313" s="67"/>
      <c r="AI313" s="69"/>
      <c r="AJ313" s="67"/>
      <c r="AK313" s="67"/>
      <c r="AL313" s="67"/>
      <c r="AM313" s="67"/>
      <c r="AN313" s="69"/>
      <c r="AO313" s="67"/>
      <c r="AP313" s="67"/>
      <c r="AQ313" s="67"/>
      <c r="AR313" s="67"/>
      <c r="AS313" s="69"/>
      <c r="AT313" s="315"/>
      <c r="AU313" s="508"/>
      <c r="AV313" s="143"/>
      <c r="AW313" s="143"/>
      <c r="AX313" s="143"/>
      <c r="AY313" s="143"/>
      <c r="AZ313" s="143"/>
      <c r="BA313" s="143"/>
      <c r="BB313" s="143"/>
      <c r="BC313" s="143"/>
      <c r="BD313" s="143"/>
      <c r="BE313" s="143"/>
      <c r="BF313" s="143"/>
      <c r="BG313" s="143"/>
      <c r="BH313" s="143"/>
      <c r="BI313" s="143"/>
      <c r="BJ313" s="143"/>
      <c r="BK313" s="143"/>
      <c r="BL313" s="143"/>
      <c r="BM313" s="143"/>
      <c r="BN313" s="143"/>
      <c r="BO313" s="143"/>
      <c r="BP313" s="143"/>
      <c r="BQ313" s="143"/>
      <c r="BR313" s="143"/>
      <c r="BS313" s="143"/>
      <c r="BT313" s="143"/>
      <c r="BU313" s="143"/>
      <c r="BV313" s="143"/>
      <c r="BW313" s="143"/>
      <c r="BX313" s="143"/>
      <c r="BY313" s="143"/>
      <c r="BZ313" s="143"/>
      <c r="CA313" s="143"/>
      <c r="CB313" s="143"/>
      <c r="CC313" s="143"/>
      <c r="CD313" s="143"/>
      <c r="CE313" s="143"/>
      <c r="CF313" s="143"/>
      <c r="CG313" s="143"/>
      <c r="CH313" s="143"/>
      <c r="CI313" s="143"/>
      <c r="CJ313" s="143"/>
      <c r="CK313" s="143"/>
      <c r="CL313" s="143"/>
      <c r="CM313" s="143"/>
      <c r="CN313" s="143"/>
      <c r="CO313" s="143"/>
      <c r="CP313" s="143"/>
      <c r="CQ313" s="143"/>
      <c r="CR313" s="143"/>
      <c r="CS313" s="143"/>
      <c r="CT313" s="143"/>
      <c r="CU313" s="143"/>
      <c r="CV313" s="143"/>
      <c r="CW313" s="143"/>
      <c r="CX313" s="143"/>
      <c r="CY313" s="143"/>
      <c r="CZ313" s="143"/>
      <c r="DA313" s="143"/>
      <c r="DB313" s="143"/>
      <c r="DC313" s="143"/>
      <c r="DD313" s="143"/>
      <c r="DE313" s="143"/>
      <c r="DF313" s="143"/>
      <c r="DG313" s="143"/>
      <c r="DH313" s="143"/>
      <c r="DI313" s="143"/>
      <c r="DJ313" s="143"/>
      <c r="DK313" s="143"/>
      <c r="DL313" s="143"/>
      <c r="DM313" s="143"/>
      <c r="DN313" s="143"/>
      <c r="DO313" s="143"/>
      <c r="DP313" s="143"/>
      <c r="DQ313" s="143"/>
      <c r="DR313" s="143"/>
      <c r="DS313" s="143"/>
      <c r="DT313" s="143"/>
      <c r="DU313" s="143"/>
      <c r="DV313" s="143"/>
      <c r="DW313" s="143"/>
      <c r="DX313" s="143"/>
      <c r="DY313" s="143"/>
      <c r="DZ313" s="143"/>
      <c r="EA313" s="143"/>
      <c r="EB313" s="143"/>
      <c r="EC313" s="143"/>
      <c r="ED313" s="143"/>
      <c r="EE313" s="143"/>
      <c r="EF313" s="143"/>
      <c r="EG313" s="143"/>
      <c r="EH313" s="143"/>
      <c r="EI313" s="143"/>
      <c r="EJ313" s="143"/>
      <c r="EK313" s="143"/>
      <c r="EL313" s="143"/>
      <c r="EM313" s="143"/>
      <c r="EN313" s="143"/>
      <c r="EO313" s="143"/>
      <c r="EP313" s="143"/>
      <c r="EQ313" s="143"/>
      <c r="ER313" s="143"/>
      <c r="ES313" s="143"/>
      <c r="ET313" s="143"/>
      <c r="EU313" s="143"/>
      <c r="EV313" s="143"/>
      <c r="EW313" s="143"/>
      <c r="EX313" s="143"/>
      <c r="EY313" s="143"/>
      <c r="EZ313" s="143"/>
      <c r="FA313" s="143"/>
      <c r="FB313" s="143"/>
      <c r="FC313" s="143"/>
      <c r="FD313" s="143"/>
      <c r="FE313" s="143"/>
      <c r="FF313" s="143"/>
      <c r="FG313" s="143"/>
      <c r="FH313" s="143"/>
      <c r="FI313" s="143"/>
      <c r="FJ313" s="143"/>
      <c r="FK313" s="143"/>
      <c r="FL313" s="143"/>
      <c r="FM313" s="143"/>
      <c r="FN313" s="143"/>
      <c r="FO313" s="143"/>
      <c r="FP313" s="143"/>
      <c r="FQ313" s="143"/>
      <c r="FR313" s="143"/>
      <c r="FS313" s="143"/>
      <c r="FT313" s="143"/>
      <c r="FU313" s="143"/>
      <c r="FV313" s="143"/>
      <c r="FW313" s="143"/>
      <c r="FX313" s="143"/>
      <c r="FY313" s="143"/>
      <c r="FZ313" s="143"/>
      <c r="GA313" s="143"/>
      <c r="GB313" s="143"/>
      <c r="GC313" s="143"/>
      <c r="GD313" s="143"/>
      <c r="GE313" s="143"/>
      <c r="GF313" s="143"/>
      <c r="GG313" s="143"/>
      <c r="GH313" s="143"/>
      <c r="GI313" s="143"/>
      <c r="GJ313" s="143"/>
      <c r="GK313" s="143"/>
      <c r="GL313" s="143"/>
      <c r="GM313" s="143"/>
      <c r="GN313" s="143"/>
      <c r="GO313" s="143"/>
      <c r="GP313" s="143"/>
      <c r="GQ313" s="143"/>
      <c r="GR313" s="143"/>
      <c r="GS313" s="143"/>
      <c r="GT313" s="143"/>
      <c r="GU313" s="143"/>
      <c r="GV313" s="143"/>
      <c r="GW313" s="143"/>
      <c r="GX313" s="143"/>
      <c r="GY313" s="143"/>
      <c r="GZ313" s="143"/>
      <c r="HA313" s="143"/>
      <c r="HB313" s="143"/>
      <c r="HC313" s="143"/>
      <c r="HD313" s="143"/>
      <c r="HE313" s="143"/>
      <c r="HF313" s="143"/>
      <c r="HG313" s="143"/>
      <c r="HH313" s="143"/>
      <c r="HI313" s="143"/>
      <c r="HJ313" s="143"/>
      <c r="HK313" s="143"/>
      <c r="HL313" s="143"/>
      <c r="HM313" s="143"/>
      <c r="HN313" s="143"/>
      <c r="HO313" s="143"/>
      <c r="HP313" s="143"/>
      <c r="HQ313" s="143"/>
      <c r="HR313" s="143"/>
      <c r="HS313" s="143"/>
      <c r="HT313" s="143"/>
      <c r="HU313" s="143"/>
      <c r="HV313" s="143"/>
      <c r="HW313" s="143"/>
      <c r="HX313" s="143"/>
      <c r="HY313" s="143"/>
      <c r="HZ313" s="143"/>
      <c r="IA313" s="143"/>
      <c r="IB313" s="143"/>
      <c r="IC313" s="143"/>
      <c r="ID313" s="143"/>
      <c r="IE313" s="143"/>
      <c r="IF313" s="143"/>
      <c r="IG313" s="143"/>
      <c r="IH313" s="143"/>
      <c r="II313" s="143"/>
      <c r="IJ313" s="143"/>
      <c r="IK313" s="143"/>
      <c r="IL313" s="143"/>
      <c r="IM313" s="143"/>
      <c r="IN313" s="143"/>
      <c r="IO313" s="143"/>
      <c r="IP313" s="143"/>
      <c r="IQ313" s="143"/>
      <c r="IR313" s="143"/>
      <c r="IS313" s="143"/>
      <c r="IT313" s="143"/>
      <c r="IU313" s="143"/>
      <c r="IV313" s="143"/>
      <c r="IW313" s="143"/>
      <c r="IX313" s="143"/>
      <c r="IY313" s="143"/>
      <c r="IZ313" s="143"/>
      <c r="JA313" s="143"/>
      <c r="JB313" s="143"/>
      <c r="JC313" s="143"/>
      <c r="JD313" s="143"/>
      <c r="JE313" s="143"/>
      <c r="JF313" s="143"/>
      <c r="JG313" s="143"/>
      <c r="JH313" s="143"/>
      <c r="JI313" s="143"/>
    </row>
    <row r="314" spans="1:269" ht="15" hidden="1" outlineLevel="1" thickTop="1">
      <c r="A314" s="91" t="s">
        <v>212</v>
      </c>
      <c r="B314" s="143" t="s">
        <v>226</v>
      </c>
      <c r="C314" s="451" cm="1">
        <f t="array" ref="C314">_xll.VAData($B314, C$4, $A314, "consensus", "CD", "IMPL","", "")</f>
        <v>68087.736842105267</v>
      </c>
      <c r="D314" s="451" cm="1">
        <f t="array" ref="D314">_xll.VAData($B314, D$4, $A314, "consensus", "CD", "IMPL","", "")</f>
        <v>81232.850000000006</v>
      </c>
      <c r="E314" s="451" cm="1">
        <f t="array" ref="E314">_xll.VAData($B314, E$4, $A314, "consensus", "CD", "IMPL","", "")</f>
        <v>92732.57142857142</v>
      </c>
      <c r="F314" s="448" cm="1">
        <f t="array" ref="F314">_xll.VAData($B314, F$4, $A314, "consensus", "CD", "IMPL","", "")</f>
        <v>25410</v>
      </c>
      <c r="G314" s="448" cm="1">
        <f t="array" ref="G314">_xll.VAData($B314, G$4, $A314, "consensus", "CD", "IMPL","", "")</f>
        <v>25039</v>
      </c>
      <c r="H314" s="448" cm="1">
        <f t="array" ref="H314">_xll.VAData($B314, H$4, $A314, "consensus", "CD", "IMPL","", "")</f>
        <v>25281</v>
      </c>
      <c r="I314" s="448" cm="1">
        <f t="array" ref="I314">_xll.VAData($B314, I$4, $A314, "consensus", "CD", "IMPL","", "")</f>
        <v>20713</v>
      </c>
      <c r="J314" s="451" cm="1">
        <f t="array" ref="J314">_xll.VAData($B314, J$4, $A314, "consensus", "CD", "IMPL","", "")</f>
        <v>96442.869565217392</v>
      </c>
      <c r="K314" s="448" cm="1">
        <f t="array" ref="K314">_xll.VAData($B314, K$4, $A314, "consensus", "CD", "IMPL","", "")</f>
        <v>12393</v>
      </c>
      <c r="L314" s="448" cm="1">
        <f t="array" ref="L314">_xll.VAData($B314, L$4, $A314, "consensus", "CD", "IMPL","", "")</f>
        <v>2306.0476190476188</v>
      </c>
      <c r="M314" s="448" cm="1">
        <f t="array" ref="M314">_xll.VAData($B314, M$4, $A314, "consensus", "CD", "IMPL","", "")</f>
        <v>13382</v>
      </c>
      <c r="N314" s="448" cm="1">
        <f t="array" ref="N314">_xll.VAData($B314, N$4, $A314, "consensus", "CD", "IMPL","", "")</f>
        <v>7313</v>
      </c>
      <c r="O314" s="451" cm="1">
        <f t="array" ref="O314">_xll.VAData($B314, O$4, $A314, "consensus", "CD", "IMPL","", "")</f>
        <v>35394.047619047626</v>
      </c>
      <c r="P314" s="448" cm="1">
        <f t="array" ref="P314">_xll.VAData($B314, P$4, $A314, "consensus", "CD", "IMPL","", "")</f>
        <v>11935.7</v>
      </c>
      <c r="Q314" s="448" cm="1">
        <f t="array" ref="Q314">_xll.VAData($B314, Q$4, $A314, "consensus", "CD", "IMPL","", "")</f>
        <v>21955.25</v>
      </c>
      <c r="R314" s="448" cm="1">
        <f t="array" ref="R314">_xll.VAData($B314, R$4, $A314, "consensus", "CD", "IMPL","", "")</f>
        <v>23684</v>
      </c>
      <c r="S314" s="448" cm="1">
        <f t="array" ref="S314">_xll.VAData($B314, S$4, $A314, "consensus", "CD", "IMPL","", "")</f>
        <v>19011</v>
      </c>
      <c r="T314" s="451" cm="1">
        <f t="array" ref="T314">_xll.VAData($B314, T$4, $A314, "consensus", "CD", "IMPL","", "")</f>
        <v>76560.238095238092</v>
      </c>
      <c r="U314" s="448" cm="1">
        <f t="array" ref="U314">_xll.VAData($B314, U$4, $A314, "consensus", "CD", "IMPL","", "")</f>
        <v>27293</v>
      </c>
      <c r="V314" s="448" cm="1">
        <f t="array" ref="V314">_xll.VAData($B314, V$4, $A314, "consensus", "CD", "IMPL","", "")</f>
        <v>34545</v>
      </c>
      <c r="W314" s="448" cm="1">
        <f t="array" ref="W314">_xll.VAData($B314, W$4, $A314, "consensus", "CD", "IMPL","", "")</f>
        <v>32120</v>
      </c>
      <c r="X314" s="448" cm="1">
        <f t="array" ref="X314">_xll.VAData($B314, X$4, $A314, "consensus", "CD", "IMPL","", "")</f>
        <v>27294</v>
      </c>
      <c r="Y314" s="451" cm="1">
        <f t="array" ref="Y314">_xll.VAData($B314, Y$4, $A314, "consensus", "CD", "IMPL","", "")</f>
        <v>121252</v>
      </c>
      <c r="Z314" s="448" cm="1">
        <f t="array" ref="Z314">_xll.VAData($B314, Z$4, $A314, "consensus", "CD", "IMPL","", "")</f>
        <v>39427</v>
      </c>
      <c r="AA314" s="448" cm="1">
        <f t="array" ref="AA314">_xll.VAData($B314, AA$4, $A314, "consensus", "CD", "IMPL","", "")</f>
        <v>39595.179250583024</v>
      </c>
      <c r="AB314" s="448" cm="1">
        <f t="array" ref="AB314">_xll.VAData($B314, AB$4, $A314, "consensus", "CD", "IMPL","", "")</f>
        <v>39813</v>
      </c>
      <c r="AC314" s="448" cm="1">
        <f t="array" ref="AC314">_xll.VAData($B314, AC$4, $A314, "consensus", "CD", "IMPL","", "")</f>
        <v>31027.937293797055</v>
      </c>
      <c r="AD314" s="449" cm="1">
        <f t="array" ref="AD314">_xll.VAData($B314, AD$4, $A314, "consensus", "CD", "IMPL","", "")</f>
        <v>150039.47612816814</v>
      </c>
      <c r="AE314" s="448" cm="1">
        <f t="array" ref="AE314">_xll.VAData($B314, AE$4, $A314, "consensus", "CD", "IMPL","", "")</f>
        <v>43355.495236146337</v>
      </c>
      <c r="AF314" s="448" cm="1">
        <f t="array" ref="AF314">_xll.VAData($B314, AF$4, $A314, "consensus", "CD", "IMPL","", "")</f>
        <v>43696.134754150909</v>
      </c>
      <c r="AG314" s="448" cm="1">
        <f t="array" ref="AG314">_xll.VAData($B314, AG$4, $A314, "consensus", "CD", "IMPL","", "")</f>
        <v>43602.306213863587</v>
      </c>
      <c r="AH314" s="448" cm="1">
        <f t="array" ref="AH314">_xll.VAData($B314, AH$4, $A314, "consensus", "CD", "IMPL","", "")</f>
        <v>34676.192925888863</v>
      </c>
      <c r="AI314" s="449" cm="1">
        <f t="array" ref="AI314">_xll.VAData($B314, AI$4, $A314, "consensus", "CD", "IMPL","", "")</f>
        <v>165178.02871245699</v>
      </c>
      <c r="AJ314" s="448" cm="1">
        <f t="array" ref="AJ314">_xll.VAData($B314, AJ$4, $A314, "consensus", "CD", "IMPL","", "")</f>
        <v>48281.54682833462</v>
      </c>
      <c r="AK314" s="448" cm="1">
        <f t="array" ref="AK314">_xll.VAData($B314, AK$4, $A314, "consensus", "CD", "IMPL","", "")</f>
        <v>48008.598081625467</v>
      </c>
      <c r="AL314" s="448" cm="1">
        <f t="array" ref="AL314">_xll.VAData($B314, AL$4, $A314, "consensus", "CD", "IMPL","", "")</f>
        <v>48187.251879540498</v>
      </c>
      <c r="AM314" s="448" cm="1">
        <f t="array" ref="AM314">_xll.VAData($B314, AM$4, $A314, "consensus", "CD", "IMPL","", "")</f>
        <v>38092.476745831984</v>
      </c>
      <c r="AN314" s="449" cm="1">
        <f t="array" ref="AN314">_xll.VAData($B314, AN$4, $A314, "consensus", "CD", "IMPL","", "")</f>
        <v>180458.18211900801</v>
      </c>
      <c r="AO314" s="448" cm="1">
        <f t="array" ref="AO314">_xll.VAData($B314, AO$4, $A314, "consensus", "CD", "IMPL","", "")</f>
        <v>52454.140346887747</v>
      </c>
      <c r="AP314" s="448" cm="1">
        <f t="array" ref="AP314">_xll.VAData($B314, AP$4, $A314, "consensus", "CD", "IMPL","", "")</f>
        <v>51711.730664149902</v>
      </c>
      <c r="AQ314" s="448" cm="1">
        <f t="array" ref="AQ314">_xll.VAData($B314, AQ$4, $A314, "consensus", "CD", "IMPL","", "")</f>
        <v>52194.925269950749</v>
      </c>
      <c r="AR314" s="448" cm="1">
        <f t="array" ref="AR314">_xll.VAData($B314, AR$4, $A314, "consensus", "CD", "IMPL","", "")</f>
        <v>42038.002458440402</v>
      </c>
      <c r="AS314" s="449" cm="1">
        <f t="array" ref="AS314">_xll.VAData($B314, AS$4, $A314, "consensus", "CD", "IMPL","", "")</f>
        <v>195285.77683684116</v>
      </c>
      <c r="AT314" s="315"/>
      <c r="AU314" s="508"/>
      <c r="AV314" s="143"/>
      <c r="AW314" s="143"/>
      <c r="AX314" s="143"/>
      <c r="AY314" s="143"/>
      <c r="AZ314" s="143"/>
      <c r="BA314" s="143"/>
      <c r="BB314" s="143"/>
      <c r="BC314" s="143"/>
      <c r="BD314" s="143"/>
      <c r="BE314" s="143"/>
      <c r="BF314" s="143"/>
      <c r="BG314" s="143"/>
      <c r="BH314" s="143"/>
      <c r="BI314" s="143"/>
      <c r="BJ314" s="143"/>
      <c r="BK314" s="143"/>
      <c r="BL314" s="143"/>
      <c r="BM314" s="143"/>
      <c r="BN314" s="143"/>
      <c r="BO314" s="143"/>
      <c r="BP314" s="143"/>
      <c r="BQ314" s="143"/>
      <c r="BR314" s="143"/>
      <c r="BS314" s="143"/>
      <c r="BT314" s="143"/>
      <c r="BU314" s="143"/>
      <c r="BV314" s="143"/>
      <c r="BW314" s="143"/>
      <c r="BX314" s="143"/>
      <c r="BY314" s="143"/>
      <c r="BZ314" s="143"/>
      <c r="CA314" s="143"/>
      <c r="CB314" s="143"/>
      <c r="CC314" s="143"/>
      <c r="CD314" s="143"/>
      <c r="CE314" s="143"/>
      <c r="CF314" s="143"/>
      <c r="CG314" s="143"/>
      <c r="CH314" s="143"/>
      <c r="CI314" s="143"/>
      <c r="CJ314" s="143"/>
      <c r="CK314" s="143"/>
      <c r="CL314" s="143"/>
      <c r="CM314" s="143"/>
      <c r="CN314" s="143"/>
      <c r="CO314" s="143"/>
      <c r="CP314" s="143"/>
      <c r="CQ314" s="143"/>
      <c r="CR314" s="143"/>
      <c r="CS314" s="143"/>
      <c r="CT314" s="143"/>
      <c r="CU314" s="143"/>
      <c r="CV314" s="143"/>
      <c r="CW314" s="143"/>
      <c r="CX314" s="143"/>
      <c r="CY314" s="143"/>
      <c r="CZ314" s="143"/>
      <c r="DA314" s="143"/>
      <c r="DB314" s="143"/>
      <c r="DC314" s="143"/>
      <c r="DD314" s="143"/>
      <c r="DE314" s="143"/>
      <c r="DF314" s="143"/>
      <c r="DG314" s="143"/>
      <c r="DH314" s="143"/>
      <c r="DI314" s="143"/>
      <c r="DJ314" s="143"/>
      <c r="DK314" s="143"/>
      <c r="DL314" s="143"/>
      <c r="DM314" s="143"/>
      <c r="DN314" s="143"/>
      <c r="DO314" s="143"/>
      <c r="DP314" s="143"/>
      <c r="DQ314" s="143"/>
      <c r="DR314" s="143"/>
      <c r="DS314" s="143"/>
      <c r="DT314" s="143"/>
      <c r="DU314" s="143"/>
      <c r="DV314" s="143"/>
      <c r="DW314" s="143"/>
      <c r="DX314" s="143"/>
      <c r="DY314" s="143"/>
      <c r="DZ314" s="143"/>
      <c r="EA314" s="143"/>
      <c r="EB314" s="143"/>
      <c r="EC314" s="143"/>
      <c r="ED314" s="143"/>
      <c r="EE314" s="143"/>
      <c r="EF314" s="143"/>
      <c r="EG314" s="143"/>
      <c r="EH314" s="143"/>
      <c r="EI314" s="143"/>
      <c r="EJ314" s="143"/>
      <c r="EK314" s="143"/>
      <c r="EL314" s="143"/>
      <c r="EM314" s="143"/>
      <c r="EN314" s="143"/>
      <c r="EO314" s="143"/>
      <c r="EP314" s="143"/>
      <c r="EQ314" s="143"/>
      <c r="ER314" s="143"/>
      <c r="ES314" s="143"/>
      <c r="ET314" s="143"/>
      <c r="EU314" s="143"/>
      <c r="EV314" s="143"/>
      <c r="EW314" s="143"/>
      <c r="EX314" s="143"/>
      <c r="EY314" s="143"/>
      <c r="EZ314" s="143"/>
      <c r="FA314" s="143"/>
      <c r="FB314" s="143"/>
      <c r="FC314" s="143"/>
      <c r="FD314" s="143"/>
      <c r="FE314" s="143"/>
      <c r="FF314" s="143"/>
      <c r="FG314" s="143"/>
      <c r="FH314" s="143"/>
      <c r="FI314" s="143"/>
      <c r="FJ314" s="143"/>
      <c r="FK314" s="143"/>
      <c r="FL314" s="143"/>
      <c r="FM314" s="143"/>
      <c r="FN314" s="143"/>
      <c r="FO314" s="143"/>
      <c r="FP314" s="143"/>
      <c r="FQ314" s="143"/>
      <c r="FR314" s="143"/>
      <c r="FS314" s="143"/>
      <c r="FT314" s="143"/>
      <c r="FU314" s="143"/>
      <c r="FV314" s="143"/>
      <c r="FW314" s="143"/>
      <c r="FX314" s="143"/>
      <c r="FY314" s="143"/>
      <c r="FZ314" s="143"/>
      <c r="GA314" s="143"/>
      <c r="GB314" s="143"/>
      <c r="GC314" s="143"/>
      <c r="GD314" s="143"/>
      <c r="GE314" s="143"/>
      <c r="GF314" s="143"/>
      <c r="GG314" s="143"/>
      <c r="GH314" s="143"/>
      <c r="GI314" s="143"/>
      <c r="GJ314" s="143"/>
      <c r="GK314" s="143"/>
      <c r="GL314" s="143"/>
      <c r="GM314" s="143"/>
      <c r="GN314" s="143"/>
      <c r="GO314" s="143"/>
      <c r="GP314" s="143"/>
      <c r="GQ314" s="143"/>
      <c r="GR314" s="143"/>
      <c r="GS314" s="143"/>
      <c r="GT314" s="143"/>
      <c r="GU314" s="143"/>
      <c r="GV314" s="143"/>
      <c r="GW314" s="143"/>
      <c r="GX314" s="143"/>
      <c r="GY314" s="143"/>
      <c r="GZ314" s="143"/>
      <c r="HA314" s="143"/>
      <c r="HB314" s="143"/>
      <c r="HC314" s="143"/>
      <c r="HD314" s="143"/>
      <c r="HE314" s="143"/>
      <c r="HF314" s="143"/>
      <c r="HG314" s="143"/>
      <c r="HH314" s="143"/>
      <c r="HI314" s="143"/>
      <c r="HJ314" s="143"/>
      <c r="HK314" s="143"/>
      <c r="HL314" s="143"/>
      <c r="HM314" s="143"/>
      <c r="HN314" s="143"/>
      <c r="HO314" s="143"/>
      <c r="HP314" s="143"/>
      <c r="HQ314" s="143"/>
      <c r="HR314" s="143"/>
      <c r="HS314" s="143"/>
      <c r="HT314" s="143"/>
      <c r="HU314" s="143"/>
      <c r="HV314" s="143"/>
      <c r="HW314" s="143"/>
      <c r="HX314" s="143"/>
      <c r="HY314" s="143"/>
      <c r="HZ314" s="143"/>
      <c r="IA314" s="143"/>
      <c r="IB314" s="143"/>
      <c r="IC314" s="143"/>
      <c r="ID314" s="143"/>
      <c r="IE314" s="143"/>
      <c r="IF314" s="143"/>
      <c r="IG314" s="143"/>
      <c r="IH314" s="143"/>
      <c r="II314" s="143"/>
      <c r="IJ314" s="143"/>
      <c r="IK314" s="143"/>
      <c r="IL314" s="143"/>
      <c r="IM314" s="143"/>
      <c r="IN314" s="143"/>
      <c r="IO314" s="143"/>
      <c r="IP314" s="143"/>
      <c r="IQ314" s="143"/>
      <c r="IR314" s="143"/>
      <c r="IS314" s="143"/>
      <c r="IT314" s="143"/>
      <c r="IU314" s="143"/>
      <c r="IV314" s="143"/>
      <c r="IW314" s="143"/>
      <c r="IX314" s="143"/>
      <c r="IY314" s="143"/>
      <c r="IZ314" s="143"/>
      <c r="JA314" s="143"/>
      <c r="JB314" s="143"/>
      <c r="JC314" s="143"/>
      <c r="JD314" s="143"/>
      <c r="JE314" s="143"/>
      <c r="JF314" s="143"/>
      <c r="JG314" s="143"/>
      <c r="JH314" s="143"/>
      <c r="JI314" s="143"/>
    </row>
    <row r="315" spans="1:269" hidden="1" outlineLevel="1">
      <c r="A315" s="418" t="s">
        <v>223</v>
      </c>
      <c r="B315" s="143" t="s">
        <v>226</v>
      </c>
      <c r="C315" s="451" cm="1">
        <f t="array" ref="C315">_xll.VAData($B315, C$4, $A315, "consensus", "CD", "IMPL","", "")</f>
        <v>556.53372715433272</v>
      </c>
      <c r="D315" s="451" cm="1">
        <f t="array" ref="D315">_xll.VAData($B315, D$4, $A315, "consensus", "CD", "IMPL","", "")</f>
        <v>673.19422807058982</v>
      </c>
      <c r="E315" s="451" cm="1">
        <f t="array" ref="E315">_xll.VAData($B315, E$4, $A315, "consensus", "CD", "IMPL","", "")</f>
        <v>759.68808436405504</v>
      </c>
      <c r="F315" s="448" cm="1">
        <f t="array" ref="F315">_xll.VAData($B315, F$4, $A315, "consensus", "CD", "IMPL","", "")</f>
        <v>216.99922135326455</v>
      </c>
      <c r="G315" s="448" cm="1">
        <f t="array" ref="G315">_xll.VAData($B315, G$4, $A315, "consensus", "CD", "IMPL","", "")</f>
        <v>212.91706437015745</v>
      </c>
      <c r="H315" s="448" cm="1">
        <f t="array" ref="H315">_xll.VAData($B315, H$4, $A315, "consensus", "CD", "IMPL","", "")</f>
        <v>223.11251635092367</v>
      </c>
      <c r="I315" s="448" cm="1">
        <f t="array" ref="I315">_xll.VAData($B315, I$4, $A315, "consensus", "CD", "IMPL","", "")</f>
        <v>191.06681869913862</v>
      </c>
      <c r="J315" s="451" cm="1">
        <f t="array" ref="J315">_xll.VAData($B315, J$4, $A315, "consensus", "CD", "IMPL","", "")</f>
        <v>844.13868645093737</v>
      </c>
      <c r="K315" s="448" cm="1">
        <f t="array" ref="K315">_xll.VAData($B315, K$4, $A315, "consensus", "CD", "IMPL","", "")</f>
        <v>124.03216275164984</v>
      </c>
      <c r="L315" s="448" cm="1">
        <f t="array" ref="L315">_xll.VAData($B315, L$4, $A315, "consensus", "CD", "IMPL","", "")</f>
        <v>28.069921439098078</v>
      </c>
      <c r="M315" s="448" cm="1">
        <f t="array" ref="M315">_xll.VAData($B315, M$4, $A315, "consensus", "CD", "IMPL","", "")</f>
        <v>127.0376545301848</v>
      </c>
      <c r="N315" s="448" cm="1">
        <f t="array" ref="N315">_xll.VAData($B315, N$4, $A315, "consensus", "CD", "IMPL","", "")</f>
        <v>75.932063373535684</v>
      </c>
      <c r="O315" s="451" cm="1">
        <f t="array" ref="O315">_xll.VAData($B315, O$4, $A315, "consensus", "CD", "IMPL","", "")</f>
        <v>355.06821198974495</v>
      </c>
      <c r="P315" s="448" cm="1">
        <f t="array" ref="P315">_xll.VAData($B315, P$4, $A315, "consensus", "CD", "IMPL","", "")</f>
        <v>99.034790103241889</v>
      </c>
      <c r="Q315" s="448" cm="1">
        <f t="array" ref="Q315">_xll.VAData($B315, Q$4, $A315, "consensus", "CD", "IMPL","", "")</f>
        <v>157.11128838620971</v>
      </c>
      <c r="R315" s="448" cm="1">
        <f t="array" ref="R315">_xll.VAData($B315, R$4, $A315, "consensus", "CD", "IMPL","", "")</f>
        <v>182.98112605772536</v>
      </c>
      <c r="S315" s="448" cm="1">
        <f t="array" ref="S315">_xll.VAData($B315, S$4, $A315, "consensus", "CD", "IMPL","", "")</f>
        <v>151.09431344223958</v>
      </c>
      <c r="T315" s="451" cm="1">
        <f t="array" ref="T315">_xll.VAData($B315, T$4, $A315, "consensus", "CD", "IMPL","", "")</f>
        <v>590.21044208994567</v>
      </c>
      <c r="U315" s="448" cm="1">
        <f t="array" ref="U315">_xll.VAData($B315, U$4, $A315, "consensus", "CD", "IMPL","", "")</f>
        <v>198.02258109933189</v>
      </c>
      <c r="V315" s="448" cm="1">
        <f t="array" ref="V315">_xll.VAData($B315, V$4, $A315, "consensus", "CD", "IMPL","", "")</f>
        <v>246.0202016423826</v>
      </c>
      <c r="W315" s="448" cm="1">
        <f t="array" ref="W315">_xll.VAData($B315, W$4, $A315, "consensus", "CD", "IMPL","", "")</f>
        <v>240.12481234485625</v>
      </c>
      <c r="X315" s="448" cm="1">
        <f t="array" ref="X315">_xll.VAData($B315, X$4, $A315, "consensus", "CD", "IMPL","", "")</f>
        <v>211.03480409402948</v>
      </c>
      <c r="Y315" s="451" cm="1">
        <f t="array" ref="Y315">_xll.VAData($B315, Y$4, $A315, "consensus", "CD", "IMPL","", "")</f>
        <v>895.19227922157029</v>
      </c>
      <c r="Z315" s="448" cm="1">
        <f t="array" ref="Z315">_xll.VAData($B315, Z$4, $A315, "consensus", "CD", "IMPL","", "")</f>
        <v>273.99449281827094</v>
      </c>
      <c r="AA315" s="448" cm="1">
        <f t="array" ref="AA315">_xll.VAData($B315, AA$4, $A315, "consensus", "CD", "IMPL","", "")</f>
        <v>267.56179225240925</v>
      </c>
      <c r="AB315" s="448" cm="1">
        <f t="array" ref="AB315">_xll.VAData($B315, AB$4, $A315, "consensus", "CD", "IMPL","", "")</f>
        <v>276.07850057894967</v>
      </c>
      <c r="AC315" s="448" cm="1">
        <f t="array" ref="AC315">_xll.VAData($B315, AC$4, $A315, "consensus", "CD", "IMPL","", "")</f>
        <v>230.94042067420943</v>
      </c>
      <c r="AD315" s="449" cm="1">
        <f t="array" ref="AD315">_xll.VAData($B315, AD$4, $A315, "consensus", "CD", "IMPL","", "")</f>
        <v>1049.1454021391287</v>
      </c>
      <c r="AE315" s="448" cm="1">
        <f t="array" ref="AE315">_xll.VAData($B315, AE$4, $A315, "consensus", "CD", "IMPL","", "")</f>
        <v>303.03786862762388</v>
      </c>
      <c r="AF315" s="448" cm="1">
        <f t="array" ref="AF315">_xll.VAData($B315, AF$4, $A315, "consensus", "CD", "IMPL","", "")</f>
        <v>291.55301727687419</v>
      </c>
      <c r="AG315" s="448" cm="1">
        <f t="array" ref="AG315">_xll.VAData($B315, AG$4, $A315, "consensus", "CD", "IMPL","", "")</f>
        <v>300.99660677518318</v>
      </c>
      <c r="AH315" s="448" cm="1">
        <f t="array" ref="AH315">_xll.VAData($B315, AH$4, $A315, "consensus", "CD", "IMPL","", "")</f>
        <v>252.89648068776313</v>
      </c>
      <c r="AI315" s="449" cm="1">
        <f t="array" ref="AI315">_xll.VAData($B315, AI$4, $A315, "consensus", "CD", "IMPL","", "")</f>
        <v>1149.1451390678085</v>
      </c>
      <c r="AJ315" s="448" cm="1">
        <f t="array" ref="AJ315">_xll.VAData($B315, AJ$4, $A315, "consensus", "CD", "IMPL","", "")</f>
        <v>357.69953296600215</v>
      </c>
      <c r="AK315" s="448" cm="1">
        <f t="array" ref="AK315">_xll.VAData($B315, AK$4, $A315, "consensus", "CD", "IMPL","", "")</f>
        <v>317.62149051228147</v>
      </c>
      <c r="AL315" s="448" cm="1">
        <f t="array" ref="AL315">_xll.VAData($B315, AL$4, $A315, "consensus", "CD", "IMPL","", "")</f>
        <v>334.14253652206719</v>
      </c>
      <c r="AM315" s="448" cm="1">
        <f t="array" ref="AM315">_xll.VAData($B315, AM$4, $A315, "consensus", "CD", "IMPL","", "")</f>
        <v>276.89226376532446</v>
      </c>
      <c r="AN315" s="449" cm="1">
        <f t="array" ref="AN315">_xll.VAData($B315, AN$4, $A315, "consensus", "CD", "IMPL","", "")</f>
        <v>1253.2270352748344</v>
      </c>
      <c r="AO315" s="448" cm="1">
        <f t="array" ref="AO315">_xll.VAData($B315, AO$4, $A315, "consensus", "CD", "IMPL","", "")</f>
        <v>348.42248150124129</v>
      </c>
      <c r="AP315" s="448" cm="1">
        <f t="array" ref="AP315">_xll.VAData($B315, AP$4, $A315, "consensus", "CD", "IMPL","", "")</f>
        <v>339.02434099853929</v>
      </c>
      <c r="AQ315" s="448" cm="1">
        <f t="array" ref="AQ315">_xll.VAData($B315, AQ$4, $A315, "consensus", "CD", "IMPL","", "")</f>
        <v>351.05932302152678</v>
      </c>
      <c r="AR315" s="448" cm="1">
        <f t="array" ref="AR315">_xll.VAData($B315, AR$4, $A315, "consensus", "CD", "IMPL","", "")</f>
        <v>293.31398300981778</v>
      </c>
      <c r="AS315" s="449" cm="1">
        <f t="array" ref="AS315">_xll.VAData($B315, AS$4, $A315, "consensus", "CD", "IMPL","", "")</f>
        <v>1319.9307442359109</v>
      </c>
      <c r="AT315" s="315"/>
      <c r="AU315" s="508"/>
      <c r="AV315" s="143"/>
      <c r="AW315" s="143"/>
      <c r="AX315" s="143"/>
      <c r="AY315" s="143"/>
      <c r="AZ315" s="143"/>
      <c r="BA315" s="143"/>
      <c r="BB315" s="143"/>
      <c r="BC315" s="143"/>
      <c r="BD315" s="143"/>
      <c r="BE315" s="143"/>
      <c r="BF315" s="143"/>
      <c r="BG315" s="143"/>
      <c r="BH315" s="143"/>
      <c r="BI315" s="143"/>
      <c r="BJ315" s="143"/>
      <c r="BK315" s="143"/>
      <c r="BL315" s="143"/>
      <c r="BM315" s="143"/>
      <c r="BN315" s="143"/>
      <c r="BO315" s="143"/>
      <c r="BP315" s="143"/>
      <c r="BQ315" s="143"/>
      <c r="BR315" s="143"/>
      <c r="BS315" s="143"/>
      <c r="BT315" s="143"/>
      <c r="BU315" s="143"/>
      <c r="BV315" s="143"/>
      <c r="BW315" s="143"/>
      <c r="BX315" s="143"/>
      <c r="BY315" s="143"/>
      <c r="BZ315" s="143"/>
      <c r="CA315" s="143"/>
      <c r="CB315" s="143"/>
      <c r="CC315" s="143"/>
      <c r="CD315" s="143"/>
      <c r="CE315" s="143"/>
      <c r="CF315" s="143"/>
      <c r="CG315" s="143"/>
      <c r="CH315" s="143"/>
      <c r="CI315" s="143"/>
      <c r="CJ315" s="143"/>
      <c r="CK315" s="143"/>
      <c r="CL315" s="143"/>
      <c r="CM315" s="143"/>
      <c r="CN315" s="143"/>
      <c r="CO315" s="143"/>
      <c r="CP315" s="143"/>
      <c r="CQ315" s="143"/>
      <c r="CR315" s="143"/>
      <c r="CS315" s="143"/>
      <c r="CT315" s="143"/>
      <c r="CU315" s="143"/>
      <c r="CV315" s="143"/>
      <c r="CW315" s="143"/>
      <c r="CX315" s="143"/>
      <c r="CY315" s="143"/>
      <c r="CZ315" s="143"/>
      <c r="DA315" s="143"/>
      <c r="DB315" s="143"/>
      <c r="DC315" s="143"/>
      <c r="DD315" s="143"/>
      <c r="DE315" s="143"/>
      <c r="DF315" s="143"/>
      <c r="DG315" s="143"/>
      <c r="DH315" s="143"/>
      <c r="DI315" s="143"/>
      <c r="DJ315" s="143"/>
      <c r="DK315" s="143"/>
      <c r="DL315" s="143"/>
      <c r="DM315" s="143"/>
      <c r="DN315" s="143"/>
      <c r="DO315" s="143"/>
      <c r="DP315" s="143"/>
      <c r="DQ315" s="143"/>
      <c r="DR315" s="143"/>
      <c r="DS315" s="143"/>
      <c r="DT315" s="143"/>
      <c r="DU315" s="143"/>
      <c r="DV315" s="143"/>
      <c r="DW315" s="143"/>
      <c r="DX315" s="143"/>
      <c r="DY315" s="143"/>
      <c r="DZ315" s="143"/>
      <c r="EA315" s="143"/>
      <c r="EB315" s="143"/>
      <c r="EC315" s="143"/>
      <c r="ED315" s="143"/>
      <c r="EE315" s="143"/>
      <c r="EF315" s="143"/>
      <c r="EG315" s="143"/>
      <c r="EH315" s="143"/>
      <c r="EI315" s="143"/>
      <c r="EJ315" s="143"/>
      <c r="EK315" s="143"/>
      <c r="EL315" s="143"/>
      <c r="EM315" s="143"/>
      <c r="EN315" s="143"/>
      <c r="EO315" s="143"/>
      <c r="EP315" s="143"/>
      <c r="EQ315" s="143"/>
      <c r="ER315" s="143"/>
      <c r="ES315" s="143"/>
      <c r="ET315" s="143"/>
      <c r="EU315" s="143"/>
      <c r="EV315" s="143"/>
      <c r="EW315" s="143"/>
      <c r="EX315" s="143"/>
      <c r="EY315" s="143"/>
      <c r="EZ315" s="143"/>
      <c r="FA315" s="143"/>
      <c r="FB315" s="143"/>
      <c r="FC315" s="143"/>
      <c r="FD315" s="143"/>
      <c r="FE315" s="143"/>
      <c r="FF315" s="143"/>
      <c r="FG315" s="143"/>
      <c r="FH315" s="143"/>
      <c r="FI315" s="143"/>
      <c r="FJ315" s="143"/>
      <c r="FK315" s="143"/>
      <c r="FL315" s="143"/>
      <c r="FM315" s="143"/>
      <c r="FN315" s="143"/>
      <c r="FO315" s="143"/>
      <c r="FP315" s="143"/>
      <c r="FQ315" s="143"/>
      <c r="FR315" s="143"/>
      <c r="FS315" s="143"/>
      <c r="FT315" s="143"/>
      <c r="FU315" s="143"/>
      <c r="FV315" s="143"/>
      <c r="FW315" s="143"/>
      <c r="FX315" s="143"/>
      <c r="FY315" s="143"/>
      <c r="FZ315" s="143"/>
      <c r="GA315" s="143"/>
      <c r="GB315" s="143"/>
      <c r="GC315" s="143"/>
      <c r="GD315" s="143"/>
      <c r="GE315" s="143"/>
      <c r="GF315" s="143"/>
      <c r="GG315" s="143"/>
      <c r="GH315" s="143"/>
      <c r="GI315" s="143"/>
      <c r="GJ315" s="143"/>
      <c r="GK315" s="143"/>
      <c r="GL315" s="143"/>
      <c r="GM315" s="143"/>
      <c r="GN315" s="143"/>
      <c r="GO315" s="143"/>
      <c r="GP315" s="143"/>
      <c r="GQ315" s="143"/>
      <c r="GR315" s="143"/>
      <c r="GS315" s="143"/>
      <c r="GT315" s="143"/>
      <c r="GU315" s="143"/>
      <c r="GV315" s="143"/>
      <c r="GW315" s="143"/>
      <c r="GX315" s="143"/>
      <c r="GY315" s="143"/>
      <c r="GZ315" s="143"/>
      <c r="HA315" s="143"/>
      <c r="HB315" s="143"/>
      <c r="HC315" s="143"/>
      <c r="HD315" s="143"/>
      <c r="HE315" s="143"/>
      <c r="HF315" s="143"/>
      <c r="HG315" s="143"/>
      <c r="HH315" s="143"/>
      <c r="HI315" s="143"/>
      <c r="HJ315" s="143"/>
      <c r="HK315" s="143"/>
      <c r="HL315" s="143"/>
      <c r="HM315" s="143"/>
      <c r="HN315" s="143"/>
      <c r="HO315" s="143"/>
      <c r="HP315" s="143"/>
      <c r="HQ315" s="143"/>
      <c r="HR315" s="143"/>
      <c r="HS315" s="143"/>
      <c r="HT315" s="143"/>
      <c r="HU315" s="143"/>
      <c r="HV315" s="143"/>
      <c r="HW315" s="143"/>
      <c r="HX315" s="143"/>
      <c r="HY315" s="143"/>
      <c r="HZ315" s="143"/>
      <c r="IA315" s="143"/>
      <c r="IB315" s="143"/>
      <c r="IC315" s="143"/>
      <c r="ID315" s="143"/>
      <c r="IE315" s="143"/>
      <c r="IF315" s="143"/>
      <c r="IG315" s="143"/>
      <c r="IH315" s="143"/>
      <c r="II315" s="143"/>
      <c r="IJ315" s="143"/>
      <c r="IK315" s="143"/>
      <c r="IL315" s="143"/>
      <c r="IM315" s="143"/>
      <c r="IN315" s="143"/>
      <c r="IO315" s="143"/>
      <c r="IP315" s="143"/>
      <c r="IQ315" s="143"/>
      <c r="IR315" s="143"/>
      <c r="IS315" s="143"/>
      <c r="IT315" s="143"/>
      <c r="IU315" s="143"/>
      <c r="IV315" s="143"/>
      <c r="IW315" s="143"/>
      <c r="IX315" s="143"/>
      <c r="IY315" s="143"/>
      <c r="IZ315" s="143"/>
      <c r="JA315" s="143"/>
      <c r="JB315" s="143"/>
      <c r="JC315" s="143"/>
      <c r="JD315" s="143"/>
      <c r="JE315" s="143"/>
      <c r="JF315" s="143"/>
      <c r="JG315" s="143"/>
      <c r="JH315" s="143"/>
      <c r="JI315" s="143"/>
    </row>
    <row r="316" spans="1:269" hidden="1" outlineLevel="1">
      <c r="A316" s="419" t="s">
        <v>224</v>
      </c>
      <c r="B316" s="143" t="s">
        <v>226</v>
      </c>
      <c r="C316" s="451" cm="1">
        <f t="array" ref="C316">_xll.VAData($B316, C$4, $A316, "consensus", "CD", "IMPL","", "")</f>
        <v>111.42743326325375</v>
      </c>
      <c r="D316" s="451" cm="1">
        <f t="array" ref="D316">_xll.VAData($B316, D$4, $A316, "consensus", "CD", "IMPL","", "")</f>
        <v>111.212920872109</v>
      </c>
      <c r="E316" s="451" cm="1">
        <f t="array" ref="E316">_xll.VAData($B316, E$4, $A316, "consensus", "CD", "IMPL","", "")</f>
        <v>112.84364030186325</v>
      </c>
      <c r="F316" s="448" cm="1">
        <f t="array" ref="F316">_xll.VAData($B316, F$4, $A316, "consensus", "CD", "IMPL","", "")</f>
        <v>109.72780691134899</v>
      </c>
      <c r="G316" s="448" cm="1">
        <f t="array" ref="G316">_xll.VAData($B316, G$4, $A316, "consensus", "CD", "IMPL","", "")</f>
        <v>110.45680068932759</v>
      </c>
      <c r="H316" s="448" cm="1">
        <f t="array" ref="H316">_xll.VAData($B316, H$4, $A316, "consensus", "CD", "IMPL","", "")</f>
        <v>106.6331584121628</v>
      </c>
      <c r="I316" s="448" cm="1">
        <f t="array" ref="I316">_xll.VAData($B316, I$4, $A316, "consensus", "CD", "IMPL","", "")</f>
        <v>101.43771599834864</v>
      </c>
      <c r="J316" s="451" cm="1">
        <f t="array" ref="J316">_xll.VAData($B316, J$4, $A316, "consensus", "CD", "IMPL","", "")</f>
        <v>107.214887732082</v>
      </c>
      <c r="K316" s="448" cm="1">
        <f t="array" ref="K316">_xll.VAData($B316, K$4, $A316, "consensus", "CD", "IMPL","", "")</f>
        <v>91.588619110218005</v>
      </c>
      <c r="L316" s="448" cm="1">
        <f t="array" ref="L316">_xll.VAData($B316, L$4, $A316, "consensus", "CD", "IMPL","", "")</f>
        <v>72.546108109427934</v>
      </c>
      <c r="M316" s="448" cm="1">
        <f t="array" ref="M316">_xll.VAData($B316, M$4, $A316, "consensus", "CD", "IMPL","", "")</f>
        <v>97.111203949287642</v>
      </c>
      <c r="N316" s="448" cm="1">
        <f t="array" ref="N316">_xll.VAData($B316, N$4, $A316, "consensus", "CD", "IMPL","", "")</f>
        <v>86.1375523353408</v>
      </c>
      <c r="O316" s="451" cm="1">
        <f t="array" ref="O316">_xll.VAData($B316, O$4, $A316, "consensus", "CD", "IMPL","", "")</f>
        <v>90.870644065387225</v>
      </c>
      <c r="P316" s="448" cm="1">
        <f t="array" ref="P316">_xll.VAData($B316, P$4, $A316, "consensus", "CD", "IMPL","", "")</f>
        <v>108.6895746680068</v>
      </c>
      <c r="Q316" s="448" cm="1">
        <f t="array" ref="Q316">_xll.VAData($B316, Q$4, $A316, "consensus", "CD", "IMPL","", "")</f>
        <v>126.34358478767339</v>
      </c>
      <c r="R316" s="448" cm="1">
        <f t="array" ref="R316">_xll.VAData($B316, R$4, $A316, "consensus", "CD", "IMPL","", "")</f>
        <v>119.5916970671846</v>
      </c>
      <c r="S316" s="448" cm="1">
        <f t="array" ref="S316">_xll.VAData($B316, S$4, $A316, "consensus", "CD", "IMPL","", "")</f>
        <v>114.5909662415508</v>
      </c>
      <c r="T316" s="451" cm="1">
        <f t="array" ref="T316">_xll.VAData($B316, T$4, $A316, "consensus", "CD", "IMPL","", "")</f>
        <v>118.2561294735188</v>
      </c>
      <c r="U316" s="448" cm="1">
        <f t="array" ref="U316">_xll.VAData($B316, U$4, $A316, "consensus", "CD", "IMPL","", "")</f>
        <v>126.22392798284619</v>
      </c>
      <c r="V316" s="448" cm="1">
        <f t="array" ref="V316">_xll.VAData($B316, V$4, $A316, "consensus", "CD", "IMPL","", "")</f>
        <v>129.8159316057216</v>
      </c>
      <c r="W316" s="448" cm="1">
        <f t="array" ref="W316">_xll.VAData($B316, W$4, $A316, "consensus", "CD", "IMPL","", "")</f>
        <v>124.705894568703</v>
      </c>
      <c r="X316" s="448" cm="1">
        <f t="array" ref="X316">_xll.VAData($B316, X$4, $A316, "consensus", "CD", "IMPL","", "")</f>
        <v>119.7491234271548</v>
      </c>
      <c r="Y316" s="451" cm="1">
        <f t="array" ref="Y316">_xll.VAData($B316, Y$4, $A316, "consensus", "CD", "IMPL","", "")</f>
        <v>125.40492836433199</v>
      </c>
      <c r="Z316" s="448" cm="1">
        <f t="array" ref="Z316">_xll.VAData($B316, Z$4, $A316, "consensus", "CD", "IMPL","", "")</f>
        <v>131.56149487712781</v>
      </c>
      <c r="AA316" s="448" cm="1">
        <f t="array" ref="AA316">_xll.VAData($B316, AA$4, $A316, "consensus", "CD", "IMPL","", "")</f>
        <v>133.62025869927541</v>
      </c>
      <c r="AB316" s="448" cm="1">
        <f t="array" ref="AB316">_xll.VAData($B316, AB$4, $A316, "consensus", "CD", "IMPL","", "")</f>
        <v>131.31714682383375</v>
      </c>
      <c r="AC316" s="448" cm="1">
        <f t="array" ref="AC316">_xll.VAData($B316, AC$4, $A316, "consensus", "CD", "IMPL","", "")</f>
        <v>124.1184961613675</v>
      </c>
      <c r="AD316" s="449" cm="1">
        <f t="array" ref="AD316">_xll.VAData($B316, AD$4, $A316, "consensus", "CD", "IMPL","", "")</f>
        <v>130.42788914133925</v>
      </c>
      <c r="AE316" s="448" cm="1">
        <f t="array" ref="AE316">_xll.VAData($B316, AE$4, $A316, "consensus", "CD", "IMPL","", "")</f>
        <v>133.39744276487875</v>
      </c>
      <c r="AF316" s="448" cm="1">
        <f t="array" ref="AF316">_xll.VAData($B316, AF$4, $A316, "consensus", "CD", "IMPL","", "")</f>
        <v>134.72760530717974</v>
      </c>
      <c r="AG316" s="448" cm="1">
        <f t="array" ref="AG316">_xll.VAData($B316, AG$4, $A316, "consensus", "CD", "IMPL","", "")</f>
        <v>131.2328111948155</v>
      </c>
      <c r="AH316" s="448" cm="1">
        <f t="array" ref="AH316">_xll.VAData($B316, AH$4, $A316, "consensus", "CD", "IMPL","", "")</f>
        <v>123.84507474640975</v>
      </c>
      <c r="AI316" s="449" cm="1">
        <f t="array" ref="AI316">_xll.VAData($B316, AI$4, $A316, "consensus", "CD", "IMPL","", "")</f>
        <v>131.044254778512</v>
      </c>
      <c r="AJ316" s="448" cm="1">
        <f t="array" ref="AJ316">_xll.VAData($B316, AJ$4, $A316, "consensus", "CD", "IMPL","", "")</f>
        <v>135.40967289291549</v>
      </c>
      <c r="AK316" s="448" cm="1">
        <f t="array" ref="AK316">_xll.VAData($B316, AK$4, $A316, "consensus", "CD", "IMPL","", "")</f>
        <v>135.57715062962649</v>
      </c>
      <c r="AL316" s="448" cm="1">
        <f t="array" ref="AL316">_xll.VAData($B316, AL$4, $A316, "consensus", "CD", "IMPL","", "")</f>
        <v>132.53803524224</v>
      </c>
      <c r="AM316" s="448" cm="1">
        <f t="array" ref="AM316">_xll.VAData($B316, AM$4, $A316, "consensus", "CD", "IMPL","", "")</f>
        <v>126.799623043594</v>
      </c>
      <c r="AN316" s="449" cm="1">
        <f t="array" ref="AN316">_xll.VAData($B316, AN$4, $A316, "consensus", "CD", "IMPL","", "")</f>
        <v>132.48063571234576</v>
      </c>
      <c r="AO316" s="448" cm="1">
        <f t="array" ref="AO316">_xll.VAData($B316, AO$4, $A316, "consensus", "CD", "IMPL","", "")</f>
        <v>136.76873849349951</v>
      </c>
      <c r="AP316" s="448" cm="1">
        <f t="array" ref="AP316">_xll.VAData($B316, AP$4, $A316, "consensus", "CD", "IMPL","", "")</f>
        <v>136.95259363241749</v>
      </c>
      <c r="AQ316" s="448" cm="1">
        <f t="array" ref="AQ316">_xll.VAData($B316, AQ$4, $A316, "consensus", "CD", "IMPL","", "")</f>
        <v>133.851422737353</v>
      </c>
      <c r="AR316" s="448" cm="1">
        <f t="array" ref="AR316">_xll.VAData($B316, AR$4, $A316, "consensus", "CD", "IMPL","", "")</f>
        <v>128.050879497903</v>
      </c>
      <c r="AS316" s="449" cm="1">
        <f t="array" ref="AS316">_xll.VAData($B316, AS$4, $A316, "consensus", "CD", "IMPL","", "")</f>
        <v>135.02174919980033</v>
      </c>
      <c r="AT316" s="315"/>
      <c r="AU316" s="508"/>
      <c r="AV316" s="143"/>
      <c r="AW316" s="143"/>
      <c r="AX316" s="143"/>
      <c r="AY316" s="143"/>
      <c r="AZ316" s="143"/>
      <c r="BA316" s="143"/>
      <c r="BB316" s="143"/>
      <c r="BC316" s="143"/>
      <c r="BD316" s="143"/>
      <c r="BE316" s="143"/>
      <c r="BF316" s="143"/>
      <c r="BG316" s="143"/>
      <c r="BH316" s="143"/>
      <c r="BI316" s="143"/>
      <c r="BJ316" s="143"/>
      <c r="BK316" s="143"/>
      <c r="BL316" s="143"/>
      <c r="BM316" s="143"/>
      <c r="BN316" s="143"/>
      <c r="BO316" s="143"/>
      <c r="BP316" s="143"/>
      <c r="BQ316" s="143"/>
      <c r="BR316" s="143"/>
      <c r="BS316" s="143"/>
      <c r="BT316" s="143"/>
      <c r="BU316" s="143"/>
      <c r="BV316" s="143"/>
      <c r="BW316" s="143"/>
      <c r="BX316" s="143"/>
      <c r="BY316" s="143"/>
      <c r="BZ316" s="143"/>
      <c r="CA316" s="143"/>
      <c r="CB316" s="143"/>
      <c r="CC316" s="143"/>
      <c r="CD316" s="143"/>
      <c r="CE316" s="143"/>
      <c r="CF316" s="143"/>
      <c r="CG316" s="143"/>
      <c r="CH316" s="143"/>
      <c r="CI316" s="143"/>
      <c r="CJ316" s="143"/>
      <c r="CK316" s="143"/>
      <c r="CL316" s="143"/>
      <c r="CM316" s="143"/>
      <c r="CN316" s="143"/>
      <c r="CO316" s="143"/>
      <c r="CP316" s="143"/>
      <c r="CQ316" s="143"/>
      <c r="CR316" s="143"/>
      <c r="CS316" s="143"/>
      <c r="CT316" s="143"/>
      <c r="CU316" s="143"/>
      <c r="CV316" s="143"/>
      <c r="CW316" s="143"/>
      <c r="CX316" s="143"/>
      <c r="CY316" s="143"/>
      <c r="CZ316" s="143"/>
      <c r="DA316" s="143"/>
      <c r="DB316" s="143"/>
      <c r="DC316" s="143"/>
      <c r="DD316" s="143"/>
      <c r="DE316" s="143"/>
      <c r="DF316" s="143"/>
      <c r="DG316" s="143"/>
      <c r="DH316" s="143"/>
      <c r="DI316" s="143"/>
      <c r="DJ316" s="143"/>
      <c r="DK316" s="143"/>
      <c r="DL316" s="143"/>
      <c r="DM316" s="143"/>
      <c r="DN316" s="143"/>
      <c r="DO316" s="143"/>
      <c r="DP316" s="143"/>
      <c r="DQ316" s="143"/>
      <c r="DR316" s="143"/>
      <c r="DS316" s="143"/>
      <c r="DT316" s="143"/>
      <c r="DU316" s="143"/>
      <c r="DV316" s="143"/>
      <c r="DW316" s="143"/>
      <c r="DX316" s="143"/>
      <c r="DY316" s="143"/>
      <c r="DZ316" s="143"/>
      <c r="EA316" s="143"/>
      <c r="EB316" s="143"/>
      <c r="EC316" s="143"/>
      <c r="ED316" s="143"/>
      <c r="EE316" s="143"/>
      <c r="EF316" s="143"/>
      <c r="EG316" s="143"/>
      <c r="EH316" s="143"/>
      <c r="EI316" s="143"/>
      <c r="EJ316" s="143"/>
      <c r="EK316" s="143"/>
      <c r="EL316" s="143"/>
      <c r="EM316" s="143"/>
      <c r="EN316" s="143"/>
      <c r="EO316" s="143"/>
      <c r="EP316" s="143"/>
      <c r="EQ316" s="143"/>
      <c r="ER316" s="143"/>
      <c r="ES316" s="143"/>
      <c r="ET316" s="143"/>
      <c r="EU316" s="143"/>
      <c r="EV316" s="143"/>
      <c r="EW316" s="143"/>
      <c r="EX316" s="143"/>
      <c r="EY316" s="143"/>
      <c r="EZ316" s="143"/>
      <c r="FA316" s="143"/>
      <c r="FB316" s="143"/>
      <c r="FC316" s="143"/>
      <c r="FD316" s="143"/>
      <c r="FE316" s="143"/>
      <c r="FF316" s="143"/>
      <c r="FG316" s="143"/>
      <c r="FH316" s="143"/>
      <c r="FI316" s="143"/>
      <c r="FJ316" s="143"/>
      <c r="FK316" s="143"/>
      <c r="FL316" s="143"/>
      <c r="FM316" s="143"/>
      <c r="FN316" s="143"/>
      <c r="FO316" s="143"/>
      <c r="FP316" s="143"/>
      <c r="FQ316" s="143"/>
      <c r="FR316" s="143"/>
      <c r="FS316" s="143"/>
      <c r="FT316" s="143"/>
      <c r="FU316" s="143"/>
      <c r="FV316" s="143"/>
      <c r="FW316" s="143"/>
      <c r="FX316" s="143"/>
      <c r="FY316" s="143"/>
      <c r="FZ316" s="143"/>
      <c r="GA316" s="143"/>
      <c r="GB316" s="143"/>
      <c r="GC316" s="143"/>
      <c r="GD316" s="143"/>
      <c r="GE316" s="143"/>
      <c r="GF316" s="143"/>
      <c r="GG316" s="143"/>
      <c r="GH316" s="143"/>
      <c r="GI316" s="143"/>
      <c r="GJ316" s="143"/>
      <c r="GK316" s="143"/>
      <c r="GL316" s="143"/>
      <c r="GM316" s="143"/>
      <c r="GN316" s="143"/>
      <c r="GO316" s="143"/>
      <c r="GP316" s="143"/>
      <c r="GQ316" s="143"/>
      <c r="GR316" s="143"/>
      <c r="GS316" s="143"/>
      <c r="GT316" s="143"/>
      <c r="GU316" s="143"/>
      <c r="GV316" s="143"/>
      <c r="GW316" s="143"/>
      <c r="GX316" s="143"/>
      <c r="GY316" s="143"/>
      <c r="GZ316" s="143"/>
      <c r="HA316" s="143"/>
      <c r="HB316" s="143"/>
      <c r="HC316" s="143"/>
      <c r="HD316" s="143"/>
      <c r="HE316" s="143"/>
      <c r="HF316" s="143"/>
      <c r="HG316" s="143"/>
      <c r="HH316" s="143"/>
      <c r="HI316" s="143"/>
      <c r="HJ316" s="143"/>
      <c r="HK316" s="143"/>
      <c r="HL316" s="143"/>
      <c r="HM316" s="143"/>
      <c r="HN316" s="143"/>
      <c r="HO316" s="143"/>
      <c r="HP316" s="143"/>
      <c r="HQ316" s="143"/>
      <c r="HR316" s="143"/>
      <c r="HS316" s="143"/>
      <c r="HT316" s="143"/>
      <c r="HU316" s="143"/>
      <c r="HV316" s="143"/>
      <c r="HW316" s="143"/>
      <c r="HX316" s="143"/>
      <c r="HY316" s="143"/>
      <c r="HZ316" s="143"/>
      <c r="IA316" s="143"/>
      <c r="IB316" s="143"/>
      <c r="IC316" s="143"/>
      <c r="ID316" s="143"/>
      <c r="IE316" s="143"/>
      <c r="IF316" s="143"/>
      <c r="IG316" s="143"/>
      <c r="IH316" s="143"/>
      <c r="II316" s="143"/>
      <c r="IJ316" s="143"/>
      <c r="IK316" s="143"/>
      <c r="IL316" s="143"/>
      <c r="IM316" s="143"/>
      <c r="IN316" s="143"/>
      <c r="IO316" s="143"/>
      <c r="IP316" s="143"/>
      <c r="IQ316" s="143"/>
      <c r="IR316" s="143"/>
      <c r="IS316" s="143"/>
      <c r="IT316" s="143"/>
      <c r="IU316" s="143"/>
      <c r="IV316" s="143"/>
      <c r="IW316" s="143"/>
      <c r="IX316" s="143"/>
      <c r="IY316" s="143"/>
      <c r="IZ316" s="143"/>
      <c r="JA316" s="143"/>
      <c r="JB316" s="143"/>
      <c r="JC316" s="143"/>
      <c r="JD316" s="143"/>
      <c r="JE316" s="143"/>
      <c r="JF316" s="143"/>
      <c r="JG316" s="143"/>
      <c r="JH316" s="143"/>
      <c r="JI316" s="143"/>
    </row>
    <row r="317" spans="1:269" hidden="1" outlineLevel="1">
      <c r="A317" s="469" t="s">
        <v>221</v>
      </c>
      <c r="B317" s="143" t="s">
        <v>226</v>
      </c>
      <c r="C317" s="451" cm="1">
        <f t="array" ref="C317">_xll.VAData($B317, C$4, $A317, "consensus", "CD", "IMPL","", "")</f>
        <v>121.018449512697</v>
      </c>
      <c r="D317" s="451" cm="1">
        <f t="array" ref="D317">_xll.VAData($B317, D$4, $A317, "consensus", "CD", "IMPL","", "")</f>
        <v>123.55623239529601</v>
      </c>
      <c r="E317" s="451" cm="1">
        <f t="array" ref="E317">_xll.VAData($B317, E$4, $A317, "consensus", "CD", "IMPL","", "")</f>
        <v>125.465177246126</v>
      </c>
      <c r="F317" s="448" cm="1">
        <f t="array" ref="F317">_xll.VAData($B317, F$4, $A317, "consensus", "CD", "IMPL","", "")</f>
        <v>126.73091340334099</v>
      </c>
      <c r="G317" s="448" cm="1">
        <f t="array" ref="G317">_xll.VAData($B317, G$4, $A317, "consensus", "CD", "IMPL","", "")</f>
        <v>127.54478333994899</v>
      </c>
      <c r="H317" s="448" cm="1">
        <f t="array" ref="H317">_xll.VAData($B317, H$4, $A317, "consensus", "CD", "IMPL","", "")</f>
        <v>123.06725911663598</v>
      </c>
      <c r="I317" s="448" cm="1">
        <f t="array" ref="I317">_xll.VAData($B317, I$4, $A317, "consensus", "CD", "IMPL","", "")</f>
        <v>114.417044285345</v>
      </c>
      <c r="J317" s="451" cm="1">
        <f t="array" ref="J317">_xll.VAData($B317, J$4, $A317, "consensus", "CD", "IMPL","", "")</f>
        <v>123.23162292274699</v>
      </c>
      <c r="K317" s="448" cm="1">
        <f t="array" ref="K317">_xll.VAData($B317, K$4, $A317, "consensus", "CD", "IMPL","", "")</f>
        <v>107.721276392839</v>
      </c>
      <c r="L317" s="448" cm="1">
        <f t="array" ref="L317">_xll.VAData($B317, L$4, $A317, "consensus", "CD", "IMPL","", "")</f>
        <v>82.904109170966905</v>
      </c>
      <c r="M317" s="448" cm="1">
        <f t="array" ref="M317">_xll.VAData($B317, M$4, $A317, "consensus", "CD", "IMPL","", "")</f>
        <v>98.453807293308898</v>
      </c>
      <c r="N317" s="448" cm="1">
        <f t="array" ref="N317">_xll.VAData($B317, N$4, $A317, "consensus", "CD", "IMPL","", "")</f>
        <v>112.128703399638</v>
      </c>
      <c r="O317" s="451" cm="1">
        <f t="array" ref="O317">_xll.VAData($B317, O$4, $A317, "consensus", "CD", "IMPL","", "")</f>
        <v>99.394013880392706</v>
      </c>
      <c r="P317" s="448" cm="1">
        <f t="array" ref="P317">_xll.VAData($B317, P$4, $A317, "consensus", "CD", "IMPL","", "")</f>
        <v>113.10734021248101</v>
      </c>
      <c r="Q317" s="448" cm="1">
        <f t="array" ref="Q317">_xll.VAData($B317, Q$4, $A317, "consensus", "CD", "IMPL","", "")</f>
        <v>132.64657467354701</v>
      </c>
      <c r="R317" s="448" cm="1">
        <f t="array" ref="R317">_xll.VAData($B317, R$4, $A317, "consensus", "CD", "IMPL","", "")</f>
        <v>135.866254064766</v>
      </c>
      <c r="S317" s="448" cm="1">
        <f t="array" ref="S317">_xll.VAData($B317, S$4, $A317, "consensus", "CD", "IMPL","", "")</f>
        <v>134.554444079565</v>
      </c>
      <c r="T317" s="451" cm="1">
        <f t="array" ref="T317">_xll.VAData($B317, T$4, $A317, "consensus", "CD", "IMPL","", "")</f>
        <v>129.00472920700099</v>
      </c>
      <c r="U317" s="448" cm="1">
        <f t="array" ref="U317">_xll.VAData($B317, U$4, $A317, "consensus", "CD", "IMPL","", "")</f>
        <v>135.72880825497799</v>
      </c>
      <c r="V317" s="448" cm="1">
        <f t="array" ref="V317">_xll.VAData($B317, V$4, $A317, "consensus", "CD", "IMPL","", "")</f>
        <v>145.911232140902</v>
      </c>
      <c r="W317" s="448" cm="1">
        <f t="array" ref="W317">_xll.VAData($B317, W$4, $A317, "consensus", "CD", "IMPL","", "")</f>
        <v>142.65956676800499</v>
      </c>
      <c r="X317" s="448" cm="1">
        <f t="array" ref="X317">_xll.VAData($B317, X$4, $A317, "consensus", "CD", "IMPL","", "")</f>
        <v>119.581424900607</v>
      </c>
      <c r="Y317" s="451" cm="1">
        <f t="array" ref="Y317">_xll.VAData($B317, Y$4, $A317, "consensus", "CD", "IMPL","", "")</f>
        <v>137.99923896195901</v>
      </c>
      <c r="Z317" s="448" cm="1">
        <f t="array" ref="Z317">_xll.VAData($B317, Z$4, $A317, "consensus", "CD", "IMPL","", "")</f>
        <v>60.358137788574098</v>
      </c>
      <c r="AA317" s="448" cm="1">
        <f t="array" ref="AA317">_xll.VAData($B317, AA$4, $A317, "consensus", "CD", "IMPL","", "")</f>
        <v>62.834057768867901</v>
      </c>
      <c r="AB317" s="448" cm="1">
        <f t="array" ref="AB317">_xll.VAData($B317, AB$4, $A317, "consensus", "CD", "IMPL","", "")</f>
        <v>108.2213418434</v>
      </c>
      <c r="AC317" s="448" cm="1">
        <f t="array" ref="AC317">_xll.VAData($B317, AC$4, $A317, "consensus", "CD", "IMPL","", "")</f>
        <v>68.443837435137397</v>
      </c>
      <c r="AD317" s="449" cm="1">
        <f t="array" ref="AD317">_xll.VAData($B317, AD$4, $A317, "consensus", "CD", "IMPL","", "")</f>
        <v>78.289827846307006</v>
      </c>
      <c r="AE317" s="448" cm="1">
        <f t="array" ref="AE317">_xll.VAData($B317, AE$4, $A317, "consensus", "CD", "IMPL","", "")</f>
        <v>14.591719485918301</v>
      </c>
      <c r="AF317" s="448" cm="1">
        <f t="array" ref="AF317">_xll.VAData($B317, AF$4, $A317, "consensus", "CD", "IMPL","", "")</f>
        <v>48.255676262498099</v>
      </c>
      <c r="AG317" s="448" cm="1">
        <f t="array" ref="AG317">_xll.VAData($B317, AG$4, $A317, "consensus", "CD", "IMPL","", "")</f>
        <v>128.86417116840499</v>
      </c>
      <c r="AH317" s="448" cm="1">
        <f t="array" ref="AH317">_xll.VAData($B317, AH$4, $A317, "consensus", "CD", "IMPL","", "")</f>
        <v>79.344476815590298</v>
      </c>
      <c r="AI317" s="449" cm="1">
        <f t="array" ref="AI317">_xll.VAData($B317, AI$4, $A317, "consensus", "CD", "IMPL","", "")</f>
        <v>71.027633216691797</v>
      </c>
      <c r="AJ317" s="448" t="str" cm="1">
        <f t="array" ref="AJ317">_xll.VAData($B317, AJ$4, $A317, "consensus", "CD", "IMPL","", "")</f>
        <v>-</v>
      </c>
      <c r="AK317" s="448" t="str" cm="1">
        <f t="array" ref="AK317">_xll.VAData($B317, AK$4, $A317, "consensus", "CD", "IMPL","", "")</f>
        <v>-</v>
      </c>
      <c r="AL317" s="448" t="str" cm="1">
        <f t="array" ref="AL317">_xll.VAData($B317, AL$4, $A317, "consensus", "CD", "IMPL","", "")</f>
        <v>-</v>
      </c>
      <c r="AM317" s="448" t="str" cm="1">
        <f t="array" ref="AM317">_xll.VAData($B317, AM$4, $A317, "consensus", "CD", "IMPL","", "")</f>
        <v>-</v>
      </c>
      <c r="AN317" s="449" cm="1">
        <f t="array" ref="AN317">_xll.VAData($B317, AN$4, $A317, "consensus", "CD", "IMPL","", "")</f>
        <v>71.621307412910895</v>
      </c>
      <c r="AO317" s="448" t="str" cm="1">
        <f t="array" ref="AO317">_xll.VAData($B317, AO$4, $A317, "consensus", "CD", "IMPL","", "")</f>
        <v>-</v>
      </c>
      <c r="AP317" s="448" t="str" cm="1">
        <f t="array" ref="AP317">_xll.VAData($B317, AP$4, $A317, "consensus", "CD", "IMPL","", "")</f>
        <v>-</v>
      </c>
      <c r="AQ317" s="448" t="str" cm="1">
        <f t="array" ref="AQ317">_xll.VAData($B317, AQ$4, $A317, "consensus", "CD", "IMPL","", "")</f>
        <v>-</v>
      </c>
      <c r="AR317" s="448" t="str" cm="1">
        <f t="array" ref="AR317">_xll.VAData($B317, AR$4, $A317, "consensus", "CD", "IMPL","", "")</f>
        <v>-</v>
      </c>
      <c r="AS317" s="449" cm="1">
        <f t="array" ref="AS317">_xll.VAData($B317, AS$4, $A317, "consensus", "CD", "IMPL","", "")</f>
        <v>73.258790104317498</v>
      </c>
      <c r="AT317" s="315"/>
      <c r="AU317" s="508"/>
      <c r="AV317" s="143"/>
      <c r="AW317" s="143"/>
      <c r="AX317" s="143"/>
      <c r="AY317" s="143"/>
      <c r="AZ317" s="143"/>
      <c r="BA317" s="143"/>
      <c r="BB317" s="143"/>
      <c r="BC317" s="143"/>
      <c r="BD317" s="143"/>
      <c r="BE317" s="143"/>
      <c r="BF317" s="143"/>
      <c r="BG317" s="143"/>
      <c r="BH317" s="143"/>
      <c r="BI317" s="143"/>
      <c r="BJ317" s="143"/>
      <c r="BK317" s="143"/>
      <c r="BL317" s="143"/>
      <c r="BM317" s="143"/>
      <c r="BN317" s="143"/>
      <c r="BO317" s="143"/>
      <c r="BP317" s="143"/>
      <c r="BQ317" s="143"/>
      <c r="BR317" s="143"/>
      <c r="BS317" s="143"/>
      <c r="BT317" s="143"/>
      <c r="BU317" s="143"/>
      <c r="BV317" s="143"/>
      <c r="BW317" s="143"/>
      <c r="BX317" s="143"/>
      <c r="BY317" s="143"/>
      <c r="BZ317" s="143"/>
      <c r="CA317" s="143"/>
      <c r="CB317" s="143"/>
      <c r="CC317" s="143"/>
      <c r="CD317" s="143"/>
      <c r="CE317" s="143"/>
      <c r="CF317" s="143"/>
      <c r="CG317" s="143"/>
      <c r="CH317" s="143"/>
      <c r="CI317" s="143"/>
      <c r="CJ317" s="143"/>
      <c r="CK317" s="143"/>
      <c r="CL317" s="143"/>
      <c r="CM317" s="143"/>
      <c r="CN317" s="143"/>
      <c r="CO317" s="143"/>
      <c r="CP317" s="143"/>
      <c r="CQ317" s="143"/>
      <c r="CR317" s="143"/>
      <c r="CS317" s="143"/>
      <c r="CT317" s="143"/>
      <c r="CU317" s="143"/>
      <c r="CV317" s="143"/>
      <c r="CW317" s="143"/>
      <c r="CX317" s="143"/>
      <c r="CY317" s="143"/>
      <c r="CZ317" s="143"/>
      <c r="DA317" s="143"/>
      <c r="DB317" s="143"/>
      <c r="DC317" s="143"/>
      <c r="DD317" s="143"/>
      <c r="DE317" s="143"/>
      <c r="DF317" s="143"/>
      <c r="DG317" s="143"/>
      <c r="DH317" s="143"/>
      <c r="DI317" s="143"/>
      <c r="DJ317" s="143"/>
      <c r="DK317" s="143"/>
      <c r="DL317" s="143"/>
      <c r="DM317" s="143"/>
      <c r="DN317" s="143"/>
      <c r="DO317" s="143"/>
      <c r="DP317" s="143"/>
      <c r="DQ317" s="143"/>
      <c r="DR317" s="143"/>
      <c r="DS317" s="143"/>
      <c r="DT317" s="143"/>
      <c r="DU317" s="143"/>
      <c r="DV317" s="143"/>
      <c r="DW317" s="143"/>
      <c r="DX317" s="143"/>
      <c r="DY317" s="143"/>
      <c r="DZ317" s="143"/>
      <c r="EA317" s="143"/>
      <c r="EB317" s="143"/>
      <c r="EC317" s="143"/>
      <c r="ED317" s="143"/>
      <c r="EE317" s="143"/>
      <c r="EF317" s="143"/>
      <c r="EG317" s="143"/>
      <c r="EH317" s="143"/>
      <c r="EI317" s="143"/>
      <c r="EJ317" s="143"/>
      <c r="EK317" s="143"/>
      <c r="EL317" s="143"/>
      <c r="EM317" s="143"/>
      <c r="EN317" s="143"/>
      <c r="EO317" s="143"/>
      <c r="EP317" s="143"/>
      <c r="EQ317" s="143"/>
      <c r="ER317" s="143"/>
      <c r="ES317" s="143"/>
      <c r="ET317" s="143"/>
      <c r="EU317" s="143"/>
      <c r="EV317" s="143"/>
      <c r="EW317" s="143"/>
      <c r="EX317" s="143"/>
      <c r="EY317" s="143"/>
      <c r="EZ317" s="143"/>
      <c r="FA317" s="143"/>
      <c r="FB317" s="143"/>
      <c r="FC317" s="143"/>
      <c r="FD317" s="143"/>
      <c r="FE317" s="143"/>
      <c r="FF317" s="143"/>
      <c r="FG317" s="143"/>
      <c r="FH317" s="143"/>
      <c r="FI317" s="143"/>
      <c r="FJ317" s="143"/>
      <c r="FK317" s="143"/>
      <c r="FL317" s="143"/>
      <c r="FM317" s="143"/>
      <c r="FN317" s="143"/>
      <c r="FO317" s="143"/>
      <c r="FP317" s="143"/>
      <c r="FQ317" s="143"/>
      <c r="FR317" s="143"/>
      <c r="FS317" s="143"/>
      <c r="FT317" s="143"/>
      <c r="FU317" s="143"/>
      <c r="FV317" s="143"/>
      <c r="FW317" s="143"/>
      <c r="FX317" s="143"/>
      <c r="FY317" s="143"/>
      <c r="FZ317" s="143"/>
      <c r="GA317" s="143"/>
      <c r="GB317" s="143"/>
      <c r="GC317" s="143"/>
      <c r="GD317" s="143"/>
      <c r="GE317" s="143"/>
      <c r="GF317" s="143"/>
      <c r="GG317" s="143"/>
      <c r="GH317" s="143"/>
      <c r="GI317" s="143"/>
      <c r="GJ317" s="143"/>
      <c r="GK317" s="143"/>
      <c r="GL317" s="143"/>
      <c r="GM317" s="143"/>
      <c r="GN317" s="143"/>
      <c r="GO317" s="143"/>
      <c r="GP317" s="143"/>
      <c r="GQ317" s="143"/>
      <c r="GR317" s="143"/>
      <c r="GS317" s="143"/>
      <c r="GT317" s="143"/>
      <c r="GU317" s="143"/>
      <c r="GV317" s="143"/>
      <c r="GW317" s="143"/>
      <c r="GX317" s="143"/>
      <c r="GY317" s="143"/>
      <c r="GZ317" s="143"/>
      <c r="HA317" s="143"/>
      <c r="HB317" s="143"/>
      <c r="HC317" s="143"/>
      <c r="HD317" s="143"/>
      <c r="HE317" s="143"/>
      <c r="HF317" s="143"/>
      <c r="HG317" s="143"/>
      <c r="HH317" s="143"/>
      <c r="HI317" s="143"/>
      <c r="HJ317" s="143"/>
      <c r="HK317" s="143"/>
      <c r="HL317" s="143"/>
      <c r="HM317" s="143"/>
      <c r="HN317" s="143"/>
      <c r="HO317" s="143"/>
      <c r="HP317" s="143"/>
      <c r="HQ317" s="143"/>
      <c r="HR317" s="143"/>
      <c r="HS317" s="143"/>
      <c r="HT317" s="143"/>
      <c r="HU317" s="143"/>
      <c r="HV317" s="143"/>
      <c r="HW317" s="143"/>
      <c r="HX317" s="143"/>
      <c r="HY317" s="143"/>
      <c r="HZ317" s="143"/>
      <c r="IA317" s="143"/>
      <c r="IB317" s="143"/>
      <c r="IC317" s="143"/>
      <c r="ID317" s="143"/>
      <c r="IE317" s="143"/>
      <c r="IF317" s="143"/>
      <c r="IG317" s="143"/>
      <c r="IH317" s="143"/>
      <c r="II317" s="143"/>
      <c r="IJ317" s="143"/>
      <c r="IK317" s="143"/>
      <c r="IL317" s="143"/>
      <c r="IM317" s="143"/>
      <c r="IN317" s="143"/>
      <c r="IO317" s="143"/>
      <c r="IP317" s="143"/>
      <c r="IQ317" s="143"/>
      <c r="IR317" s="143"/>
      <c r="IS317" s="143"/>
      <c r="IT317" s="143"/>
      <c r="IU317" s="143"/>
      <c r="IV317" s="143"/>
      <c r="IW317" s="143"/>
      <c r="IX317" s="143"/>
      <c r="IY317" s="143"/>
      <c r="IZ317" s="143"/>
      <c r="JA317" s="143"/>
      <c r="JB317" s="143"/>
      <c r="JC317" s="143"/>
      <c r="JD317" s="143"/>
      <c r="JE317" s="143"/>
      <c r="JF317" s="143"/>
      <c r="JG317" s="143"/>
      <c r="JH317" s="143"/>
      <c r="JI317" s="143"/>
    </row>
    <row r="318" spans="1:269" hidden="1" outlineLevel="1">
      <c r="A318" s="469" t="s">
        <v>222</v>
      </c>
      <c r="B318" s="143" t="s">
        <v>226</v>
      </c>
      <c r="C318" s="451" cm="1">
        <f t="array" ref="C318">_xll.VAData($B318, C$4, $A318, "consensus", "CD", "IMPL","", "")</f>
        <v>117.573667163263</v>
      </c>
      <c r="D318" s="451" cm="1">
        <f t="array" ref="D318">_xll.VAData($B318, D$4, $A318, "consensus", "CD", "IMPL","", "")</f>
        <v>118.34748528452451</v>
      </c>
      <c r="E318" s="451" cm="1">
        <f t="array" ref="E318">_xll.VAData($B318, E$4, $A318, "consensus", "CD", "IMPL","", "")</f>
        <v>120.454451173069</v>
      </c>
      <c r="F318" s="448" cm="1">
        <f t="array" ref="F318">_xll.VAData($B318, F$4, $A318, "consensus", "CD", "IMPL","", "")</f>
        <v>123.1480798404275</v>
      </c>
      <c r="G318" s="448" cm="1">
        <f t="array" ref="G318">_xll.VAData($B318, G$4, $A318, "consensus", "CD", "IMPL","", "")</f>
        <v>119.22648891916199</v>
      </c>
      <c r="H318" s="448" cm="1">
        <f t="array" ref="H318">_xll.VAData($B318, H$4, $A318, "consensus", "CD", "IMPL","", "")</f>
        <v>114.51660289470901</v>
      </c>
      <c r="I318" s="448" cm="1">
        <f t="array" ref="I318">_xll.VAData($B318, I$4, $A318, "consensus", "CD", "IMPL","", "")</f>
        <v>113.73042060721551</v>
      </c>
      <c r="J318" s="451" cm="1">
        <f t="array" ref="J318">_xll.VAData($B318, J$4, $A318, "consensus", "CD", "IMPL","", "")</f>
        <v>117.7208526492885</v>
      </c>
      <c r="K318" s="448" cm="1">
        <f t="array" ref="K318">_xll.VAData($B318, K$4, $A318, "consensus", "CD", "IMPL","", "")</f>
        <v>114.76455956655624</v>
      </c>
      <c r="L318" s="448" cm="1">
        <f t="array" ref="L318">_xll.VAData($B318, L$4, $A318, "consensus", "CD", "IMPL","", "")</f>
        <v>98.494600614938804</v>
      </c>
      <c r="M318" s="448" cm="1">
        <f t="array" ref="M318">_xll.VAData($B318, M$4, $A318, "consensus", "CD", "IMPL","", "")</f>
        <v>112.03303116627551</v>
      </c>
      <c r="N318" s="448" cm="1">
        <f t="array" ref="N318">_xll.VAData($B318, N$4, $A318, "consensus", "CD", "IMPL","", "")</f>
        <v>107.2137887091753</v>
      </c>
      <c r="O318" s="451" cm="1">
        <f t="array" ref="O318">_xll.VAData($B318, O$4, $A318, "consensus", "CD", "IMPL","", "")</f>
        <v>110.92006042617005</v>
      </c>
      <c r="P318" s="448" cm="1">
        <f t="array" ref="P318">_xll.VAData($B318, P$4, $A318, "consensus", "CD", "IMPL","", "")</f>
        <v>126.6095704003845</v>
      </c>
      <c r="Q318" s="448" cm="1">
        <f t="array" ref="Q318">_xll.VAData($B318, Q$4, $A318, "consensus", "CD", "IMPL","", "")</f>
        <v>130.85364793497601</v>
      </c>
      <c r="R318" s="448" cm="1">
        <f t="array" ref="R318">_xll.VAData($B318, R$4, $A318, "consensus", "CD", "IMPL","", "")</f>
        <v>123.3103382466485</v>
      </c>
      <c r="S318" s="448" cm="1">
        <f t="array" ref="S318">_xll.VAData($B318, S$4, $A318, "consensus", "CD", "IMPL","", "")</f>
        <v>123.07576586092949</v>
      </c>
      <c r="T318" s="451" cm="1">
        <f t="array" ref="T318">_xll.VAData($B318, T$4, $A318, "consensus", "CD", "IMPL","", "")</f>
        <v>126.344179772038</v>
      </c>
      <c r="U318" s="448" cm="1">
        <f t="array" ref="U318">_xll.VAData($B318, U$4, $A318, "consensus", "CD", "IMPL","", "")</f>
        <v>135.1399158712785</v>
      </c>
      <c r="V318" s="448" cm="1">
        <f t="array" ref="V318">_xll.VAData($B318, V$4, $A318, "consensus", "CD", "IMPL","", "")</f>
        <v>131.9770638436845</v>
      </c>
      <c r="W318" s="448" cm="1">
        <f t="array" ref="W318">_xll.VAData($B318, W$4, $A318, "consensus", "CD", "IMPL","", "")</f>
        <v>127.329558511458</v>
      </c>
      <c r="X318" s="448" cm="1">
        <f t="array" ref="X318">_xll.VAData($B318, X$4, $A318, "consensus", "CD", "IMPL","", "")</f>
        <v>125.7451484817025</v>
      </c>
      <c r="Y318" s="451" cm="1">
        <f t="array" ref="Y318">_xll.VAData($B318, Y$4, $A318, "consensus", "CD", "IMPL","", "")</f>
        <v>130.110692533638</v>
      </c>
      <c r="Z318" s="448" cm="1">
        <f t="array" ref="Z318">_xll.VAData($B318, Z$4, $A318, "consensus", "CD", "IMPL","", "")</f>
        <v>140.94895958978699</v>
      </c>
      <c r="AA318" s="448" cm="1">
        <f t="array" ref="AA318">_xll.VAData($B318, AA$4, $A318, "consensus", "CD", "IMPL","", "")</f>
        <v>134.4485909392435</v>
      </c>
      <c r="AB318" s="448" cm="1">
        <f t="array" ref="AB318">_xll.VAData($B318, AB$4, $A318, "consensus", "CD", "IMPL","", "")</f>
        <v>129.54704668606249</v>
      </c>
      <c r="AC318" s="448" cm="1">
        <f t="array" ref="AC318">_xll.VAData($B318, AC$4, $A318, "consensus", "CD", "IMPL","", "")</f>
        <v>125.4462212799655</v>
      </c>
      <c r="AD318" s="449" cm="1">
        <f t="array" ref="AD318">_xll.VAData($B318, AD$4, $A318, "consensus", "CD", "IMPL","", "")</f>
        <v>132.87291163968749</v>
      </c>
      <c r="AE318" s="448" cm="1">
        <f t="array" ref="AE318">_xll.VAData($B318, AE$4, $A318, "consensus", "CD", "IMPL","", "")</f>
        <v>137.309225702476</v>
      </c>
      <c r="AF318" s="448" cm="1">
        <f t="array" ref="AF318">_xll.VAData($B318, AF$4, $A318, "consensus", "CD", "IMPL","", "")</f>
        <v>131.00448435158199</v>
      </c>
      <c r="AG318" s="448" cm="1">
        <f t="array" ref="AG318">_xll.VAData($B318, AG$4, $A318, "consensus", "CD", "IMPL","", "")</f>
        <v>127.46957622046899</v>
      </c>
      <c r="AH318" s="448" cm="1">
        <f t="array" ref="AH318">_xll.VAData($B318, AH$4, $A318, "consensus", "CD", "IMPL","", "")</f>
        <v>119.476964314086</v>
      </c>
      <c r="AI318" s="449" cm="1">
        <f t="array" ref="AI318">_xll.VAData($B318, AI$4, $A318, "consensus", "CD", "IMPL","", "")</f>
        <v>131.76506823083849</v>
      </c>
      <c r="AJ318" s="448" t="str" cm="1">
        <f t="array" ref="AJ318">_xll.VAData($B318, AJ$4, $A318, "consensus", "CD", "IMPL","", "")</f>
        <v>-</v>
      </c>
      <c r="AK318" s="448" t="str" cm="1">
        <f t="array" ref="AK318">_xll.VAData($B318, AK$4, $A318, "consensus", "CD", "IMPL","", "")</f>
        <v>-</v>
      </c>
      <c r="AL318" s="448" t="str" cm="1">
        <f t="array" ref="AL318">_xll.VAData($B318, AL$4, $A318, "consensus", "CD", "IMPL","", "")</f>
        <v>-</v>
      </c>
      <c r="AM318" s="448" t="str" cm="1">
        <f t="array" ref="AM318">_xll.VAData($B318, AM$4, $A318, "consensus", "CD", "IMPL","", "")</f>
        <v>-</v>
      </c>
      <c r="AN318" s="449" cm="1">
        <f t="array" ref="AN318">_xll.VAData($B318, AN$4, $A318, "consensus", "CD", "IMPL","", "")</f>
        <v>129.27451330712299</v>
      </c>
      <c r="AO318" s="448" t="str" cm="1">
        <f t="array" ref="AO318">_xll.VAData($B318, AO$4, $A318, "consensus", "CD", "IMPL","", "")</f>
        <v>-</v>
      </c>
      <c r="AP318" s="448" t="str" cm="1">
        <f t="array" ref="AP318">_xll.VAData($B318, AP$4, $A318, "consensus", "CD", "IMPL","", "")</f>
        <v>-</v>
      </c>
      <c r="AQ318" s="448" t="str" cm="1">
        <f t="array" ref="AQ318">_xll.VAData($B318, AQ$4, $A318, "consensus", "CD", "IMPL","", "")</f>
        <v>-</v>
      </c>
      <c r="AR318" s="448" t="str" cm="1">
        <f t="array" ref="AR318">_xll.VAData($B318, AR$4, $A318, "consensus", "CD", "IMPL","", "")</f>
        <v>-</v>
      </c>
      <c r="AS318" s="449" cm="1">
        <f t="array" ref="AS318">_xll.VAData($B318, AS$4, $A318, "consensus", "CD", "IMPL","", "")</f>
        <v>129.92088587365799</v>
      </c>
      <c r="AT318" s="315"/>
      <c r="AU318" s="508"/>
      <c r="AV318" s="143"/>
      <c r="AW318" s="143"/>
      <c r="AX318" s="143"/>
      <c r="AY318" s="143"/>
      <c r="AZ318" s="143"/>
      <c r="BA318" s="143"/>
      <c r="BB318" s="143"/>
      <c r="BC318" s="143"/>
      <c r="BD318" s="143"/>
      <c r="BE318" s="143"/>
      <c r="BF318" s="143"/>
      <c r="BG318" s="143"/>
      <c r="BH318" s="143"/>
      <c r="BI318" s="143"/>
      <c r="BJ318" s="143"/>
      <c r="BK318" s="143"/>
      <c r="BL318" s="143"/>
      <c r="BM318" s="143"/>
      <c r="BN318" s="143"/>
      <c r="BO318" s="143"/>
      <c r="BP318" s="143"/>
      <c r="BQ318" s="143"/>
      <c r="BR318" s="143"/>
      <c r="BS318" s="143"/>
      <c r="BT318" s="143"/>
      <c r="BU318" s="143"/>
      <c r="BV318" s="143"/>
      <c r="BW318" s="143"/>
      <c r="BX318" s="143"/>
      <c r="BY318" s="143"/>
      <c r="BZ318" s="143"/>
      <c r="CA318" s="143"/>
      <c r="CB318" s="143"/>
      <c r="CC318" s="143"/>
      <c r="CD318" s="143"/>
      <c r="CE318" s="143"/>
      <c r="CF318" s="143"/>
      <c r="CG318" s="143"/>
      <c r="CH318" s="143"/>
      <c r="CI318" s="143"/>
      <c r="CJ318" s="143"/>
      <c r="CK318" s="143"/>
      <c r="CL318" s="143"/>
      <c r="CM318" s="143"/>
      <c r="CN318" s="143"/>
      <c r="CO318" s="143"/>
      <c r="CP318" s="143"/>
      <c r="CQ318" s="143"/>
      <c r="CR318" s="143"/>
      <c r="CS318" s="143"/>
      <c r="CT318" s="143"/>
      <c r="CU318" s="143"/>
      <c r="CV318" s="143"/>
      <c r="CW318" s="143"/>
      <c r="CX318" s="143"/>
      <c r="CY318" s="143"/>
      <c r="CZ318" s="143"/>
      <c r="DA318" s="143"/>
      <c r="DB318" s="143"/>
      <c r="DC318" s="143"/>
      <c r="DD318" s="143"/>
      <c r="DE318" s="143"/>
      <c r="DF318" s="143"/>
      <c r="DG318" s="143"/>
      <c r="DH318" s="143"/>
      <c r="DI318" s="143"/>
      <c r="DJ318" s="143"/>
      <c r="DK318" s="143"/>
      <c r="DL318" s="143"/>
      <c r="DM318" s="143"/>
      <c r="DN318" s="143"/>
      <c r="DO318" s="143"/>
      <c r="DP318" s="143"/>
      <c r="DQ318" s="143"/>
      <c r="DR318" s="143"/>
      <c r="DS318" s="143"/>
      <c r="DT318" s="143"/>
      <c r="DU318" s="143"/>
      <c r="DV318" s="143"/>
      <c r="DW318" s="143"/>
      <c r="DX318" s="143"/>
      <c r="DY318" s="143"/>
      <c r="DZ318" s="143"/>
      <c r="EA318" s="143"/>
      <c r="EB318" s="143"/>
      <c r="EC318" s="143"/>
      <c r="ED318" s="143"/>
      <c r="EE318" s="143"/>
      <c r="EF318" s="143"/>
      <c r="EG318" s="143"/>
      <c r="EH318" s="143"/>
      <c r="EI318" s="143"/>
      <c r="EJ318" s="143"/>
      <c r="EK318" s="143"/>
      <c r="EL318" s="143"/>
      <c r="EM318" s="143"/>
      <c r="EN318" s="143"/>
      <c r="EO318" s="143"/>
      <c r="EP318" s="143"/>
      <c r="EQ318" s="143"/>
      <c r="ER318" s="143"/>
      <c r="ES318" s="143"/>
      <c r="ET318" s="143"/>
      <c r="EU318" s="143"/>
      <c r="EV318" s="143"/>
      <c r="EW318" s="143"/>
      <c r="EX318" s="143"/>
      <c r="EY318" s="143"/>
      <c r="EZ318" s="143"/>
      <c r="FA318" s="143"/>
      <c r="FB318" s="143"/>
      <c r="FC318" s="143"/>
      <c r="FD318" s="143"/>
      <c r="FE318" s="143"/>
      <c r="FF318" s="143"/>
      <c r="FG318" s="143"/>
      <c r="FH318" s="143"/>
      <c r="FI318" s="143"/>
      <c r="FJ318" s="143"/>
      <c r="FK318" s="143"/>
      <c r="FL318" s="143"/>
      <c r="FM318" s="143"/>
      <c r="FN318" s="143"/>
      <c r="FO318" s="143"/>
      <c r="FP318" s="143"/>
      <c r="FQ318" s="143"/>
      <c r="FR318" s="143"/>
      <c r="FS318" s="143"/>
      <c r="FT318" s="143"/>
      <c r="FU318" s="143"/>
      <c r="FV318" s="143"/>
      <c r="FW318" s="143"/>
      <c r="FX318" s="143"/>
      <c r="FY318" s="143"/>
      <c r="FZ318" s="143"/>
      <c r="GA318" s="143"/>
      <c r="GB318" s="143"/>
      <c r="GC318" s="143"/>
      <c r="GD318" s="143"/>
      <c r="GE318" s="143"/>
      <c r="GF318" s="143"/>
      <c r="GG318" s="143"/>
      <c r="GH318" s="143"/>
      <c r="GI318" s="143"/>
      <c r="GJ318" s="143"/>
      <c r="GK318" s="143"/>
      <c r="GL318" s="143"/>
      <c r="GM318" s="143"/>
      <c r="GN318" s="143"/>
      <c r="GO318" s="143"/>
      <c r="GP318" s="143"/>
      <c r="GQ318" s="143"/>
      <c r="GR318" s="143"/>
      <c r="GS318" s="143"/>
      <c r="GT318" s="143"/>
      <c r="GU318" s="143"/>
      <c r="GV318" s="143"/>
      <c r="GW318" s="143"/>
      <c r="GX318" s="143"/>
      <c r="GY318" s="143"/>
      <c r="GZ318" s="143"/>
      <c r="HA318" s="143"/>
      <c r="HB318" s="143"/>
      <c r="HC318" s="143"/>
      <c r="HD318" s="143"/>
      <c r="HE318" s="143"/>
      <c r="HF318" s="143"/>
      <c r="HG318" s="143"/>
      <c r="HH318" s="143"/>
      <c r="HI318" s="143"/>
      <c r="HJ318" s="143"/>
      <c r="HK318" s="143"/>
      <c r="HL318" s="143"/>
      <c r="HM318" s="143"/>
      <c r="HN318" s="143"/>
      <c r="HO318" s="143"/>
      <c r="HP318" s="143"/>
      <c r="HQ318" s="143"/>
      <c r="HR318" s="143"/>
      <c r="HS318" s="143"/>
      <c r="HT318" s="143"/>
      <c r="HU318" s="143"/>
      <c r="HV318" s="143"/>
      <c r="HW318" s="143"/>
      <c r="HX318" s="143"/>
      <c r="HY318" s="143"/>
      <c r="HZ318" s="143"/>
      <c r="IA318" s="143"/>
      <c r="IB318" s="143"/>
      <c r="IC318" s="143"/>
      <c r="ID318" s="143"/>
      <c r="IE318" s="143"/>
      <c r="IF318" s="143"/>
      <c r="IG318" s="143"/>
      <c r="IH318" s="143"/>
      <c r="II318" s="143"/>
      <c r="IJ318" s="143"/>
      <c r="IK318" s="143"/>
      <c r="IL318" s="143"/>
      <c r="IM318" s="143"/>
      <c r="IN318" s="143"/>
      <c r="IO318" s="143"/>
      <c r="IP318" s="143"/>
      <c r="IQ318" s="143"/>
      <c r="IR318" s="143"/>
      <c r="IS318" s="143"/>
      <c r="IT318" s="143"/>
      <c r="IU318" s="143"/>
      <c r="IV318" s="143"/>
      <c r="IW318" s="143"/>
      <c r="IX318" s="143"/>
      <c r="IY318" s="143"/>
      <c r="IZ318" s="143"/>
      <c r="JA318" s="143"/>
      <c r="JB318" s="143"/>
      <c r="JC318" s="143"/>
      <c r="JD318" s="143"/>
      <c r="JE318" s="143"/>
      <c r="JF318" s="143"/>
      <c r="JG318" s="143"/>
      <c r="JH318" s="143"/>
      <c r="JI318" s="143"/>
    </row>
    <row r="319" spans="1:269" hidden="1" outlineLevel="1">
      <c r="A319" s="425" t="s">
        <v>205</v>
      </c>
      <c r="B319" s="143"/>
      <c r="C319" s="417" t="e">
        <f>C318/#REF!-1</f>
        <v>#REF!</v>
      </c>
      <c r="D319" s="417" t="e">
        <f>D318/#REF!-1</f>
        <v>#REF!</v>
      </c>
      <c r="E319" s="417" t="e">
        <f>E318/#REF!-1</f>
        <v>#REF!</v>
      </c>
      <c r="F319" s="414" t="e">
        <f>F318/#REF!-1</f>
        <v>#REF!</v>
      </c>
      <c r="G319" s="414" t="e">
        <f>G318/#REF!-1</f>
        <v>#REF!</v>
      </c>
      <c r="H319" s="414" t="e">
        <f>H318/#REF!-1</f>
        <v>#REF!</v>
      </c>
      <c r="I319" s="414" t="e">
        <f>I318/#REF!-1</f>
        <v>#REF!</v>
      </c>
      <c r="J319" s="417" t="e">
        <f>J318/#REF!-1</f>
        <v>#REF!</v>
      </c>
      <c r="K319" s="414" t="e">
        <f>K318/#REF!-1</f>
        <v>#REF!</v>
      </c>
      <c r="L319" s="414" t="e">
        <f>L318/#REF!-1</f>
        <v>#REF!</v>
      </c>
      <c r="M319" s="414" t="e">
        <f>M318/#REF!-1</f>
        <v>#REF!</v>
      </c>
      <c r="N319" s="414" t="e">
        <f>N318/#REF!-1</f>
        <v>#REF!</v>
      </c>
      <c r="O319" s="417" t="e">
        <f>O318/#REF!-1</f>
        <v>#REF!</v>
      </c>
      <c r="P319" s="414">
        <f t="shared" ref="P319:AS319" si="560">P318/K318-1</f>
        <v>0.10321139974365434</v>
      </c>
      <c r="Q319" s="414">
        <f t="shared" si="560"/>
        <v>0.32853625597756131</v>
      </c>
      <c r="R319" s="414">
        <f t="shared" si="560"/>
        <v>0.10066055486471304</v>
      </c>
      <c r="S319" s="414">
        <f t="shared" si="560"/>
        <v>0.1479471749177792</v>
      </c>
      <c r="T319" s="417">
        <f t="shared" si="560"/>
        <v>0.13905617511031254</v>
      </c>
      <c r="U319" s="414">
        <f t="shared" si="560"/>
        <v>6.7375202711122295E-2</v>
      </c>
      <c r="V319" s="414">
        <f t="shared" si="560"/>
        <v>8.5852853660353112E-3</v>
      </c>
      <c r="W319" s="414">
        <f t="shared" si="560"/>
        <v>3.259434952461282E-2</v>
      </c>
      <c r="X319" s="414">
        <f t="shared" si="560"/>
        <v>2.1688937721413781E-2</v>
      </c>
      <c r="Y319" s="417">
        <f t="shared" si="560"/>
        <v>2.9811525694305008E-2</v>
      </c>
      <c r="Z319" s="414">
        <f t="shared" si="560"/>
        <v>4.2985402803133566E-2</v>
      </c>
      <c r="AA319" s="414">
        <f t="shared" si="560"/>
        <v>1.8726944088453878E-2</v>
      </c>
      <c r="AB319" s="414">
        <f t="shared" si="560"/>
        <v>1.7415344877717009E-2</v>
      </c>
      <c r="AC319" s="414">
        <f t="shared" si="560"/>
        <v>-2.3772464015221484E-3</v>
      </c>
      <c r="AD319" s="422">
        <f t="shared" si="560"/>
        <v>2.1229762537274599E-2</v>
      </c>
      <c r="AE319" s="280">
        <f t="shared" si="560"/>
        <v>-2.5823063170554494E-2</v>
      </c>
      <c r="AF319" s="280">
        <f t="shared" si="560"/>
        <v>-2.5616531669103715E-2</v>
      </c>
      <c r="AG319" s="280">
        <f t="shared" si="560"/>
        <v>-1.6036417029466676E-2</v>
      </c>
      <c r="AH319" s="280">
        <f t="shared" si="560"/>
        <v>-4.7584191097773787E-2</v>
      </c>
      <c r="AI319" s="422">
        <f t="shared" si="560"/>
        <v>-8.3376167134286971E-3</v>
      </c>
      <c r="AJ319" s="280" t="e">
        <f t="shared" si="560"/>
        <v>#VALUE!</v>
      </c>
      <c r="AK319" s="280" t="e">
        <f t="shared" si="560"/>
        <v>#VALUE!</v>
      </c>
      <c r="AL319" s="280" t="e">
        <f t="shared" si="560"/>
        <v>#VALUE!</v>
      </c>
      <c r="AM319" s="280" t="e">
        <f t="shared" si="560"/>
        <v>#VALUE!</v>
      </c>
      <c r="AN319" s="320">
        <f t="shared" si="560"/>
        <v>-1.8901480924764624E-2</v>
      </c>
      <c r="AO319" s="280" t="e">
        <f t="shared" si="560"/>
        <v>#VALUE!</v>
      </c>
      <c r="AP319" s="280" t="e">
        <f t="shared" si="560"/>
        <v>#VALUE!</v>
      </c>
      <c r="AQ319" s="280" t="e">
        <f t="shared" si="560"/>
        <v>#VALUE!</v>
      </c>
      <c r="AR319" s="280" t="e">
        <f t="shared" si="560"/>
        <v>#VALUE!</v>
      </c>
      <c r="AS319" s="320">
        <f t="shared" si="560"/>
        <v>4.9999999999952305E-3</v>
      </c>
      <c r="AT319" s="315"/>
      <c r="AU319" s="508"/>
      <c r="AV319" s="143"/>
      <c r="AW319" s="143"/>
      <c r="AX319" s="143"/>
      <c r="AY319" s="143"/>
      <c r="AZ319" s="143"/>
      <c r="BA319" s="143"/>
      <c r="BB319" s="143"/>
      <c r="BC319" s="143"/>
      <c r="BD319" s="143"/>
      <c r="BE319" s="143"/>
      <c r="BF319" s="143"/>
      <c r="BG319" s="143"/>
      <c r="BH319" s="143"/>
      <c r="BI319" s="143"/>
      <c r="BJ319" s="143"/>
      <c r="BK319" s="143"/>
      <c r="BL319" s="143"/>
      <c r="BM319" s="143"/>
      <c r="BN319" s="143"/>
      <c r="BO319" s="143"/>
      <c r="BP319" s="143"/>
      <c r="BQ319" s="143"/>
      <c r="BR319" s="143"/>
      <c r="BS319" s="143"/>
      <c r="BT319" s="143"/>
      <c r="BU319" s="143"/>
      <c r="BV319" s="143"/>
      <c r="BW319" s="143"/>
      <c r="BX319" s="143"/>
      <c r="BY319" s="143"/>
      <c r="BZ319" s="143"/>
      <c r="CA319" s="143"/>
      <c r="CB319" s="143"/>
      <c r="CC319" s="143"/>
      <c r="CD319" s="143"/>
      <c r="CE319" s="143"/>
      <c r="CF319" s="143"/>
      <c r="CG319" s="143"/>
      <c r="CH319" s="143"/>
      <c r="CI319" s="143"/>
      <c r="CJ319" s="143"/>
      <c r="CK319" s="143"/>
      <c r="CL319" s="143"/>
      <c r="CM319" s="143"/>
      <c r="CN319" s="143"/>
      <c r="CO319" s="143"/>
      <c r="CP319" s="143"/>
      <c r="CQ319" s="143"/>
      <c r="CR319" s="143"/>
      <c r="CS319" s="143"/>
      <c r="CT319" s="143"/>
      <c r="CU319" s="143"/>
      <c r="CV319" s="143"/>
      <c r="CW319" s="143"/>
      <c r="CX319" s="143"/>
      <c r="CY319" s="143"/>
      <c r="CZ319" s="143"/>
      <c r="DA319" s="143"/>
      <c r="DB319" s="143"/>
      <c r="DC319" s="143"/>
      <c r="DD319" s="143"/>
      <c r="DE319" s="143"/>
      <c r="DF319" s="143"/>
      <c r="DG319" s="143"/>
      <c r="DH319" s="143"/>
      <c r="DI319" s="143"/>
      <c r="DJ319" s="143"/>
      <c r="DK319" s="143"/>
      <c r="DL319" s="143"/>
      <c r="DM319" s="143"/>
      <c r="DN319" s="143"/>
      <c r="DO319" s="143"/>
      <c r="DP319" s="143"/>
      <c r="DQ319" s="143"/>
      <c r="DR319" s="143"/>
      <c r="DS319" s="143"/>
      <c r="DT319" s="143"/>
      <c r="DU319" s="143"/>
      <c r="DV319" s="143"/>
      <c r="DW319" s="143"/>
      <c r="DX319" s="143"/>
      <c r="DY319" s="143"/>
      <c r="DZ319" s="143"/>
      <c r="EA319" s="143"/>
      <c r="EB319" s="143"/>
      <c r="EC319" s="143"/>
      <c r="ED319" s="143"/>
      <c r="EE319" s="143"/>
      <c r="EF319" s="143"/>
      <c r="EG319" s="143"/>
      <c r="EH319" s="143"/>
      <c r="EI319" s="143"/>
      <c r="EJ319" s="143"/>
      <c r="EK319" s="143"/>
      <c r="EL319" s="143"/>
      <c r="EM319" s="143"/>
      <c r="EN319" s="143"/>
      <c r="EO319" s="143"/>
      <c r="EP319" s="143"/>
      <c r="EQ319" s="143"/>
      <c r="ER319" s="143"/>
      <c r="ES319" s="143"/>
      <c r="ET319" s="143"/>
      <c r="EU319" s="143"/>
      <c r="EV319" s="143"/>
      <c r="EW319" s="143"/>
      <c r="EX319" s="143"/>
      <c r="EY319" s="143"/>
      <c r="EZ319" s="143"/>
      <c r="FA319" s="143"/>
      <c r="FB319" s="143"/>
      <c r="FC319" s="143"/>
      <c r="FD319" s="143"/>
      <c r="FE319" s="143"/>
      <c r="FF319" s="143"/>
      <c r="FG319" s="143"/>
      <c r="FH319" s="143"/>
      <c r="FI319" s="143"/>
      <c r="FJ319" s="143"/>
      <c r="FK319" s="143"/>
      <c r="FL319" s="143"/>
      <c r="FM319" s="143"/>
      <c r="FN319" s="143"/>
      <c r="FO319" s="143"/>
      <c r="FP319" s="143"/>
      <c r="FQ319" s="143"/>
      <c r="FR319" s="143"/>
      <c r="FS319" s="143"/>
      <c r="FT319" s="143"/>
      <c r="FU319" s="143"/>
      <c r="FV319" s="143"/>
      <c r="FW319" s="143"/>
      <c r="FX319" s="143"/>
      <c r="FY319" s="143"/>
      <c r="FZ319" s="143"/>
      <c r="GA319" s="143"/>
      <c r="GB319" s="143"/>
      <c r="GC319" s="143"/>
      <c r="GD319" s="143"/>
      <c r="GE319" s="143"/>
      <c r="GF319" s="143"/>
      <c r="GG319" s="143"/>
      <c r="GH319" s="143"/>
      <c r="GI319" s="143"/>
      <c r="GJ319" s="143"/>
      <c r="GK319" s="143"/>
      <c r="GL319" s="143"/>
      <c r="GM319" s="143"/>
      <c r="GN319" s="143"/>
      <c r="GO319" s="143"/>
      <c r="GP319" s="143"/>
      <c r="GQ319" s="143"/>
      <c r="GR319" s="143"/>
      <c r="GS319" s="143"/>
      <c r="GT319" s="143"/>
      <c r="GU319" s="143"/>
      <c r="GV319" s="143"/>
      <c r="GW319" s="143"/>
      <c r="GX319" s="143"/>
      <c r="GY319" s="143"/>
      <c r="GZ319" s="143"/>
      <c r="HA319" s="143"/>
      <c r="HB319" s="143"/>
      <c r="HC319" s="143"/>
      <c r="HD319" s="143"/>
      <c r="HE319" s="143"/>
      <c r="HF319" s="143"/>
      <c r="HG319" s="143"/>
      <c r="HH319" s="143"/>
      <c r="HI319" s="143"/>
      <c r="HJ319" s="143"/>
      <c r="HK319" s="143"/>
      <c r="HL319" s="143"/>
      <c r="HM319" s="143"/>
      <c r="HN319" s="143"/>
      <c r="HO319" s="143"/>
      <c r="HP319" s="143"/>
      <c r="HQ319" s="143"/>
      <c r="HR319" s="143"/>
      <c r="HS319" s="143"/>
      <c r="HT319" s="143"/>
      <c r="HU319" s="143"/>
      <c r="HV319" s="143"/>
      <c r="HW319" s="143"/>
      <c r="HX319" s="143"/>
      <c r="HY319" s="143"/>
      <c r="HZ319" s="143"/>
      <c r="IA319" s="143"/>
      <c r="IB319" s="143"/>
      <c r="IC319" s="143"/>
      <c r="ID319" s="143"/>
      <c r="IE319" s="143"/>
      <c r="IF319" s="143"/>
      <c r="IG319" s="143"/>
      <c r="IH319" s="143"/>
      <c r="II319" s="143"/>
      <c r="IJ319" s="143"/>
      <c r="IK319" s="143"/>
      <c r="IL319" s="143"/>
      <c r="IM319" s="143"/>
      <c r="IN319" s="143"/>
      <c r="IO319" s="143"/>
      <c r="IP319" s="143"/>
      <c r="IQ319" s="143"/>
      <c r="IR319" s="143"/>
      <c r="IS319" s="143"/>
      <c r="IT319" s="143"/>
      <c r="IU319" s="143"/>
      <c r="IV319" s="143"/>
      <c r="IW319" s="143"/>
      <c r="IX319" s="143"/>
      <c r="IY319" s="143"/>
      <c r="IZ319" s="143"/>
      <c r="JA319" s="143"/>
      <c r="JB319" s="143"/>
      <c r="JC319" s="143"/>
      <c r="JD319" s="143"/>
      <c r="JE319" s="143"/>
      <c r="JF319" s="143"/>
      <c r="JG319" s="143"/>
      <c r="JH319" s="143"/>
      <c r="JI319" s="143"/>
    </row>
    <row r="320" spans="1:269" hidden="1" outlineLevel="1">
      <c r="A320" s="498" t="s">
        <v>207</v>
      </c>
      <c r="B320" s="143"/>
      <c r="C320" s="417" t="e">
        <f>C318/#REF!-1</f>
        <v>#REF!</v>
      </c>
      <c r="D320" s="417" t="e">
        <f>D318/#REF!-1</f>
        <v>#REF!</v>
      </c>
      <c r="E320" s="417" t="e">
        <f>E318/#REF!-1</f>
        <v>#REF!</v>
      </c>
      <c r="F320" s="414" t="e">
        <f>F318/#REF!-1</f>
        <v>#REF!</v>
      </c>
      <c r="G320" s="414" t="e">
        <f>G318/#REF!-1</f>
        <v>#REF!</v>
      </c>
      <c r="H320" s="414" t="e">
        <f>H318/#REF!-1</f>
        <v>#REF!</v>
      </c>
      <c r="I320" s="414" t="e">
        <f>I318/#REF!-1</f>
        <v>#REF!</v>
      </c>
      <c r="J320" s="417" t="e">
        <f>J318/#REF!-1</f>
        <v>#REF!</v>
      </c>
      <c r="K320" s="414" t="e">
        <f>K318/#REF!-1</f>
        <v>#REF!</v>
      </c>
      <c r="L320" s="414" t="e">
        <f>L318/#REF!-1</f>
        <v>#REF!</v>
      </c>
      <c r="M320" s="414" t="e">
        <f>M318/#REF!-1</f>
        <v>#REF!</v>
      </c>
      <c r="N320" s="414" t="e">
        <f>N318/#REF!-1</f>
        <v>#REF!</v>
      </c>
      <c r="O320" s="417" t="e">
        <f>O318/#REF!-1</f>
        <v>#REF!</v>
      </c>
      <c r="P320" s="414" t="e">
        <f>P318/#REF!-1</f>
        <v>#REF!</v>
      </c>
      <c r="Q320" s="414" t="e">
        <f>Q318/#REF!-1</f>
        <v>#REF!</v>
      </c>
      <c r="R320" s="414" t="e">
        <f>R318/#REF!-1</f>
        <v>#REF!</v>
      </c>
      <c r="S320" s="414" t="e">
        <f>S318/#REF!-1</f>
        <v>#REF!</v>
      </c>
      <c r="T320" s="417" t="e">
        <f>T318/#REF!-1</f>
        <v>#REF!</v>
      </c>
      <c r="U320" s="414" t="e">
        <f>U318/#REF!-1</f>
        <v>#REF!</v>
      </c>
      <c r="V320" s="414" t="e">
        <f>V318/#REF!-1</f>
        <v>#REF!</v>
      </c>
      <c r="W320" s="414" t="e">
        <f>W318/#REF!-1</f>
        <v>#REF!</v>
      </c>
      <c r="X320" s="414" t="e">
        <f>X318/#REF!-1</f>
        <v>#REF!</v>
      </c>
      <c r="Y320" s="417" t="e">
        <f>Y318/#REF!-1</f>
        <v>#REF!</v>
      </c>
      <c r="Z320" s="414" t="e">
        <f>Z318/#REF!-1</f>
        <v>#REF!</v>
      </c>
      <c r="AA320" s="414" t="e">
        <f>AA318/#REF!-1</f>
        <v>#REF!</v>
      </c>
      <c r="AB320" s="414" t="e">
        <f>AB318/#REF!-1</f>
        <v>#REF!</v>
      </c>
      <c r="AC320" s="414" t="e">
        <f>AC318/#REF!-1</f>
        <v>#REF!</v>
      </c>
      <c r="AD320" s="422" t="e">
        <f>AD318/#REF!-1</f>
        <v>#REF!</v>
      </c>
      <c r="AE320" s="414" t="e">
        <f>AE318/#REF!-1</f>
        <v>#REF!</v>
      </c>
      <c r="AF320" s="414" t="e">
        <f>AF318/#REF!-1</f>
        <v>#REF!</v>
      </c>
      <c r="AG320" s="414" t="e">
        <f>AG318/#REF!-1</f>
        <v>#REF!</v>
      </c>
      <c r="AH320" s="414" t="e">
        <f>AH318/#REF!-1</f>
        <v>#REF!</v>
      </c>
      <c r="AI320" s="422" t="e">
        <f>AI318/#REF!-1</f>
        <v>#REF!</v>
      </c>
      <c r="AJ320" s="414" t="e">
        <f>AJ318/#REF!-1</f>
        <v>#VALUE!</v>
      </c>
      <c r="AK320" s="414" t="e">
        <f>AK318/#REF!-1</f>
        <v>#VALUE!</v>
      </c>
      <c r="AL320" s="414" t="e">
        <f>AL318/#REF!-1</f>
        <v>#VALUE!</v>
      </c>
      <c r="AM320" s="414" t="e">
        <f>AM318/#REF!-1</f>
        <v>#VALUE!</v>
      </c>
      <c r="AN320" s="422" t="e">
        <f>AN318/#REF!-1</f>
        <v>#REF!</v>
      </c>
      <c r="AO320" s="414" t="e">
        <f>AO318/#REF!-1</f>
        <v>#VALUE!</v>
      </c>
      <c r="AP320" s="414" t="e">
        <f>AP318/#REF!-1</f>
        <v>#VALUE!</v>
      </c>
      <c r="AQ320" s="414" t="e">
        <f>AQ318/#REF!-1</f>
        <v>#VALUE!</v>
      </c>
      <c r="AR320" s="414" t="e">
        <f>AR318/#REF!-1</f>
        <v>#VALUE!</v>
      </c>
      <c r="AS320" s="422" t="e">
        <f>AS318/#REF!-1</f>
        <v>#REF!</v>
      </c>
      <c r="AT320" s="315"/>
      <c r="AU320" s="508"/>
      <c r="AV320" s="143"/>
      <c r="AW320" s="143"/>
      <c r="AX320" s="143"/>
      <c r="AY320" s="143"/>
      <c r="AZ320" s="143"/>
      <c r="BA320" s="143"/>
      <c r="BB320" s="143"/>
      <c r="BC320" s="143"/>
      <c r="BD320" s="143"/>
      <c r="BE320" s="143"/>
      <c r="BF320" s="143"/>
      <c r="BG320" s="143"/>
      <c r="BH320" s="143"/>
      <c r="BI320" s="143"/>
      <c r="BJ320" s="143"/>
      <c r="BK320" s="143"/>
      <c r="BL320" s="143"/>
      <c r="BM320" s="143"/>
      <c r="BN320" s="143"/>
      <c r="BO320" s="143"/>
      <c r="BP320" s="143"/>
      <c r="BQ320" s="143"/>
      <c r="BR320" s="143"/>
      <c r="BS320" s="143"/>
      <c r="BT320" s="143"/>
      <c r="BU320" s="143"/>
      <c r="BV320" s="143"/>
      <c r="BW320" s="143"/>
      <c r="BX320" s="143"/>
      <c r="BY320" s="143"/>
      <c r="BZ320" s="143"/>
      <c r="CA320" s="143"/>
      <c r="CB320" s="143"/>
      <c r="CC320" s="143"/>
      <c r="CD320" s="143"/>
      <c r="CE320" s="143"/>
      <c r="CF320" s="143"/>
      <c r="CG320" s="143"/>
      <c r="CH320" s="143"/>
      <c r="CI320" s="143"/>
      <c r="CJ320" s="143"/>
      <c r="CK320" s="143"/>
      <c r="CL320" s="143"/>
      <c r="CM320" s="143"/>
      <c r="CN320" s="143"/>
      <c r="CO320" s="143"/>
      <c r="CP320" s="143"/>
      <c r="CQ320" s="143"/>
      <c r="CR320" s="143"/>
      <c r="CS320" s="143"/>
      <c r="CT320" s="143"/>
      <c r="CU320" s="143"/>
      <c r="CV320" s="143"/>
      <c r="CW320" s="143"/>
      <c r="CX320" s="143"/>
      <c r="CY320" s="143"/>
      <c r="CZ320" s="143"/>
      <c r="DA320" s="143"/>
      <c r="DB320" s="143"/>
      <c r="DC320" s="143"/>
      <c r="DD320" s="143"/>
      <c r="DE320" s="143"/>
      <c r="DF320" s="143"/>
      <c r="DG320" s="143"/>
      <c r="DH320" s="143"/>
      <c r="DI320" s="143"/>
      <c r="DJ320" s="143"/>
      <c r="DK320" s="143"/>
      <c r="DL320" s="143"/>
      <c r="DM320" s="143"/>
      <c r="DN320" s="143"/>
      <c r="DO320" s="143"/>
      <c r="DP320" s="143"/>
      <c r="DQ320" s="143"/>
      <c r="DR320" s="143"/>
      <c r="DS320" s="143"/>
      <c r="DT320" s="143"/>
      <c r="DU320" s="143"/>
      <c r="DV320" s="143"/>
      <c r="DW320" s="143"/>
      <c r="DX320" s="143"/>
      <c r="DY320" s="143"/>
      <c r="DZ320" s="143"/>
      <c r="EA320" s="143"/>
      <c r="EB320" s="143"/>
      <c r="EC320" s="143"/>
      <c r="ED320" s="143"/>
      <c r="EE320" s="143"/>
      <c r="EF320" s="143"/>
      <c r="EG320" s="143"/>
      <c r="EH320" s="143"/>
      <c r="EI320" s="143"/>
      <c r="EJ320" s="143"/>
      <c r="EK320" s="143"/>
      <c r="EL320" s="143"/>
      <c r="EM320" s="143"/>
      <c r="EN320" s="143"/>
      <c r="EO320" s="143"/>
      <c r="EP320" s="143"/>
      <c r="EQ320" s="143"/>
      <c r="ER320" s="143"/>
      <c r="ES320" s="143"/>
      <c r="ET320" s="143"/>
      <c r="EU320" s="143"/>
      <c r="EV320" s="143"/>
      <c r="EW320" s="143"/>
      <c r="EX320" s="143"/>
      <c r="EY320" s="143"/>
      <c r="EZ320" s="143"/>
      <c r="FA320" s="143"/>
      <c r="FB320" s="143"/>
      <c r="FC320" s="143"/>
      <c r="FD320" s="143"/>
      <c r="FE320" s="143"/>
      <c r="FF320" s="143"/>
      <c r="FG320" s="143"/>
      <c r="FH320" s="143"/>
      <c r="FI320" s="143"/>
      <c r="FJ320" s="143"/>
      <c r="FK320" s="143"/>
      <c r="FL320" s="143"/>
      <c r="FM320" s="143"/>
      <c r="FN320" s="143"/>
      <c r="FO320" s="143"/>
      <c r="FP320" s="143"/>
      <c r="FQ320" s="143"/>
      <c r="FR320" s="143"/>
      <c r="FS320" s="143"/>
      <c r="FT320" s="143"/>
      <c r="FU320" s="143"/>
      <c r="FV320" s="143"/>
      <c r="FW320" s="143"/>
      <c r="FX320" s="143"/>
      <c r="FY320" s="143"/>
      <c r="FZ320" s="143"/>
      <c r="GA320" s="143"/>
      <c r="GB320" s="143"/>
      <c r="GC320" s="143"/>
      <c r="GD320" s="143"/>
      <c r="GE320" s="143"/>
      <c r="GF320" s="143"/>
      <c r="GG320" s="143"/>
      <c r="GH320" s="143"/>
      <c r="GI320" s="143"/>
      <c r="GJ320" s="143"/>
      <c r="GK320" s="143"/>
      <c r="GL320" s="143"/>
      <c r="GM320" s="143"/>
      <c r="GN320" s="143"/>
      <c r="GO320" s="143"/>
      <c r="GP320" s="143"/>
      <c r="GQ320" s="143"/>
      <c r="GR320" s="143"/>
      <c r="GS320" s="143"/>
      <c r="GT320" s="143"/>
      <c r="GU320" s="143"/>
      <c r="GV320" s="143"/>
      <c r="GW320" s="143"/>
      <c r="GX320" s="143"/>
      <c r="GY320" s="143"/>
      <c r="GZ320" s="143"/>
      <c r="HA320" s="143"/>
      <c r="HB320" s="143"/>
      <c r="HC320" s="143"/>
      <c r="HD320" s="143"/>
      <c r="HE320" s="143"/>
      <c r="HF320" s="143"/>
      <c r="HG320" s="143"/>
      <c r="HH320" s="143"/>
      <c r="HI320" s="143"/>
      <c r="HJ320" s="143"/>
      <c r="HK320" s="143"/>
      <c r="HL320" s="143"/>
      <c r="HM320" s="143"/>
      <c r="HN320" s="143"/>
      <c r="HO320" s="143"/>
      <c r="HP320" s="143"/>
      <c r="HQ320" s="143"/>
      <c r="HR320" s="143"/>
      <c r="HS320" s="143"/>
      <c r="HT320" s="143"/>
      <c r="HU320" s="143"/>
      <c r="HV320" s="143"/>
      <c r="HW320" s="143"/>
      <c r="HX320" s="143"/>
      <c r="HY320" s="143"/>
      <c r="HZ320" s="143"/>
      <c r="IA320" s="143"/>
      <c r="IB320" s="143"/>
      <c r="IC320" s="143"/>
      <c r="ID320" s="143"/>
      <c r="IE320" s="143"/>
      <c r="IF320" s="143"/>
      <c r="IG320" s="143"/>
      <c r="IH320" s="143"/>
      <c r="II320" s="143"/>
      <c r="IJ320" s="143"/>
      <c r="IK320" s="143"/>
      <c r="IL320" s="143"/>
      <c r="IM320" s="143"/>
      <c r="IN320" s="143"/>
      <c r="IO320" s="143"/>
      <c r="IP320" s="143"/>
      <c r="IQ320" s="143"/>
      <c r="IR320" s="143"/>
      <c r="IS320" s="143"/>
      <c r="IT320" s="143"/>
      <c r="IU320" s="143"/>
      <c r="IV320" s="143"/>
      <c r="IW320" s="143"/>
      <c r="IX320" s="143"/>
      <c r="IY320" s="143"/>
      <c r="IZ320" s="143"/>
      <c r="JA320" s="143"/>
      <c r="JB320" s="143"/>
      <c r="JC320" s="143"/>
      <c r="JD320" s="143"/>
      <c r="JE320" s="143"/>
      <c r="JF320" s="143"/>
      <c r="JG320" s="143"/>
      <c r="JH320" s="143"/>
      <c r="JI320" s="143"/>
    </row>
    <row r="321" spans="1:269" hidden="1" outlineLevel="1">
      <c r="A321" s="436"/>
      <c r="B321" s="143"/>
      <c r="C321" s="417"/>
      <c r="D321" s="417"/>
      <c r="E321" s="417"/>
      <c r="F321" s="414"/>
      <c r="G321" s="414"/>
      <c r="H321" s="414"/>
      <c r="I321" s="414"/>
      <c r="J321" s="417"/>
      <c r="K321" s="414"/>
      <c r="L321" s="414"/>
      <c r="M321" s="414"/>
      <c r="N321" s="414"/>
      <c r="O321" s="417"/>
      <c r="P321" s="414"/>
      <c r="Q321" s="414"/>
      <c r="R321" s="414"/>
      <c r="S321" s="414"/>
      <c r="T321" s="417"/>
      <c r="U321" s="414"/>
      <c r="V321" s="414"/>
      <c r="W321" s="414"/>
      <c r="X321" s="414"/>
      <c r="Y321" s="417"/>
      <c r="Z321" s="414"/>
      <c r="AA321" s="414"/>
      <c r="AB321" s="414"/>
      <c r="AC321" s="414"/>
      <c r="AD321" s="422"/>
      <c r="AE321" s="414"/>
      <c r="AF321" s="414"/>
      <c r="AG321" s="414"/>
      <c r="AH321" s="414"/>
      <c r="AI321" s="422"/>
      <c r="AJ321" s="414"/>
      <c r="AK321" s="414"/>
      <c r="AL321" s="414"/>
      <c r="AM321" s="414"/>
      <c r="AN321" s="422"/>
      <c r="AO321" s="414"/>
      <c r="AP321" s="414"/>
      <c r="AQ321" s="414"/>
      <c r="AR321" s="414"/>
      <c r="AS321" s="422"/>
      <c r="AT321" s="315"/>
      <c r="AU321" s="508"/>
      <c r="AV321" s="143"/>
      <c r="AW321" s="143"/>
      <c r="AX321" s="143"/>
      <c r="AY321" s="143"/>
      <c r="AZ321" s="143"/>
      <c r="BA321" s="143"/>
      <c r="BB321" s="143"/>
      <c r="BC321" s="143"/>
      <c r="BD321" s="143"/>
      <c r="BE321" s="143"/>
      <c r="BF321" s="143"/>
      <c r="BG321" s="143"/>
      <c r="BH321" s="143"/>
      <c r="BI321" s="143"/>
      <c r="BJ321" s="143"/>
      <c r="BK321" s="143"/>
      <c r="BL321" s="143"/>
      <c r="BM321" s="143"/>
      <c r="BN321" s="143"/>
      <c r="BO321" s="143"/>
      <c r="BP321" s="143"/>
      <c r="BQ321" s="143"/>
      <c r="BR321" s="143"/>
      <c r="BS321" s="143"/>
      <c r="BT321" s="143"/>
      <c r="BU321" s="143"/>
      <c r="BV321" s="143"/>
      <c r="BW321" s="143"/>
      <c r="BX321" s="143"/>
      <c r="BY321" s="143"/>
      <c r="BZ321" s="143"/>
      <c r="CA321" s="143"/>
      <c r="CB321" s="143"/>
      <c r="CC321" s="143"/>
      <c r="CD321" s="143"/>
      <c r="CE321" s="143"/>
      <c r="CF321" s="143"/>
      <c r="CG321" s="143"/>
      <c r="CH321" s="143"/>
      <c r="CI321" s="143"/>
      <c r="CJ321" s="143"/>
      <c r="CK321" s="143"/>
      <c r="CL321" s="143"/>
      <c r="CM321" s="143"/>
      <c r="CN321" s="143"/>
      <c r="CO321" s="143"/>
      <c r="CP321" s="143"/>
      <c r="CQ321" s="143"/>
      <c r="CR321" s="143"/>
      <c r="CS321" s="143"/>
      <c r="CT321" s="143"/>
      <c r="CU321" s="143"/>
      <c r="CV321" s="143"/>
      <c r="CW321" s="143"/>
      <c r="CX321" s="143"/>
      <c r="CY321" s="143"/>
      <c r="CZ321" s="143"/>
      <c r="DA321" s="143"/>
      <c r="DB321" s="143"/>
      <c r="DC321" s="143"/>
      <c r="DD321" s="143"/>
      <c r="DE321" s="143"/>
      <c r="DF321" s="143"/>
      <c r="DG321" s="143"/>
      <c r="DH321" s="143"/>
      <c r="DI321" s="143"/>
      <c r="DJ321" s="143"/>
      <c r="DK321" s="143"/>
      <c r="DL321" s="143"/>
      <c r="DM321" s="143"/>
      <c r="DN321" s="143"/>
      <c r="DO321" s="143"/>
      <c r="DP321" s="143"/>
      <c r="DQ321" s="143"/>
      <c r="DR321" s="143"/>
      <c r="DS321" s="143"/>
      <c r="DT321" s="143"/>
      <c r="DU321" s="143"/>
      <c r="DV321" s="143"/>
      <c r="DW321" s="143"/>
      <c r="DX321" s="143"/>
      <c r="DY321" s="143"/>
      <c r="DZ321" s="143"/>
      <c r="EA321" s="143"/>
      <c r="EB321" s="143"/>
      <c r="EC321" s="143"/>
      <c r="ED321" s="143"/>
      <c r="EE321" s="143"/>
      <c r="EF321" s="143"/>
      <c r="EG321" s="143"/>
      <c r="EH321" s="143"/>
      <c r="EI321" s="143"/>
      <c r="EJ321" s="143"/>
      <c r="EK321" s="143"/>
      <c r="EL321" s="143"/>
      <c r="EM321" s="143"/>
      <c r="EN321" s="143"/>
      <c r="EO321" s="143"/>
      <c r="EP321" s="143"/>
      <c r="EQ321" s="143"/>
      <c r="ER321" s="143"/>
      <c r="ES321" s="143"/>
      <c r="ET321" s="143"/>
      <c r="EU321" s="143"/>
      <c r="EV321" s="143"/>
      <c r="EW321" s="143"/>
      <c r="EX321" s="143"/>
      <c r="EY321" s="143"/>
      <c r="EZ321" s="143"/>
      <c r="FA321" s="143"/>
      <c r="FB321" s="143"/>
      <c r="FC321" s="143"/>
      <c r="FD321" s="143"/>
      <c r="FE321" s="143"/>
      <c r="FF321" s="143"/>
      <c r="FG321" s="143"/>
      <c r="FH321" s="143"/>
      <c r="FI321" s="143"/>
      <c r="FJ321" s="143"/>
      <c r="FK321" s="143"/>
      <c r="FL321" s="143"/>
      <c r="FM321" s="143"/>
      <c r="FN321" s="143"/>
      <c r="FO321" s="143"/>
      <c r="FP321" s="143"/>
      <c r="FQ321" s="143"/>
      <c r="FR321" s="143"/>
      <c r="FS321" s="143"/>
      <c r="FT321" s="143"/>
      <c r="FU321" s="143"/>
      <c r="FV321" s="143"/>
      <c r="FW321" s="143"/>
      <c r="FX321" s="143"/>
      <c r="FY321" s="143"/>
      <c r="FZ321" s="143"/>
      <c r="GA321" s="143"/>
      <c r="GB321" s="143"/>
      <c r="GC321" s="143"/>
      <c r="GD321" s="143"/>
      <c r="GE321" s="143"/>
      <c r="GF321" s="143"/>
      <c r="GG321" s="143"/>
      <c r="GH321" s="143"/>
      <c r="GI321" s="143"/>
      <c r="GJ321" s="143"/>
      <c r="GK321" s="143"/>
      <c r="GL321" s="143"/>
      <c r="GM321" s="143"/>
      <c r="GN321" s="143"/>
      <c r="GO321" s="143"/>
      <c r="GP321" s="143"/>
      <c r="GQ321" s="143"/>
      <c r="GR321" s="143"/>
      <c r="GS321" s="143"/>
      <c r="GT321" s="143"/>
      <c r="GU321" s="143"/>
      <c r="GV321" s="143"/>
      <c r="GW321" s="143"/>
      <c r="GX321" s="143"/>
      <c r="GY321" s="143"/>
      <c r="GZ321" s="143"/>
      <c r="HA321" s="143"/>
      <c r="HB321" s="143"/>
      <c r="HC321" s="143"/>
      <c r="HD321" s="143"/>
      <c r="HE321" s="143"/>
      <c r="HF321" s="143"/>
      <c r="HG321" s="143"/>
      <c r="HH321" s="143"/>
      <c r="HI321" s="143"/>
      <c r="HJ321" s="143"/>
      <c r="HK321" s="143"/>
      <c r="HL321" s="143"/>
      <c r="HM321" s="143"/>
      <c r="HN321" s="143"/>
      <c r="HO321" s="143"/>
      <c r="HP321" s="143"/>
      <c r="HQ321" s="143"/>
      <c r="HR321" s="143"/>
      <c r="HS321" s="143"/>
      <c r="HT321" s="143"/>
      <c r="HU321" s="143"/>
      <c r="HV321" s="143"/>
      <c r="HW321" s="143"/>
      <c r="HX321" s="143"/>
      <c r="HY321" s="143"/>
      <c r="HZ321" s="143"/>
      <c r="IA321" s="143"/>
      <c r="IB321" s="143"/>
      <c r="IC321" s="143"/>
      <c r="ID321" s="143"/>
      <c r="IE321" s="143"/>
      <c r="IF321" s="143"/>
      <c r="IG321" s="143"/>
      <c r="IH321" s="143"/>
      <c r="II321" s="143"/>
      <c r="IJ321" s="143"/>
      <c r="IK321" s="143"/>
      <c r="IL321" s="143"/>
      <c r="IM321" s="143"/>
      <c r="IN321" s="143"/>
      <c r="IO321" s="143"/>
      <c r="IP321" s="143"/>
      <c r="IQ321" s="143"/>
      <c r="IR321" s="143"/>
      <c r="IS321" s="143"/>
      <c r="IT321" s="143"/>
      <c r="IU321" s="143"/>
      <c r="IV321" s="143"/>
      <c r="IW321" s="143"/>
      <c r="IX321" s="143"/>
      <c r="IY321" s="143"/>
      <c r="IZ321" s="143"/>
      <c r="JA321" s="143"/>
      <c r="JB321" s="143"/>
      <c r="JC321" s="143"/>
      <c r="JD321" s="143"/>
      <c r="JE321" s="143"/>
      <c r="JF321" s="143"/>
      <c r="JG321" s="143"/>
      <c r="JH321" s="143"/>
      <c r="JI321" s="143"/>
    </row>
    <row r="322" spans="1:269" hidden="1" outlineLevel="1">
      <c r="A322" s="418" t="s">
        <v>220</v>
      </c>
      <c r="B322" s="143" t="s">
        <v>226</v>
      </c>
      <c r="C322" s="451" cm="1">
        <f t="array" ref="C322">_xll.VAData($B322, C$4, $A322, "consensus", "CD", "IMPL","", "")</f>
        <v>1886.0530116908667</v>
      </c>
      <c r="D322" s="451" cm="1">
        <f t="array" ref="D322">_xll.VAData($B322, D$4, $A322, "consensus", "CD", "IMPL","", "")</f>
        <v>1760.0275472306059</v>
      </c>
      <c r="E322" s="451" cm="1">
        <f t="array" ref="E322">_xll.VAData($B322, E$4, $A322, "consensus", "CD", "IMPL","", "")</f>
        <v>1924.7823802939654</v>
      </c>
      <c r="F322" s="448" cm="1">
        <f t="array" ref="F322">_xll.VAData($B322, F$4, $A322, "consensus", "CD", "IMPL","", "")</f>
        <v>600.53010244826601</v>
      </c>
      <c r="G322" s="448" cm="1">
        <f t="array" ref="G322">_xll.VAData($B322, G$4, $A322, "consensus", "CD", "IMPL","", "")</f>
        <v>609.98688400114702</v>
      </c>
      <c r="H322" s="448" cm="1">
        <f t="array" ref="H322">_xll.VAData($B322, H$4, $A322, "consensus", "CD", "IMPL","", "")</f>
        <v>610.86152412838396</v>
      </c>
      <c r="I322" s="448" cm="1">
        <f t="array" ref="I322">_xll.VAData($B322, I$4, $A322, "consensus", "CD", "IMPL","", "")</f>
        <v>580.35318024062303</v>
      </c>
      <c r="J322" s="451" cm="1">
        <f t="array" ref="J322">_xll.VAData($B322, J$4, $A322, "consensus", "CD", "IMPL","", "")</f>
        <v>2087.4856755826154</v>
      </c>
      <c r="K322" s="448" cm="1">
        <f t="array" ref="K322">_xll.VAData($B322, K$4, $A322, "consensus", "CD", "IMPL","", "")</f>
        <v>557.97028791684704</v>
      </c>
      <c r="L322" s="448" cm="1">
        <f t="array" ref="L322">_xll.VAData($B322, L$4, $A322, "consensus", "CD", "IMPL","", "")</f>
        <v>239.44922689132699</v>
      </c>
      <c r="M322" s="448" cm="1">
        <f t="array" ref="M322">_xll.VAData($B322, M$4, $A322, "consensus", "CD", "IMPL","", "")</f>
        <v>479.34213264126851</v>
      </c>
      <c r="N322" s="448" cm="1">
        <f t="array" ref="N322">_xll.VAData($B322, N$4, $A322, "consensus", "CD", "IMPL","", "")</f>
        <v>471.68613844330878</v>
      </c>
      <c r="O322" s="451" cm="1">
        <f t="array" ref="O322">_xll.VAData($B322, O$4, $A322, "consensus", "CD", "IMPL","", "")</f>
        <v>1524.8437248974083</v>
      </c>
      <c r="P322" s="448" cm="1">
        <f t="array" ref="P322">_xll.VAData($B322, P$4, $A322, "consensus", "CD", "IMPL","", "")</f>
        <v>786.31188568232676</v>
      </c>
      <c r="Q322" s="448" cm="1">
        <f t="array" ref="Q322">_xll.VAData($B322, Q$4, $A322, "consensus", "CD", "IMPL","", "")</f>
        <v>1142.2266107468031</v>
      </c>
      <c r="R322" s="448" cm="1">
        <f t="array" ref="R322">_xll.VAData($B322, R$4, $A322, "consensus", "CD", "IMPL","", "")</f>
        <v>1166.2256640578562</v>
      </c>
      <c r="S322" s="448" cm="1">
        <f t="array" ref="S322">_xll.VAData($B322, S$4, $A322, "consensus", "CD", "IMPL","", "")</f>
        <v>1170.8780938173702</v>
      </c>
      <c r="T322" s="451" cm="1">
        <f t="array" ref="T322">_xll.VAData($B322, T$4, $A322, "consensus", "CD", "IMPL","", "")</f>
        <v>3848.3598540470866</v>
      </c>
      <c r="U322" s="448" cm="1">
        <f t="array" ref="U322">_xll.VAData($B322, U$4, $A322, "consensus", "CD", "IMPL","", "")</f>
        <v>1647.6604585864361</v>
      </c>
      <c r="V322" s="448" cm="1">
        <f t="array" ref="V322">_xll.VAData($B322, V$4, $A322, "consensus", "CD", "IMPL","", "")</f>
        <v>2060.9234239663119</v>
      </c>
      <c r="W322" s="448" cm="1">
        <f t="array" ref="W322">_xll.VAData($B322, W$4, $A322, "consensus", "CD", "IMPL","", "")</f>
        <v>1897.3523087691819</v>
      </c>
      <c r="X322" s="448" cm="1">
        <f t="array" ref="X322">_xll.VAData($B322, X$4, $A322, "consensus", "CD", "IMPL","", "")</f>
        <v>2148.3193599009041</v>
      </c>
      <c r="Y322" s="451" cm="1">
        <f t="array" ref="Y322">_xll.VAData($B322, Y$4, $A322, "consensus", "CD", "IMPL","", "")</f>
        <v>6936.649118698635</v>
      </c>
      <c r="Z322" s="448" cm="1">
        <f t="array" ref="Z322">_xll.VAData($B322, Z$4, $A322, "consensus", "CD", "IMPL","", "")</f>
        <v>2699.5960868526099</v>
      </c>
      <c r="AA322" s="448" cm="1">
        <f t="array" ref="AA322">_xll.VAData($B322, AA$4, $A322, "consensus", "CD", "IMPL","", "")</f>
        <v>3032.6512020352357</v>
      </c>
      <c r="AB322" s="448" cm="1">
        <f t="array" ref="AB322">_xll.VAData($B322, AB$4, $A322, "consensus", "CD", "IMPL","", "")</f>
        <v>2889.2034797064521</v>
      </c>
      <c r="AC322" s="448" cm="1">
        <f t="array" ref="AC322">_xll.VAData($B322, AC$4, $A322, "consensus", "CD", "IMPL","", "")</f>
        <v>3023.3215104275919</v>
      </c>
      <c r="AD322" s="449" cm="1">
        <f t="array" ref="AD322">_xll.VAData($B322, AD$4, $A322, "consensus", "CD", "IMPL","", "")</f>
        <v>10463.538486404363</v>
      </c>
      <c r="AE322" s="448" cm="1">
        <f t="array" ref="AE322">_xll.VAData($B322, AE$4, $A322, "consensus", "CD", "IMPL","", "")</f>
        <v>3344.4185926250539</v>
      </c>
      <c r="AF322" s="448" cm="1">
        <f t="array" ref="AF322">_xll.VAData($B322, AF$4, $A322, "consensus", "CD", "IMPL","", "")</f>
        <v>3652.1333742027741</v>
      </c>
      <c r="AG322" s="448" cm="1">
        <f t="array" ref="AG322">_xll.VAData($B322, AG$4, $A322, "consensus", "CD", "IMPL","", "")</f>
        <v>3494.0152114974139</v>
      </c>
      <c r="AH322" s="448" cm="1">
        <f t="array" ref="AH322">_xll.VAData($B322, AH$4, $A322, "consensus", "CD", "IMPL","", "")</f>
        <v>3660.3605640838282</v>
      </c>
      <c r="AI322" s="449" cm="1">
        <f t="array" ref="AI322">_xll.VAData($B322, AI$4, $A322, "consensus", "CD", "IMPL","", "")</f>
        <v>12851.253971193504</v>
      </c>
      <c r="AJ322" s="448" cm="1">
        <f t="array" ref="AJ322">_xll.VAData($B322, AJ$4, $A322, "consensus", "CD", "IMPL","", "")</f>
        <v>4908.5603472680104</v>
      </c>
      <c r="AK322" s="448" cm="1">
        <f t="array" ref="AK322">_xll.VAData($B322, AK$4, $A322, "consensus", "CD", "IMPL","", "")</f>
        <v>5382.0127433704856</v>
      </c>
      <c r="AL322" s="448" cm="1">
        <f t="array" ref="AL322">_xll.VAData($B322, AL$4, $A322, "consensus", "CD", "IMPL","", "")</f>
        <v>5466.7456788575046</v>
      </c>
      <c r="AM322" s="448" cm="1">
        <f t="array" ref="AM322">_xll.VAData($B322, AM$4, $A322, "consensus", "CD", "IMPL","", "")</f>
        <v>6242.4621405215994</v>
      </c>
      <c r="AN322" s="449" cm="1">
        <f t="array" ref="AN322">_xll.VAData($B322, AN$4, $A322, "consensus", "CD", "IMPL","", "")</f>
        <v>15370.069241389574</v>
      </c>
      <c r="AO322" s="448" cm="1">
        <f t="array" ref="AO322">_xll.VAData($B322, AO$4, $A322, "consensus", "CD", "IMPL","", "")</f>
        <v>5955.3594072190153</v>
      </c>
      <c r="AP322" s="448" cm="1">
        <f t="array" ref="AP322">_xll.VAData($B322, AP$4, $A322, "consensus", "CD", "IMPL","", "")</f>
        <v>6527.5224694030849</v>
      </c>
      <c r="AQ322" s="448" cm="1">
        <f t="array" ref="AQ322">_xll.VAData($B322, AQ$4, $A322, "consensus", "CD", "IMPL","", "")</f>
        <v>6634.2529547917202</v>
      </c>
      <c r="AR322" s="448" cm="1">
        <f t="array" ref="AR322">_xll.VAData($B322, AR$4, $A322, "consensus", "CD", "IMPL","", "")</f>
        <v>7615.4480637375154</v>
      </c>
      <c r="AS322" s="449" cm="1">
        <f t="array" ref="AS322">_xll.VAData($B322, AS$4, $A322, "consensus", "CD", "IMPL","", "")</f>
        <v>18328.884856340599</v>
      </c>
      <c r="AT322" s="315"/>
      <c r="AU322" s="508"/>
      <c r="AV322" s="143"/>
      <c r="AW322" s="143"/>
      <c r="AX322" s="143"/>
      <c r="AY322" s="143"/>
      <c r="AZ322" s="143"/>
      <c r="BA322" s="143"/>
      <c r="BB322" s="143"/>
      <c r="BC322" s="143"/>
      <c r="BD322" s="143"/>
      <c r="BE322" s="143"/>
      <c r="BF322" s="143"/>
      <c r="BG322" s="143"/>
      <c r="BH322" s="143"/>
      <c r="BI322" s="143"/>
      <c r="BJ322" s="143"/>
      <c r="BK322" s="143"/>
      <c r="BL322" s="143"/>
      <c r="BM322" s="143"/>
      <c r="BN322" s="143"/>
      <c r="BO322" s="143"/>
      <c r="BP322" s="143"/>
      <c r="BQ322" s="143"/>
      <c r="BR322" s="143"/>
      <c r="BS322" s="143"/>
      <c r="BT322" s="143"/>
      <c r="BU322" s="143"/>
      <c r="BV322" s="143"/>
      <c r="BW322" s="143"/>
      <c r="BX322" s="143"/>
      <c r="BY322" s="143"/>
      <c r="BZ322" s="143"/>
      <c r="CA322" s="143"/>
      <c r="CB322" s="143"/>
      <c r="CC322" s="143"/>
      <c r="CD322" s="143"/>
      <c r="CE322" s="143"/>
      <c r="CF322" s="143"/>
      <c r="CG322" s="143"/>
      <c r="CH322" s="143"/>
      <c r="CI322" s="143"/>
      <c r="CJ322" s="143"/>
      <c r="CK322" s="143"/>
      <c r="CL322" s="143"/>
      <c r="CM322" s="143"/>
      <c r="CN322" s="143"/>
      <c r="CO322" s="143"/>
      <c r="CP322" s="143"/>
      <c r="CQ322" s="143"/>
      <c r="CR322" s="143"/>
      <c r="CS322" s="143"/>
      <c r="CT322" s="143"/>
      <c r="CU322" s="143"/>
      <c r="CV322" s="143"/>
      <c r="CW322" s="143"/>
      <c r="CX322" s="143"/>
      <c r="CY322" s="143"/>
      <c r="CZ322" s="143"/>
      <c r="DA322" s="143"/>
      <c r="DB322" s="143"/>
      <c r="DC322" s="143"/>
      <c r="DD322" s="143"/>
      <c r="DE322" s="143"/>
      <c r="DF322" s="143"/>
      <c r="DG322" s="143"/>
      <c r="DH322" s="143"/>
      <c r="DI322" s="143"/>
      <c r="DJ322" s="143"/>
      <c r="DK322" s="143"/>
      <c r="DL322" s="143"/>
      <c r="DM322" s="143"/>
      <c r="DN322" s="143"/>
      <c r="DO322" s="143"/>
      <c r="DP322" s="143"/>
      <c r="DQ322" s="143"/>
      <c r="DR322" s="143"/>
      <c r="DS322" s="143"/>
      <c r="DT322" s="143"/>
      <c r="DU322" s="143"/>
      <c r="DV322" s="143"/>
      <c r="DW322" s="143"/>
      <c r="DX322" s="143"/>
      <c r="DY322" s="143"/>
      <c r="DZ322" s="143"/>
      <c r="EA322" s="143"/>
      <c r="EB322" s="143"/>
      <c r="EC322" s="143"/>
      <c r="ED322" s="143"/>
      <c r="EE322" s="143"/>
      <c r="EF322" s="143"/>
      <c r="EG322" s="143"/>
      <c r="EH322" s="143"/>
      <c r="EI322" s="143"/>
      <c r="EJ322" s="143"/>
      <c r="EK322" s="143"/>
      <c r="EL322" s="143"/>
      <c r="EM322" s="143"/>
      <c r="EN322" s="143"/>
      <c r="EO322" s="143"/>
      <c r="EP322" s="143"/>
      <c r="EQ322" s="143"/>
      <c r="ER322" s="143"/>
      <c r="ES322" s="143"/>
      <c r="ET322" s="143"/>
      <c r="EU322" s="143"/>
      <c r="EV322" s="143"/>
      <c r="EW322" s="143"/>
      <c r="EX322" s="143"/>
      <c r="EY322" s="143"/>
      <c r="EZ322" s="143"/>
      <c r="FA322" s="143"/>
      <c r="FB322" s="143"/>
      <c r="FC322" s="143"/>
      <c r="FD322" s="143"/>
      <c r="FE322" s="143"/>
      <c r="FF322" s="143"/>
      <c r="FG322" s="143"/>
      <c r="FH322" s="143"/>
      <c r="FI322" s="143"/>
      <c r="FJ322" s="143"/>
      <c r="FK322" s="143"/>
      <c r="FL322" s="143"/>
      <c r="FM322" s="143"/>
      <c r="FN322" s="143"/>
      <c r="FO322" s="143"/>
      <c r="FP322" s="143"/>
      <c r="FQ322" s="143"/>
      <c r="FR322" s="143"/>
      <c r="FS322" s="143"/>
      <c r="FT322" s="143"/>
      <c r="FU322" s="143"/>
      <c r="FV322" s="143"/>
      <c r="FW322" s="143"/>
      <c r="FX322" s="143"/>
      <c r="FY322" s="143"/>
      <c r="FZ322" s="143"/>
      <c r="GA322" s="143"/>
      <c r="GB322" s="143"/>
      <c r="GC322" s="143"/>
      <c r="GD322" s="143"/>
      <c r="GE322" s="143"/>
      <c r="GF322" s="143"/>
      <c r="GG322" s="143"/>
      <c r="GH322" s="143"/>
      <c r="GI322" s="143"/>
      <c r="GJ322" s="143"/>
      <c r="GK322" s="143"/>
      <c r="GL322" s="143"/>
      <c r="GM322" s="143"/>
      <c r="GN322" s="143"/>
      <c r="GO322" s="143"/>
      <c r="GP322" s="143"/>
      <c r="GQ322" s="143"/>
      <c r="GR322" s="143"/>
      <c r="GS322" s="143"/>
      <c r="GT322" s="143"/>
      <c r="GU322" s="143"/>
      <c r="GV322" s="143"/>
      <c r="GW322" s="143"/>
      <c r="GX322" s="143"/>
      <c r="GY322" s="143"/>
      <c r="GZ322" s="143"/>
      <c r="HA322" s="143"/>
      <c r="HB322" s="143"/>
      <c r="HC322" s="143"/>
      <c r="HD322" s="143"/>
      <c r="HE322" s="143"/>
      <c r="HF322" s="143"/>
      <c r="HG322" s="143"/>
      <c r="HH322" s="143"/>
      <c r="HI322" s="143"/>
      <c r="HJ322" s="143"/>
      <c r="HK322" s="143"/>
      <c r="HL322" s="143"/>
      <c r="HM322" s="143"/>
      <c r="HN322" s="143"/>
      <c r="HO322" s="143"/>
      <c r="HP322" s="143"/>
      <c r="HQ322" s="143"/>
      <c r="HR322" s="143"/>
      <c r="HS322" s="143"/>
      <c r="HT322" s="143"/>
      <c r="HU322" s="143"/>
      <c r="HV322" s="143"/>
      <c r="HW322" s="143"/>
      <c r="HX322" s="143"/>
      <c r="HY322" s="143"/>
      <c r="HZ322" s="143"/>
      <c r="IA322" s="143"/>
      <c r="IB322" s="143"/>
      <c r="IC322" s="143"/>
      <c r="ID322" s="143"/>
      <c r="IE322" s="143"/>
      <c r="IF322" s="143"/>
      <c r="IG322" s="143"/>
      <c r="IH322" s="143"/>
      <c r="II322" s="143"/>
      <c r="IJ322" s="143"/>
      <c r="IK322" s="143"/>
      <c r="IL322" s="143"/>
      <c r="IM322" s="143"/>
      <c r="IN322" s="143"/>
      <c r="IO322" s="143"/>
      <c r="IP322" s="143"/>
      <c r="IQ322" s="143"/>
      <c r="IR322" s="143"/>
      <c r="IS322" s="143"/>
      <c r="IT322" s="143"/>
      <c r="IU322" s="143"/>
      <c r="IV322" s="143"/>
      <c r="IW322" s="143"/>
      <c r="IX322" s="143"/>
      <c r="IY322" s="143"/>
      <c r="IZ322" s="143"/>
      <c r="JA322" s="143"/>
      <c r="JB322" s="143"/>
      <c r="JC322" s="143"/>
      <c r="JD322" s="143"/>
      <c r="JE322" s="143"/>
      <c r="JF322" s="143"/>
      <c r="JG322" s="143"/>
      <c r="JH322" s="143"/>
      <c r="JI322" s="143"/>
    </row>
    <row r="323" spans="1:269" hidden="1" outlineLevel="1">
      <c r="A323" s="419" t="s">
        <v>219</v>
      </c>
      <c r="B323" s="143" t="s">
        <v>226</v>
      </c>
      <c r="C323" s="451" cm="1">
        <f t="array" ref="C323">_xll.VAData($B323, C$4, $A323, "consensus", "CD", "IMPL","", "")</f>
        <v>7.3332129499749374</v>
      </c>
      <c r="D323" s="451" cm="1">
        <f t="array" ref="D323">_xll.VAData($B323, D$4, $A323, "consensus", "CD", "IMPL","", "")</f>
        <v>7.015128832484911</v>
      </c>
      <c r="E323" s="451" cm="1">
        <f t="array" ref="E323">_xll.VAData($B323, E$4, $A323, "consensus", "CD", "IMPL","", "")</f>
        <v>7.4729011107413434</v>
      </c>
      <c r="F323" s="448" cm="1">
        <f t="array" ref="F323">_xll.VAData($B323, F$4, $A323, "consensus", "CD", "IMPL","", "")</f>
        <v>1.9640267224330428</v>
      </c>
      <c r="G323" s="448" cm="1">
        <f t="array" ref="G323">_xll.VAData($B323, G$4, $A323, "consensus", "CD", "IMPL","", "")</f>
        <v>1.9761892377045274</v>
      </c>
      <c r="H323" s="448" cm="1">
        <f t="array" ref="H323">_xll.VAData($B323, H$4, $A323, "consensus", "CD", "IMPL","", "")</f>
        <v>1.9549403649507684</v>
      </c>
      <c r="I323" s="448" cm="1">
        <f t="array" ref="I323">_xll.VAData($B323, I$4, $A323, "consensus", "CD", "IMPL","", "")</f>
        <v>1.9580736265064831</v>
      </c>
      <c r="J323" s="451" cm="1">
        <f t="array" ref="J323">_xll.VAData($B323, J$4, $A323, "consensus", "CD", "IMPL","", "")</f>
        <v>7.8582197921298533</v>
      </c>
      <c r="K323" s="448" cm="1">
        <f t="array" ref="K323">_xll.VAData($B323, K$4, $A323, "consensus", "CD", "IMPL","", "")</f>
        <v>1.909612919263763</v>
      </c>
      <c r="L323" s="448" cm="1">
        <f t="array" ref="L323">_xll.VAData($B323, L$4, $A323, "consensus", "CD", "IMPL","", "")</f>
        <v>0.82656501275266137</v>
      </c>
      <c r="M323" s="448" cm="1">
        <f t="array" ref="M323">_xll.VAData($B323, M$4, $A323, "consensus", "CD", "IMPL","", "")</f>
        <v>1.8482850567729139</v>
      </c>
      <c r="N323" s="448" cm="1">
        <f t="array" ref="N323">_xll.VAData($B323, N$4, $A323, "consensus", "CD", "IMPL","", "")</f>
        <v>1.9850852699871173</v>
      </c>
      <c r="O323" s="451" cm="1">
        <f t="array" ref="O323">_xll.VAData($B323, O$4, $A323, "consensus", "CD", "IMPL","", "")</f>
        <v>6.5701851918538701</v>
      </c>
      <c r="P323" s="448" cm="1">
        <f t="array" ref="P323">_xll.VAData($B323, P$4, $A323, "consensus", "CD", "IMPL","", "")</f>
        <v>2.8919555754598925</v>
      </c>
      <c r="Q323" s="448" cm="1">
        <f t="array" ref="Q323">_xll.VAData($B323, Q$4, $A323, "consensus", "CD", "IMPL","", "")</f>
        <v>4.0663929150463911</v>
      </c>
      <c r="R323" s="448" cm="1">
        <f t="array" ref="R323">_xll.VAData($B323, R$4, $A323, "consensus", "CD", "IMPL","", "")</f>
        <v>4.0364422483117686</v>
      </c>
      <c r="S323" s="448" cm="1">
        <f t="array" ref="S323">_xll.VAData($B323, S$4, $A323, "consensus", "CD", "IMPL","", "")</f>
        <v>4.0249852961815602</v>
      </c>
      <c r="T323" s="451" cm="1">
        <f t="array" ref="T323">_xll.VAData($B323, T$4, $A323, "consensus", "CD", "IMPL","", "")</f>
        <v>15.027466495466179</v>
      </c>
      <c r="U323" s="448" cm="1">
        <f t="array" ref="U323">_xll.VAData($B323, U$4, $A323, "consensus", "CD", "IMPL","", "")</f>
        <v>4.9315052114360105</v>
      </c>
      <c r="V323" s="448" cm="1">
        <f t="array" ref="V323">_xll.VAData($B323, V$4, $A323, "consensus", "CD", "IMPL","", "")</f>
        <v>5.902795845926514</v>
      </c>
      <c r="W323" s="448" cm="1">
        <f t="array" ref="W323">_xll.VAData($B323, W$4, $A323, "consensus", "CD", "IMPL","", "")</f>
        <v>6.1650999245225977</v>
      </c>
      <c r="X323" s="448" cm="1">
        <f t="array" ref="X323">_xll.VAData($B323, X$4, $A323, "consensus", "CD", "IMPL","", "")</f>
        <v>6.1681290311109986</v>
      </c>
      <c r="Y323" s="451" cm="1">
        <f t="array" ref="Y323">_xll.VAData($B323, Y$4, $A323, "consensus", "CD", "IMPL","", "")</f>
        <v>23.158712643891061</v>
      </c>
      <c r="Z323" s="448" cm="1">
        <f t="array" ref="Z323">_xll.VAData($B323, Z$4, $A323, "consensus", "CD", "IMPL","", "")</f>
        <v>8.0660207536408297</v>
      </c>
      <c r="AA323" s="448" cm="1">
        <f t="array" ref="AA323">_xll.VAData($B323, AA$4, $A323, "consensus", "CD", "IMPL","", "")</f>
        <v>8.9301737483952337</v>
      </c>
      <c r="AB323" s="448" cm="1">
        <f t="array" ref="AB323">_xll.VAData($B323, AB$4, $A323, "consensus", "CD", "IMPL","", "")</f>
        <v>9.129055778162865</v>
      </c>
      <c r="AC323" s="448" cm="1">
        <f t="array" ref="AC323">_xll.VAData($B323, AC$4, $A323, "consensus", "CD", "IMPL","", "")</f>
        <v>8.6641131334224983</v>
      </c>
      <c r="AD323" s="449" cm="1">
        <f t="array" ref="AD323">_xll.VAData($B323, AD$4, $A323, "consensus", "CD", "IMPL","", "")</f>
        <v>34.836590595981534</v>
      </c>
      <c r="AE323" s="448" cm="1">
        <f t="array" ref="AE323">_xll.VAData($B323, AE$4, $A323, "consensus", "CD", "IMPL","", "")</f>
        <v>9.6802026319096477</v>
      </c>
      <c r="AF323" s="448" cm="1">
        <f t="array" ref="AF323">_xll.VAData($B323, AF$4, $A323, "consensus", "CD", "IMPL","", "")</f>
        <v>10.436775489698734</v>
      </c>
      <c r="AG323" s="448" cm="1">
        <f t="array" ref="AG323">_xll.VAData($B323, AG$4, $A323, "consensus", "CD", "IMPL","", "")</f>
        <v>10.592880073370425</v>
      </c>
      <c r="AH323" s="448" cm="1">
        <f t="array" ref="AH323">_xll.VAData($B323, AH$4, $A323, "consensus", "CD", "IMPL","", "")</f>
        <v>10.51107100308065</v>
      </c>
      <c r="AI323" s="449" cm="1">
        <f t="array" ref="AI323">_xll.VAData($B323, AI$4, $A323, "consensus", "CD", "IMPL","", "")</f>
        <v>41.905587251522178</v>
      </c>
      <c r="AJ323" s="448" cm="1">
        <f t="array" ref="AJ323">_xll.VAData($B323, AJ$4, $A323, "consensus", "CD", "IMPL","", "")</f>
        <v>10.298465852408315</v>
      </c>
      <c r="AK323" s="448" cm="1">
        <f t="array" ref="AK323">_xll.VAData($B323, AK$4, $A323, "consensus", "CD", "IMPL","", "")</f>
        <v>11.16215259866199</v>
      </c>
      <c r="AL323" s="448" cm="1">
        <f t="array" ref="AL323">_xll.VAData($B323, AL$4, $A323, "consensus", "CD", "IMPL","", "")</f>
        <v>11.309596678745882</v>
      </c>
      <c r="AM323" s="448" cm="1">
        <f t="array" ref="AM323">_xll.VAData($B323, AM$4, $A323, "consensus", "CD", "IMPL","", "")</f>
        <v>11.863078786653908</v>
      </c>
      <c r="AN323" s="449" cm="1">
        <f t="array" ref="AN323">_xll.VAData($B323, AN$4, $A323, "consensus", "CD", "IMPL","", "")</f>
        <v>53.45768213588002</v>
      </c>
      <c r="AO323" s="448" cm="1">
        <f t="array" ref="AO323">_xll.VAData($B323, AO$4, $A323, "consensus", "CD", "IMPL","", "")</f>
        <v>14.03394573383745</v>
      </c>
      <c r="AP323" s="448" cm="1">
        <f t="array" ref="AP323">_xll.VAData($B323, AP$4, $A323, "consensus", "CD", "IMPL","", "")</f>
        <v>15.121663403177525</v>
      </c>
      <c r="AQ323" s="448" cm="1">
        <f t="array" ref="AQ323">_xll.VAData($B323, AQ$4, $A323, "consensus", "CD", "IMPL","", "")</f>
        <v>15.451253312127649</v>
      </c>
      <c r="AR323" s="448" cm="1">
        <f t="array" ref="AR323">_xll.VAData($B323, AR$4, $A323, "consensus", "CD", "IMPL","", "")</f>
        <v>16.534328745543924</v>
      </c>
      <c r="AS323" s="449" cm="1">
        <f t="array" ref="AS323">_xll.VAData($B323, AS$4, $A323, "consensus", "CD", "IMPL","", "")</f>
        <v>62.640434463363135</v>
      </c>
      <c r="AT323" s="315"/>
      <c r="AU323" s="508"/>
      <c r="AV323" s="143"/>
      <c r="AW323" s="143"/>
      <c r="AX323" s="143"/>
      <c r="AY323" s="143"/>
      <c r="AZ323" s="143"/>
      <c r="BA323" s="143"/>
      <c r="BB323" s="143"/>
      <c r="BC323" s="143"/>
      <c r="BD323" s="143"/>
      <c r="BE323" s="143"/>
      <c r="BF323" s="143"/>
      <c r="BG323" s="143"/>
      <c r="BH323" s="143"/>
      <c r="BI323" s="143"/>
      <c r="BJ323" s="143"/>
      <c r="BK323" s="143"/>
      <c r="BL323" s="143"/>
      <c r="BM323" s="143"/>
      <c r="BN323" s="143"/>
      <c r="BO323" s="143"/>
      <c r="BP323" s="143"/>
      <c r="BQ323" s="143"/>
      <c r="BR323" s="143"/>
      <c r="BS323" s="143"/>
      <c r="BT323" s="143"/>
      <c r="BU323" s="143"/>
      <c r="BV323" s="143"/>
      <c r="BW323" s="143"/>
      <c r="BX323" s="143"/>
      <c r="BY323" s="143"/>
      <c r="BZ323" s="143"/>
      <c r="CA323" s="143"/>
      <c r="CB323" s="143"/>
      <c r="CC323" s="143"/>
      <c r="CD323" s="143"/>
      <c r="CE323" s="143"/>
      <c r="CF323" s="143"/>
      <c r="CG323" s="143"/>
      <c r="CH323" s="143"/>
      <c r="CI323" s="143"/>
      <c r="CJ323" s="143"/>
      <c r="CK323" s="143"/>
      <c r="CL323" s="143"/>
      <c r="CM323" s="143"/>
      <c r="CN323" s="143"/>
      <c r="CO323" s="143"/>
      <c r="CP323" s="143"/>
      <c r="CQ323" s="143"/>
      <c r="CR323" s="143"/>
      <c r="CS323" s="143"/>
      <c r="CT323" s="143"/>
      <c r="CU323" s="143"/>
      <c r="CV323" s="143"/>
      <c r="CW323" s="143"/>
      <c r="CX323" s="143"/>
      <c r="CY323" s="143"/>
      <c r="CZ323" s="143"/>
      <c r="DA323" s="143"/>
      <c r="DB323" s="143"/>
      <c r="DC323" s="143"/>
      <c r="DD323" s="143"/>
      <c r="DE323" s="143"/>
      <c r="DF323" s="143"/>
      <c r="DG323" s="143"/>
      <c r="DH323" s="143"/>
      <c r="DI323" s="143"/>
      <c r="DJ323" s="143"/>
      <c r="DK323" s="143"/>
      <c r="DL323" s="143"/>
      <c r="DM323" s="143"/>
      <c r="DN323" s="143"/>
      <c r="DO323" s="143"/>
      <c r="DP323" s="143"/>
      <c r="DQ323" s="143"/>
      <c r="DR323" s="143"/>
      <c r="DS323" s="143"/>
      <c r="DT323" s="143"/>
      <c r="DU323" s="143"/>
      <c r="DV323" s="143"/>
      <c r="DW323" s="143"/>
      <c r="DX323" s="143"/>
      <c r="DY323" s="143"/>
      <c r="DZ323" s="143"/>
      <c r="EA323" s="143"/>
      <c r="EB323" s="143"/>
      <c r="EC323" s="143"/>
      <c r="ED323" s="143"/>
      <c r="EE323" s="143"/>
      <c r="EF323" s="143"/>
      <c r="EG323" s="143"/>
      <c r="EH323" s="143"/>
      <c r="EI323" s="143"/>
      <c r="EJ323" s="143"/>
      <c r="EK323" s="143"/>
      <c r="EL323" s="143"/>
      <c r="EM323" s="143"/>
      <c r="EN323" s="143"/>
      <c r="EO323" s="143"/>
      <c r="EP323" s="143"/>
      <c r="EQ323" s="143"/>
      <c r="ER323" s="143"/>
      <c r="ES323" s="143"/>
      <c r="ET323" s="143"/>
      <c r="EU323" s="143"/>
      <c r="EV323" s="143"/>
      <c r="EW323" s="143"/>
      <c r="EX323" s="143"/>
      <c r="EY323" s="143"/>
      <c r="EZ323" s="143"/>
      <c r="FA323" s="143"/>
      <c r="FB323" s="143"/>
      <c r="FC323" s="143"/>
      <c r="FD323" s="143"/>
      <c r="FE323" s="143"/>
      <c r="FF323" s="143"/>
      <c r="FG323" s="143"/>
      <c r="FH323" s="143"/>
      <c r="FI323" s="143"/>
      <c r="FJ323" s="143"/>
      <c r="FK323" s="143"/>
      <c r="FL323" s="143"/>
      <c r="FM323" s="143"/>
      <c r="FN323" s="143"/>
      <c r="FO323" s="143"/>
      <c r="FP323" s="143"/>
      <c r="FQ323" s="143"/>
      <c r="FR323" s="143"/>
      <c r="FS323" s="143"/>
      <c r="FT323" s="143"/>
      <c r="FU323" s="143"/>
      <c r="FV323" s="143"/>
      <c r="FW323" s="143"/>
      <c r="FX323" s="143"/>
      <c r="FY323" s="143"/>
      <c r="FZ323" s="143"/>
      <c r="GA323" s="143"/>
      <c r="GB323" s="143"/>
      <c r="GC323" s="143"/>
      <c r="GD323" s="143"/>
      <c r="GE323" s="143"/>
      <c r="GF323" s="143"/>
      <c r="GG323" s="143"/>
      <c r="GH323" s="143"/>
      <c r="GI323" s="143"/>
      <c r="GJ323" s="143"/>
      <c r="GK323" s="143"/>
      <c r="GL323" s="143"/>
      <c r="GM323" s="143"/>
      <c r="GN323" s="143"/>
      <c r="GO323" s="143"/>
      <c r="GP323" s="143"/>
      <c r="GQ323" s="143"/>
      <c r="GR323" s="143"/>
      <c r="GS323" s="143"/>
      <c r="GT323" s="143"/>
      <c r="GU323" s="143"/>
      <c r="GV323" s="143"/>
      <c r="GW323" s="143"/>
      <c r="GX323" s="143"/>
      <c r="GY323" s="143"/>
      <c r="GZ323" s="143"/>
      <c r="HA323" s="143"/>
      <c r="HB323" s="143"/>
      <c r="HC323" s="143"/>
      <c r="HD323" s="143"/>
      <c r="HE323" s="143"/>
      <c r="HF323" s="143"/>
      <c r="HG323" s="143"/>
      <c r="HH323" s="143"/>
      <c r="HI323" s="143"/>
      <c r="HJ323" s="143"/>
      <c r="HK323" s="143"/>
      <c r="HL323" s="143"/>
      <c r="HM323" s="143"/>
      <c r="HN323" s="143"/>
      <c r="HO323" s="143"/>
      <c r="HP323" s="143"/>
      <c r="HQ323" s="143"/>
      <c r="HR323" s="143"/>
      <c r="HS323" s="143"/>
      <c r="HT323" s="143"/>
      <c r="HU323" s="143"/>
      <c r="HV323" s="143"/>
      <c r="HW323" s="143"/>
      <c r="HX323" s="143"/>
      <c r="HY323" s="143"/>
      <c r="HZ323" s="143"/>
      <c r="IA323" s="143"/>
      <c r="IB323" s="143"/>
      <c r="IC323" s="143"/>
      <c r="ID323" s="143"/>
      <c r="IE323" s="143"/>
      <c r="IF323" s="143"/>
      <c r="IG323" s="143"/>
      <c r="IH323" s="143"/>
      <c r="II323" s="143"/>
      <c r="IJ323" s="143"/>
      <c r="IK323" s="143"/>
      <c r="IL323" s="143"/>
      <c r="IM323" s="143"/>
      <c r="IN323" s="143"/>
      <c r="IO323" s="143"/>
      <c r="IP323" s="143"/>
      <c r="IQ323" s="143"/>
      <c r="IR323" s="143"/>
      <c r="IS323" s="143"/>
      <c r="IT323" s="143"/>
      <c r="IU323" s="143"/>
      <c r="IV323" s="143"/>
      <c r="IW323" s="143"/>
      <c r="IX323" s="143"/>
      <c r="IY323" s="143"/>
      <c r="IZ323" s="143"/>
      <c r="JA323" s="143"/>
      <c r="JB323" s="143"/>
      <c r="JC323" s="143"/>
      <c r="JD323" s="143"/>
      <c r="JE323" s="143"/>
      <c r="JF323" s="143"/>
      <c r="JG323" s="143"/>
      <c r="JH323" s="143"/>
      <c r="JI323" s="143"/>
    </row>
    <row r="324" spans="1:269" hidden="1" outlineLevel="1">
      <c r="A324" s="470" t="s">
        <v>225</v>
      </c>
      <c r="B324" s="143"/>
      <c r="C324" s="316">
        <f t="shared" ref="C324" si="561">C322/C323</f>
        <v>257.19326911095806</v>
      </c>
      <c r="D324" s="316">
        <f t="shared" ref="D324" si="562">D322/D323</f>
        <v>250.89026720086136</v>
      </c>
      <c r="E324" s="316">
        <f t="shared" ref="E324:J324" si="563">E322/E323</f>
        <v>257.56829265776526</v>
      </c>
      <c r="F324" s="280">
        <f t="shared" si="563"/>
        <v>305.76473099323584</v>
      </c>
      <c r="G324" s="280">
        <f t="shared" si="563"/>
        <v>308.66825522726083</v>
      </c>
      <c r="H324" s="280">
        <f t="shared" si="563"/>
        <v>312.47066922359414</v>
      </c>
      <c r="I324" s="280">
        <f t="shared" si="563"/>
        <v>296.3898662360649</v>
      </c>
      <c r="J324" s="316">
        <f t="shared" si="563"/>
        <v>265.64358478153912</v>
      </c>
      <c r="K324" s="280">
        <f t="shared" ref="K324:AS324" si="564">K322/K323</f>
        <v>292.19025609230187</v>
      </c>
      <c r="L324" s="280">
        <f t="shared" si="564"/>
        <v>289.69194582033316</v>
      </c>
      <c r="M324" s="280">
        <f t="shared" si="564"/>
        <v>259.3442666674992</v>
      </c>
      <c r="N324" s="280">
        <f t="shared" si="564"/>
        <v>237.61505139090065</v>
      </c>
      <c r="O324" s="316">
        <f t="shared" si="564"/>
        <v>232.08534925134313</v>
      </c>
      <c r="P324" s="280">
        <f t="shared" si="564"/>
        <v>271.89625330163784</v>
      </c>
      <c r="Q324" s="280">
        <f t="shared" si="564"/>
        <v>280.8943047584894</v>
      </c>
      <c r="R324" s="280">
        <f t="shared" si="564"/>
        <v>288.92415456845123</v>
      </c>
      <c r="S324" s="280">
        <f t="shared" si="564"/>
        <v>290.90245247061245</v>
      </c>
      <c r="T324" s="316">
        <f t="shared" si="564"/>
        <v>256.08840021091686</v>
      </c>
      <c r="U324" s="280">
        <f t="shared" si="564"/>
        <v>334.1090372905947</v>
      </c>
      <c r="V324" s="280">
        <f t="shared" si="564"/>
        <v>349.14360546427224</v>
      </c>
      <c r="W324" s="280">
        <f t="shared" si="564"/>
        <v>307.75694343934026</v>
      </c>
      <c r="X324" s="280">
        <f t="shared" si="564"/>
        <v>348.29351802874828</v>
      </c>
      <c r="Y324" s="316">
        <f t="shared" si="564"/>
        <v>299.52654214259292</v>
      </c>
      <c r="Z324" s="280">
        <f t="shared" si="564"/>
        <v>334.68747097310279</v>
      </c>
      <c r="AA324" s="280">
        <f t="shared" si="564"/>
        <v>339.59599079247567</v>
      </c>
      <c r="AB324" s="280">
        <f t="shared" si="564"/>
        <v>316.48437143056611</v>
      </c>
      <c r="AC324" s="280">
        <f t="shared" si="564"/>
        <v>348.94760304605109</v>
      </c>
      <c r="AD324" s="320">
        <f t="shared" si="564"/>
        <v>300.36057798409672</v>
      </c>
      <c r="AE324" s="280">
        <f t="shared" si="564"/>
        <v>345.49055632374592</v>
      </c>
      <c r="AF324" s="280">
        <f t="shared" si="564"/>
        <v>349.92928398311227</v>
      </c>
      <c r="AG324" s="280">
        <f t="shared" si="564"/>
        <v>329.8456309612211</v>
      </c>
      <c r="AH324" s="280">
        <f t="shared" si="564"/>
        <v>348.23859176776818</v>
      </c>
      <c r="AI324" s="320">
        <f t="shared" si="564"/>
        <v>306.67161145025347</v>
      </c>
      <c r="AJ324" s="280">
        <f t="shared" si="564"/>
        <v>476.63024936089238</v>
      </c>
      <c r="AK324" s="280">
        <f t="shared" si="564"/>
        <v>482.16620367792041</v>
      </c>
      <c r="AL324" s="280">
        <f t="shared" si="564"/>
        <v>483.37229294225466</v>
      </c>
      <c r="AM324" s="280">
        <f t="shared" si="564"/>
        <v>526.20927946162146</v>
      </c>
      <c r="AN324" s="320">
        <f t="shared" si="564"/>
        <v>287.51843752449952</v>
      </c>
      <c r="AO324" s="280">
        <f t="shared" si="564"/>
        <v>424.35388593957305</v>
      </c>
      <c r="AP324" s="280">
        <f t="shared" si="564"/>
        <v>431.66695986841319</v>
      </c>
      <c r="AQ324" s="280">
        <f t="shared" si="564"/>
        <v>429.3666552980859</v>
      </c>
      <c r="AR324" s="280">
        <f t="shared" si="564"/>
        <v>460.58404794872081</v>
      </c>
      <c r="AS324" s="320">
        <f t="shared" si="564"/>
        <v>292.60468918140594</v>
      </c>
      <c r="AT324" s="315"/>
      <c r="AU324" s="508"/>
      <c r="AV324" s="143"/>
      <c r="AW324" s="143"/>
      <c r="AX324" s="143"/>
      <c r="AY324" s="143"/>
      <c r="AZ324" s="143"/>
      <c r="BA324" s="143"/>
      <c r="BB324" s="143"/>
      <c r="BC324" s="143"/>
      <c r="BD324" s="143"/>
      <c r="BE324" s="143"/>
      <c r="BF324" s="143"/>
      <c r="BG324" s="143"/>
      <c r="BH324" s="143"/>
      <c r="BI324" s="143"/>
      <c r="BJ324" s="143"/>
      <c r="BK324" s="143"/>
      <c r="BL324" s="143"/>
      <c r="BM324" s="143"/>
      <c r="BN324" s="143"/>
      <c r="BO324" s="143"/>
      <c r="BP324" s="143"/>
      <c r="BQ324" s="143"/>
      <c r="BR324" s="143"/>
      <c r="BS324" s="143"/>
      <c r="BT324" s="143"/>
      <c r="BU324" s="143"/>
      <c r="BV324" s="143"/>
      <c r="BW324" s="143"/>
      <c r="BX324" s="143"/>
      <c r="BY324" s="143"/>
      <c r="BZ324" s="143"/>
      <c r="CA324" s="143"/>
      <c r="CB324" s="143"/>
      <c r="CC324" s="143"/>
      <c r="CD324" s="143"/>
      <c r="CE324" s="143"/>
      <c r="CF324" s="143"/>
      <c r="CG324" s="143"/>
      <c r="CH324" s="143"/>
      <c r="CI324" s="143"/>
      <c r="CJ324" s="143"/>
      <c r="CK324" s="143"/>
      <c r="CL324" s="143"/>
      <c r="CM324" s="143"/>
      <c r="CN324" s="143"/>
      <c r="CO324" s="143"/>
      <c r="CP324" s="143"/>
      <c r="CQ324" s="143"/>
      <c r="CR324" s="143"/>
      <c r="CS324" s="143"/>
      <c r="CT324" s="143"/>
      <c r="CU324" s="143"/>
      <c r="CV324" s="143"/>
      <c r="CW324" s="143"/>
      <c r="CX324" s="143"/>
      <c r="CY324" s="143"/>
      <c r="CZ324" s="143"/>
      <c r="DA324" s="143"/>
      <c r="DB324" s="143"/>
      <c r="DC324" s="143"/>
      <c r="DD324" s="143"/>
      <c r="DE324" s="143"/>
      <c r="DF324" s="143"/>
      <c r="DG324" s="143"/>
      <c r="DH324" s="143"/>
      <c r="DI324" s="143"/>
      <c r="DJ324" s="143"/>
      <c r="DK324" s="143"/>
      <c r="DL324" s="143"/>
      <c r="DM324" s="143"/>
      <c r="DN324" s="143"/>
      <c r="DO324" s="143"/>
      <c r="DP324" s="143"/>
      <c r="DQ324" s="143"/>
      <c r="DR324" s="143"/>
      <c r="DS324" s="143"/>
      <c r="DT324" s="143"/>
      <c r="DU324" s="143"/>
      <c r="DV324" s="143"/>
      <c r="DW324" s="143"/>
      <c r="DX324" s="143"/>
      <c r="DY324" s="143"/>
      <c r="DZ324" s="143"/>
      <c r="EA324" s="143"/>
      <c r="EB324" s="143"/>
      <c r="EC324" s="143"/>
      <c r="ED324" s="143"/>
      <c r="EE324" s="143"/>
      <c r="EF324" s="143"/>
      <c r="EG324" s="143"/>
      <c r="EH324" s="143"/>
      <c r="EI324" s="143"/>
      <c r="EJ324" s="143"/>
      <c r="EK324" s="143"/>
      <c r="EL324" s="143"/>
      <c r="EM324" s="143"/>
      <c r="EN324" s="143"/>
      <c r="EO324" s="143"/>
      <c r="EP324" s="143"/>
      <c r="EQ324" s="143"/>
      <c r="ER324" s="143"/>
      <c r="ES324" s="143"/>
      <c r="ET324" s="143"/>
      <c r="EU324" s="143"/>
      <c r="EV324" s="143"/>
      <c r="EW324" s="143"/>
      <c r="EX324" s="143"/>
      <c r="EY324" s="143"/>
      <c r="EZ324" s="143"/>
      <c r="FA324" s="143"/>
      <c r="FB324" s="143"/>
      <c r="FC324" s="143"/>
      <c r="FD324" s="143"/>
      <c r="FE324" s="143"/>
      <c r="FF324" s="143"/>
      <c r="FG324" s="143"/>
      <c r="FH324" s="143"/>
      <c r="FI324" s="143"/>
      <c r="FJ324" s="143"/>
      <c r="FK324" s="143"/>
      <c r="FL324" s="143"/>
      <c r="FM324" s="143"/>
      <c r="FN324" s="143"/>
      <c r="FO324" s="143"/>
      <c r="FP324" s="143"/>
      <c r="FQ324" s="143"/>
      <c r="FR324" s="143"/>
      <c r="FS324" s="143"/>
      <c r="FT324" s="143"/>
      <c r="FU324" s="143"/>
      <c r="FV324" s="143"/>
      <c r="FW324" s="143"/>
      <c r="FX324" s="143"/>
      <c r="FY324" s="143"/>
      <c r="FZ324" s="143"/>
      <c r="GA324" s="143"/>
      <c r="GB324" s="143"/>
      <c r="GC324" s="143"/>
      <c r="GD324" s="143"/>
      <c r="GE324" s="143"/>
      <c r="GF324" s="143"/>
      <c r="GG324" s="143"/>
      <c r="GH324" s="143"/>
      <c r="GI324" s="143"/>
      <c r="GJ324" s="143"/>
      <c r="GK324" s="143"/>
      <c r="GL324" s="143"/>
      <c r="GM324" s="143"/>
      <c r="GN324" s="143"/>
      <c r="GO324" s="143"/>
      <c r="GP324" s="143"/>
      <c r="GQ324" s="143"/>
      <c r="GR324" s="143"/>
      <c r="GS324" s="143"/>
      <c r="GT324" s="143"/>
      <c r="GU324" s="143"/>
      <c r="GV324" s="143"/>
      <c r="GW324" s="143"/>
      <c r="GX324" s="143"/>
      <c r="GY324" s="143"/>
      <c r="GZ324" s="143"/>
      <c r="HA324" s="143"/>
      <c r="HB324" s="143"/>
      <c r="HC324" s="143"/>
      <c r="HD324" s="143"/>
      <c r="HE324" s="143"/>
      <c r="HF324" s="143"/>
      <c r="HG324" s="143"/>
      <c r="HH324" s="143"/>
      <c r="HI324" s="143"/>
      <c r="HJ324" s="143"/>
      <c r="HK324" s="143"/>
      <c r="HL324" s="143"/>
      <c r="HM324" s="143"/>
      <c r="HN324" s="143"/>
      <c r="HO324" s="143"/>
      <c r="HP324" s="143"/>
      <c r="HQ324" s="143"/>
      <c r="HR324" s="143"/>
      <c r="HS324" s="143"/>
      <c r="HT324" s="143"/>
      <c r="HU324" s="143"/>
      <c r="HV324" s="143"/>
      <c r="HW324" s="143"/>
      <c r="HX324" s="143"/>
      <c r="HY324" s="143"/>
      <c r="HZ324" s="143"/>
      <c r="IA324" s="143"/>
      <c r="IB324" s="143"/>
      <c r="IC324" s="143"/>
      <c r="ID324" s="143"/>
      <c r="IE324" s="143"/>
      <c r="IF324" s="143"/>
      <c r="IG324" s="143"/>
      <c r="IH324" s="143"/>
      <c r="II324" s="143"/>
      <c r="IJ324" s="143"/>
      <c r="IK324" s="143"/>
      <c r="IL324" s="143"/>
      <c r="IM324" s="143"/>
      <c r="IN324" s="143"/>
      <c r="IO324" s="143"/>
      <c r="IP324" s="143"/>
      <c r="IQ324" s="143"/>
      <c r="IR324" s="143"/>
      <c r="IS324" s="143"/>
      <c r="IT324" s="143"/>
      <c r="IU324" s="143"/>
      <c r="IV324" s="143"/>
      <c r="IW324" s="143"/>
      <c r="IX324" s="143"/>
      <c r="IY324" s="143"/>
      <c r="IZ324" s="143"/>
      <c r="JA324" s="143"/>
      <c r="JB324" s="143"/>
      <c r="JC324" s="143"/>
      <c r="JD324" s="143"/>
      <c r="JE324" s="143"/>
      <c r="JF324" s="143"/>
      <c r="JG324" s="143"/>
      <c r="JH324" s="143"/>
      <c r="JI324" s="143"/>
    </row>
    <row r="325" spans="1:269" hidden="1" outlineLevel="1">
      <c r="A325" s="425" t="s">
        <v>205</v>
      </c>
      <c r="B325" s="143"/>
      <c r="C325" s="417" t="e">
        <f>C324/#REF!-1</f>
        <v>#REF!</v>
      </c>
      <c r="D325" s="417" t="e">
        <f>D324/#REF!-1</f>
        <v>#REF!</v>
      </c>
      <c r="E325" s="417" t="e">
        <f>E324/#REF!-1</f>
        <v>#REF!</v>
      </c>
      <c r="F325" s="414" t="e">
        <f>F324/#REF!-1</f>
        <v>#REF!</v>
      </c>
      <c r="G325" s="414" t="e">
        <f>G324/#REF!-1</f>
        <v>#REF!</v>
      </c>
      <c r="H325" s="414" t="e">
        <f>H324/#REF!-1</f>
        <v>#REF!</v>
      </c>
      <c r="I325" s="414" t="e">
        <f>I324/#REF!-1</f>
        <v>#REF!</v>
      </c>
      <c r="J325" s="417" t="e">
        <f>J324/#REF!-1</f>
        <v>#REF!</v>
      </c>
      <c r="K325" s="414" t="e">
        <f>K324/#REF!-1</f>
        <v>#REF!</v>
      </c>
      <c r="L325" s="414" t="e">
        <f>L324/#REF!-1</f>
        <v>#REF!</v>
      </c>
      <c r="M325" s="414" t="e">
        <f>M324/#REF!-1</f>
        <v>#REF!</v>
      </c>
      <c r="N325" s="414" t="e">
        <f>N324/#REF!-1</f>
        <v>#REF!</v>
      </c>
      <c r="O325" s="417" t="e">
        <f>O324/#REF!-1</f>
        <v>#REF!</v>
      </c>
      <c r="P325" s="414">
        <f t="shared" ref="P325" si="565">P324/K324-1</f>
        <v>-6.9454755480460761E-2</v>
      </c>
      <c r="Q325" s="414">
        <f t="shared" ref="Q325" si="566">Q324/L324-1</f>
        <v>-3.0368952912829927E-2</v>
      </c>
      <c r="R325" s="414">
        <f t="shared" ref="R325" si="567">R324/M324-1</f>
        <v>0.11405645584938218</v>
      </c>
      <c r="S325" s="414">
        <f t="shared" ref="S325" si="568">S324/N324-1</f>
        <v>0.22425936727403961</v>
      </c>
      <c r="T325" s="417">
        <f t="shared" ref="T325" si="569">T324/O324-1</f>
        <v>0.10342337867083096</v>
      </c>
      <c r="U325" s="414">
        <f t="shared" ref="U325" si="570">U324/P324-1</f>
        <v>0.22881074392716583</v>
      </c>
      <c r="V325" s="414">
        <f t="shared" ref="V325" si="571">V324/Q324-1</f>
        <v>0.24297146488770216</v>
      </c>
      <c r="W325" s="414">
        <f t="shared" ref="W325" si="572">W324/R324-1</f>
        <v>6.5182465962454472E-2</v>
      </c>
      <c r="X325" s="414">
        <f t="shared" ref="X325" si="573">X324/S324-1</f>
        <v>0.19728628985667829</v>
      </c>
      <c r="Y325" s="417">
        <f t="shared" ref="Y325" si="574">Y324/T324-1</f>
        <v>0.16962166929817979</v>
      </c>
      <c r="Z325" s="414">
        <f t="shared" ref="Z325" si="575">Z324/U324-1</f>
        <v>1.7312721834727984E-3</v>
      </c>
      <c r="AA325" s="414">
        <f t="shared" ref="AA325" si="576">AA324/V324-1</f>
        <v>-2.7345809925691356E-2</v>
      </c>
      <c r="AB325" s="414">
        <f t="shared" ref="AB325" si="577">AB324/W324-1</f>
        <v>2.835818387618616E-2</v>
      </c>
      <c r="AC325" s="414">
        <f t="shared" ref="AC325" si="578">AC324/X324-1</f>
        <v>1.8779706869216373E-3</v>
      </c>
      <c r="AD325" s="422">
        <f t="shared" ref="AD325" si="579">AD324/Y324-1</f>
        <v>2.7845139717426193E-3</v>
      </c>
      <c r="AE325" s="280">
        <f t="shared" ref="AE325" si="580">AE324/Z324-1</f>
        <v>3.2278128963815655E-2</v>
      </c>
      <c r="AF325" s="280">
        <f t="shared" ref="AF325" si="581">AF324/AA324-1</f>
        <v>3.0428195475815212E-2</v>
      </c>
      <c r="AG325" s="280">
        <f t="shared" ref="AG325" si="582">AG324/AB324-1</f>
        <v>4.221775460904964E-2</v>
      </c>
      <c r="AH325" s="280">
        <f t="shared" ref="AH325" si="583">AH324/AC324-1</f>
        <v>-2.0318559924005219E-3</v>
      </c>
      <c r="AI325" s="422">
        <f t="shared" ref="AI325" si="584">AI324/AD324-1</f>
        <v>2.1011523910740681E-2</v>
      </c>
      <c r="AJ325" s="280">
        <f t="shared" ref="AJ325" si="585">AJ324/AE324-1</f>
        <v>0.37957533320899373</v>
      </c>
      <c r="AK325" s="280">
        <f t="shared" ref="AK325" si="586">AK324/AF324-1</f>
        <v>0.37789612286689889</v>
      </c>
      <c r="AL325" s="280">
        <f t="shared" ref="AL325" si="587">AL324/AG324-1</f>
        <v>0.4654500395643657</v>
      </c>
      <c r="AM325" s="280">
        <f t="shared" ref="AM325" si="588">AM324/AH324-1</f>
        <v>0.51105963526448428</v>
      </c>
      <c r="AN325" s="320">
        <f t="shared" ref="AN325" si="589">AN324/AI324-1</f>
        <v>-6.24549948890879E-2</v>
      </c>
      <c r="AO325" s="280">
        <f t="shared" ref="AO325" si="590">AO324/AJ324-1</f>
        <v>-0.10967907196703541</v>
      </c>
      <c r="AP325" s="280">
        <f t="shared" ref="AP325" si="591">AP324/AK324-1</f>
        <v>-0.10473410086460544</v>
      </c>
      <c r="AQ325" s="280">
        <f t="shared" ref="AQ325" si="592">AQ324/AL324-1</f>
        <v>-0.11172679616251913</v>
      </c>
      <c r="AR325" s="280">
        <f t="shared" ref="AR325" si="593">AR324/AM324-1</f>
        <v>-0.1247131779584798</v>
      </c>
      <c r="AS325" s="320">
        <f t="shared" ref="AS325" si="594">AS324/AN324-1</f>
        <v>1.7690175630816762E-2</v>
      </c>
      <c r="AT325" s="315"/>
      <c r="AU325" s="508"/>
      <c r="AV325" s="143"/>
      <c r="AW325" s="143"/>
      <c r="AX325" s="143"/>
      <c r="AY325" s="143"/>
      <c r="AZ325" s="143"/>
      <c r="BA325" s="143"/>
      <c r="BB325" s="143"/>
      <c r="BC325" s="143"/>
      <c r="BD325" s="143"/>
      <c r="BE325" s="143"/>
      <c r="BF325" s="143"/>
      <c r="BG325" s="143"/>
      <c r="BH325" s="143"/>
      <c r="BI325" s="143"/>
      <c r="BJ325" s="143"/>
      <c r="BK325" s="143"/>
      <c r="BL325" s="143"/>
      <c r="BM325" s="143"/>
      <c r="BN325" s="143"/>
      <c r="BO325" s="143"/>
      <c r="BP325" s="143"/>
      <c r="BQ325" s="143"/>
      <c r="BR325" s="143"/>
      <c r="BS325" s="143"/>
      <c r="BT325" s="143"/>
      <c r="BU325" s="143"/>
      <c r="BV325" s="143"/>
      <c r="BW325" s="143"/>
      <c r="BX325" s="143"/>
      <c r="BY325" s="143"/>
      <c r="BZ325" s="143"/>
      <c r="CA325" s="143"/>
      <c r="CB325" s="143"/>
      <c r="CC325" s="143"/>
      <c r="CD325" s="143"/>
      <c r="CE325" s="143"/>
      <c r="CF325" s="143"/>
      <c r="CG325" s="143"/>
      <c r="CH325" s="143"/>
      <c r="CI325" s="143"/>
      <c r="CJ325" s="143"/>
      <c r="CK325" s="143"/>
      <c r="CL325" s="143"/>
      <c r="CM325" s="143"/>
      <c r="CN325" s="143"/>
      <c r="CO325" s="143"/>
      <c r="CP325" s="143"/>
      <c r="CQ325" s="143"/>
      <c r="CR325" s="143"/>
      <c r="CS325" s="143"/>
      <c r="CT325" s="143"/>
      <c r="CU325" s="143"/>
      <c r="CV325" s="143"/>
      <c r="CW325" s="143"/>
      <c r="CX325" s="143"/>
      <c r="CY325" s="143"/>
      <c r="CZ325" s="143"/>
      <c r="DA325" s="143"/>
      <c r="DB325" s="143"/>
      <c r="DC325" s="143"/>
      <c r="DD325" s="143"/>
      <c r="DE325" s="143"/>
      <c r="DF325" s="143"/>
      <c r="DG325" s="143"/>
      <c r="DH325" s="143"/>
      <c r="DI325" s="143"/>
      <c r="DJ325" s="143"/>
      <c r="DK325" s="143"/>
      <c r="DL325" s="143"/>
      <c r="DM325" s="143"/>
      <c r="DN325" s="143"/>
      <c r="DO325" s="143"/>
      <c r="DP325" s="143"/>
      <c r="DQ325" s="143"/>
      <c r="DR325" s="143"/>
      <c r="DS325" s="143"/>
      <c r="DT325" s="143"/>
      <c r="DU325" s="143"/>
      <c r="DV325" s="143"/>
      <c r="DW325" s="143"/>
      <c r="DX325" s="143"/>
      <c r="DY325" s="143"/>
      <c r="DZ325" s="143"/>
      <c r="EA325" s="143"/>
      <c r="EB325" s="143"/>
      <c r="EC325" s="143"/>
      <c r="ED325" s="143"/>
      <c r="EE325" s="143"/>
      <c r="EF325" s="143"/>
      <c r="EG325" s="143"/>
      <c r="EH325" s="143"/>
      <c r="EI325" s="143"/>
      <c r="EJ325" s="143"/>
      <c r="EK325" s="143"/>
      <c r="EL325" s="143"/>
      <c r="EM325" s="143"/>
      <c r="EN325" s="143"/>
      <c r="EO325" s="143"/>
      <c r="EP325" s="143"/>
      <c r="EQ325" s="143"/>
      <c r="ER325" s="143"/>
      <c r="ES325" s="143"/>
      <c r="ET325" s="143"/>
      <c r="EU325" s="143"/>
      <c r="EV325" s="143"/>
      <c r="EW325" s="143"/>
      <c r="EX325" s="143"/>
      <c r="EY325" s="143"/>
      <c r="EZ325" s="143"/>
      <c r="FA325" s="143"/>
      <c r="FB325" s="143"/>
      <c r="FC325" s="143"/>
      <c r="FD325" s="143"/>
      <c r="FE325" s="143"/>
      <c r="FF325" s="143"/>
      <c r="FG325" s="143"/>
      <c r="FH325" s="143"/>
      <c r="FI325" s="143"/>
      <c r="FJ325" s="143"/>
      <c r="FK325" s="143"/>
      <c r="FL325" s="143"/>
      <c r="FM325" s="143"/>
      <c r="FN325" s="143"/>
      <c r="FO325" s="143"/>
      <c r="FP325" s="143"/>
      <c r="FQ325" s="143"/>
      <c r="FR325" s="143"/>
      <c r="FS325" s="143"/>
      <c r="FT325" s="143"/>
      <c r="FU325" s="143"/>
      <c r="FV325" s="143"/>
      <c r="FW325" s="143"/>
      <c r="FX325" s="143"/>
      <c r="FY325" s="143"/>
      <c r="FZ325" s="143"/>
      <c r="GA325" s="143"/>
      <c r="GB325" s="143"/>
      <c r="GC325" s="143"/>
      <c r="GD325" s="143"/>
      <c r="GE325" s="143"/>
      <c r="GF325" s="143"/>
      <c r="GG325" s="143"/>
      <c r="GH325" s="143"/>
      <c r="GI325" s="143"/>
      <c r="GJ325" s="143"/>
      <c r="GK325" s="143"/>
      <c r="GL325" s="143"/>
      <c r="GM325" s="143"/>
      <c r="GN325" s="143"/>
      <c r="GO325" s="143"/>
      <c r="GP325" s="143"/>
      <c r="GQ325" s="143"/>
      <c r="GR325" s="143"/>
      <c r="GS325" s="143"/>
      <c r="GT325" s="143"/>
      <c r="GU325" s="143"/>
      <c r="GV325" s="143"/>
      <c r="GW325" s="143"/>
      <c r="GX325" s="143"/>
      <c r="GY325" s="143"/>
      <c r="GZ325" s="143"/>
      <c r="HA325" s="143"/>
      <c r="HB325" s="143"/>
      <c r="HC325" s="143"/>
      <c r="HD325" s="143"/>
      <c r="HE325" s="143"/>
      <c r="HF325" s="143"/>
      <c r="HG325" s="143"/>
      <c r="HH325" s="143"/>
      <c r="HI325" s="143"/>
      <c r="HJ325" s="143"/>
      <c r="HK325" s="143"/>
      <c r="HL325" s="143"/>
      <c r="HM325" s="143"/>
      <c r="HN325" s="143"/>
      <c r="HO325" s="143"/>
      <c r="HP325" s="143"/>
      <c r="HQ325" s="143"/>
      <c r="HR325" s="143"/>
      <c r="HS325" s="143"/>
      <c r="HT325" s="143"/>
      <c r="HU325" s="143"/>
      <c r="HV325" s="143"/>
      <c r="HW325" s="143"/>
      <c r="HX325" s="143"/>
      <c r="HY325" s="143"/>
      <c r="HZ325" s="143"/>
      <c r="IA325" s="143"/>
      <c r="IB325" s="143"/>
      <c r="IC325" s="143"/>
      <c r="ID325" s="143"/>
      <c r="IE325" s="143"/>
      <c r="IF325" s="143"/>
      <c r="IG325" s="143"/>
      <c r="IH325" s="143"/>
      <c r="II325" s="143"/>
      <c r="IJ325" s="143"/>
      <c r="IK325" s="143"/>
      <c r="IL325" s="143"/>
      <c r="IM325" s="143"/>
      <c r="IN325" s="143"/>
      <c r="IO325" s="143"/>
      <c r="IP325" s="143"/>
      <c r="IQ325" s="143"/>
      <c r="IR325" s="143"/>
      <c r="IS325" s="143"/>
      <c r="IT325" s="143"/>
      <c r="IU325" s="143"/>
      <c r="IV325" s="143"/>
      <c r="IW325" s="143"/>
      <c r="IX325" s="143"/>
      <c r="IY325" s="143"/>
      <c r="IZ325" s="143"/>
      <c r="JA325" s="143"/>
      <c r="JB325" s="143"/>
      <c r="JC325" s="143"/>
      <c r="JD325" s="143"/>
      <c r="JE325" s="143"/>
      <c r="JF325" s="143"/>
      <c r="JG325" s="143"/>
      <c r="JH325" s="143"/>
      <c r="JI325" s="143"/>
    </row>
    <row r="326" spans="1:269" hidden="1" outlineLevel="1">
      <c r="A326" s="498" t="s">
        <v>207</v>
      </c>
      <c r="B326" s="143"/>
      <c r="C326" s="417" t="e">
        <f>C324/#REF!-1</f>
        <v>#REF!</v>
      </c>
      <c r="D326" s="417" t="e">
        <f>D324/#REF!-1</f>
        <v>#REF!</v>
      </c>
      <c r="E326" s="417" t="e">
        <f>E324/#REF!-1</f>
        <v>#REF!</v>
      </c>
      <c r="F326" s="414" t="e">
        <f>F324/#REF!-1</f>
        <v>#REF!</v>
      </c>
      <c r="G326" s="414" t="e">
        <f>G324/#REF!-1</f>
        <v>#REF!</v>
      </c>
      <c r="H326" s="414" t="e">
        <f>H324/#REF!-1</f>
        <v>#REF!</v>
      </c>
      <c r="I326" s="414" t="e">
        <f>I324/#REF!-1</f>
        <v>#REF!</v>
      </c>
      <c r="J326" s="417" t="e">
        <f>J324/#REF!-1</f>
        <v>#REF!</v>
      </c>
      <c r="K326" s="414" t="e">
        <f>K324/#REF!-1</f>
        <v>#REF!</v>
      </c>
      <c r="L326" s="414" t="e">
        <f>L324/#REF!-1</f>
        <v>#REF!</v>
      </c>
      <c r="M326" s="414" t="e">
        <f>M324/#REF!-1</f>
        <v>#REF!</v>
      </c>
      <c r="N326" s="414" t="e">
        <f>N324/#REF!-1</f>
        <v>#REF!</v>
      </c>
      <c r="O326" s="417" t="e">
        <f>O324/#REF!-1</f>
        <v>#REF!</v>
      </c>
      <c r="P326" s="414" t="e">
        <f>P324/#REF!-1</f>
        <v>#REF!</v>
      </c>
      <c r="Q326" s="414" t="e">
        <f>Q324/#REF!-1</f>
        <v>#REF!</v>
      </c>
      <c r="R326" s="414" t="e">
        <f>R324/#REF!-1</f>
        <v>#REF!</v>
      </c>
      <c r="S326" s="414" t="e">
        <f>S324/#REF!-1</f>
        <v>#REF!</v>
      </c>
      <c r="T326" s="417" t="e">
        <f>T324/#REF!-1</f>
        <v>#REF!</v>
      </c>
      <c r="U326" s="414" t="e">
        <f>U324/#REF!-1</f>
        <v>#REF!</v>
      </c>
      <c r="V326" s="414" t="e">
        <f>V324/#REF!-1</f>
        <v>#REF!</v>
      </c>
      <c r="W326" s="414" t="e">
        <f>W324/#REF!-1</f>
        <v>#REF!</v>
      </c>
      <c r="X326" s="414" t="e">
        <f>X324/#REF!-1</f>
        <v>#REF!</v>
      </c>
      <c r="Y326" s="417" t="e">
        <f>Y324/#REF!-1</f>
        <v>#REF!</v>
      </c>
      <c r="Z326" s="414" t="e">
        <f>Z324/#REF!-1</f>
        <v>#REF!</v>
      </c>
      <c r="AA326" s="414" t="e">
        <f>AA324/#REF!-1</f>
        <v>#REF!</v>
      </c>
      <c r="AB326" s="414" t="e">
        <f>AB324/#REF!-1</f>
        <v>#REF!</v>
      </c>
      <c r="AC326" s="414" t="e">
        <f>AC324/#REF!-1</f>
        <v>#REF!</v>
      </c>
      <c r="AD326" s="422" t="e">
        <f>AD324/#REF!-1</f>
        <v>#REF!</v>
      </c>
      <c r="AE326" s="414" t="e">
        <f>AE324/#REF!-1</f>
        <v>#REF!</v>
      </c>
      <c r="AF326" s="414" t="e">
        <f>AF324/#REF!-1</f>
        <v>#REF!</v>
      </c>
      <c r="AG326" s="414" t="e">
        <f>AG324/#REF!-1</f>
        <v>#REF!</v>
      </c>
      <c r="AH326" s="414" t="e">
        <f>AH324/#REF!-1</f>
        <v>#REF!</v>
      </c>
      <c r="AI326" s="422" t="e">
        <f>AI324/#REF!-1</f>
        <v>#REF!</v>
      </c>
      <c r="AJ326" s="414" t="e">
        <f>AJ324/#REF!-1</f>
        <v>#REF!</v>
      </c>
      <c r="AK326" s="414" t="e">
        <f>AK324/#REF!-1</f>
        <v>#REF!</v>
      </c>
      <c r="AL326" s="414" t="e">
        <f>AL324/#REF!-1</f>
        <v>#REF!</v>
      </c>
      <c r="AM326" s="414" t="e">
        <f>AM324/#REF!-1</f>
        <v>#REF!</v>
      </c>
      <c r="AN326" s="422" t="e">
        <f>AN324/#REF!-1</f>
        <v>#REF!</v>
      </c>
      <c r="AO326" s="414" t="e">
        <f>AO324/#REF!-1</f>
        <v>#REF!</v>
      </c>
      <c r="AP326" s="414" t="e">
        <f>AP324/#REF!-1</f>
        <v>#REF!</v>
      </c>
      <c r="AQ326" s="414" t="e">
        <f>AQ324/#REF!-1</f>
        <v>#REF!</v>
      </c>
      <c r="AR326" s="414" t="e">
        <f>AR324/#REF!-1</f>
        <v>#REF!</v>
      </c>
      <c r="AS326" s="422" t="e">
        <f>AS324/#REF!-1</f>
        <v>#REF!</v>
      </c>
      <c r="AT326" s="315"/>
      <c r="AU326" s="508"/>
      <c r="AV326" s="143"/>
      <c r="AW326" s="143"/>
      <c r="AX326" s="143"/>
      <c r="AY326" s="143"/>
      <c r="AZ326" s="143"/>
      <c r="BA326" s="143"/>
      <c r="BB326" s="143"/>
      <c r="BC326" s="143"/>
      <c r="BD326" s="143"/>
      <c r="BE326" s="143"/>
      <c r="BF326" s="143"/>
      <c r="BG326" s="143"/>
      <c r="BH326" s="143"/>
      <c r="BI326" s="143"/>
      <c r="BJ326" s="143"/>
      <c r="BK326" s="143"/>
      <c r="BL326" s="143"/>
      <c r="BM326" s="143"/>
      <c r="BN326" s="143"/>
      <c r="BO326" s="143"/>
      <c r="BP326" s="143"/>
      <c r="BQ326" s="143"/>
      <c r="BR326" s="143"/>
      <c r="BS326" s="143"/>
      <c r="BT326" s="143"/>
      <c r="BU326" s="143"/>
      <c r="BV326" s="143"/>
      <c r="BW326" s="143"/>
      <c r="BX326" s="143"/>
      <c r="BY326" s="143"/>
      <c r="BZ326" s="143"/>
      <c r="CA326" s="143"/>
      <c r="CB326" s="143"/>
      <c r="CC326" s="143"/>
      <c r="CD326" s="143"/>
      <c r="CE326" s="143"/>
      <c r="CF326" s="143"/>
      <c r="CG326" s="143"/>
      <c r="CH326" s="143"/>
      <c r="CI326" s="143"/>
      <c r="CJ326" s="143"/>
      <c r="CK326" s="143"/>
      <c r="CL326" s="143"/>
      <c r="CM326" s="143"/>
      <c r="CN326" s="143"/>
      <c r="CO326" s="143"/>
      <c r="CP326" s="143"/>
      <c r="CQ326" s="143"/>
      <c r="CR326" s="143"/>
      <c r="CS326" s="143"/>
      <c r="CT326" s="143"/>
      <c r="CU326" s="143"/>
      <c r="CV326" s="143"/>
      <c r="CW326" s="143"/>
      <c r="CX326" s="143"/>
      <c r="CY326" s="143"/>
      <c r="CZ326" s="143"/>
      <c r="DA326" s="143"/>
      <c r="DB326" s="143"/>
      <c r="DC326" s="143"/>
      <c r="DD326" s="143"/>
      <c r="DE326" s="143"/>
      <c r="DF326" s="143"/>
      <c r="DG326" s="143"/>
      <c r="DH326" s="143"/>
      <c r="DI326" s="143"/>
      <c r="DJ326" s="143"/>
      <c r="DK326" s="143"/>
      <c r="DL326" s="143"/>
      <c r="DM326" s="143"/>
      <c r="DN326" s="143"/>
      <c r="DO326" s="143"/>
      <c r="DP326" s="143"/>
      <c r="DQ326" s="143"/>
      <c r="DR326" s="143"/>
      <c r="DS326" s="143"/>
      <c r="DT326" s="143"/>
      <c r="DU326" s="143"/>
      <c r="DV326" s="143"/>
      <c r="DW326" s="143"/>
      <c r="DX326" s="143"/>
      <c r="DY326" s="143"/>
      <c r="DZ326" s="143"/>
      <c r="EA326" s="143"/>
      <c r="EB326" s="143"/>
      <c r="EC326" s="143"/>
      <c r="ED326" s="143"/>
      <c r="EE326" s="143"/>
      <c r="EF326" s="143"/>
      <c r="EG326" s="143"/>
      <c r="EH326" s="143"/>
      <c r="EI326" s="143"/>
      <c r="EJ326" s="143"/>
      <c r="EK326" s="143"/>
      <c r="EL326" s="143"/>
      <c r="EM326" s="143"/>
      <c r="EN326" s="143"/>
      <c r="EO326" s="143"/>
      <c r="EP326" s="143"/>
      <c r="EQ326" s="143"/>
      <c r="ER326" s="143"/>
      <c r="ES326" s="143"/>
      <c r="ET326" s="143"/>
      <c r="EU326" s="143"/>
      <c r="EV326" s="143"/>
      <c r="EW326" s="143"/>
      <c r="EX326" s="143"/>
      <c r="EY326" s="143"/>
      <c r="EZ326" s="143"/>
      <c r="FA326" s="143"/>
      <c r="FB326" s="143"/>
      <c r="FC326" s="143"/>
      <c r="FD326" s="143"/>
      <c r="FE326" s="143"/>
      <c r="FF326" s="143"/>
      <c r="FG326" s="143"/>
      <c r="FH326" s="143"/>
      <c r="FI326" s="143"/>
      <c r="FJ326" s="143"/>
      <c r="FK326" s="143"/>
      <c r="FL326" s="143"/>
      <c r="FM326" s="143"/>
      <c r="FN326" s="143"/>
      <c r="FO326" s="143"/>
      <c r="FP326" s="143"/>
      <c r="FQ326" s="143"/>
      <c r="FR326" s="143"/>
      <c r="FS326" s="143"/>
      <c r="FT326" s="143"/>
      <c r="FU326" s="143"/>
      <c r="FV326" s="143"/>
      <c r="FW326" s="143"/>
      <c r="FX326" s="143"/>
      <c r="FY326" s="143"/>
      <c r="FZ326" s="143"/>
      <c r="GA326" s="143"/>
      <c r="GB326" s="143"/>
      <c r="GC326" s="143"/>
      <c r="GD326" s="143"/>
      <c r="GE326" s="143"/>
      <c r="GF326" s="143"/>
      <c r="GG326" s="143"/>
      <c r="GH326" s="143"/>
      <c r="GI326" s="143"/>
      <c r="GJ326" s="143"/>
      <c r="GK326" s="143"/>
      <c r="GL326" s="143"/>
      <c r="GM326" s="143"/>
      <c r="GN326" s="143"/>
      <c r="GO326" s="143"/>
      <c r="GP326" s="143"/>
      <c r="GQ326" s="143"/>
      <c r="GR326" s="143"/>
      <c r="GS326" s="143"/>
      <c r="GT326" s="143"/>
      <c r="GU326" s="143"/>
      <c r="GV326" s="143"/>
      <c r="GW326" s="143"/>
      <c r="GX326" s="143"/>
      <c r="GY326" s="143"/>
      <c r="GZ326" s="143"/>
      <c r="HA326" s="143"/>
      <c r="HB326" s="143"/>
      <c r="HC326" s="143"/>
      <c r="HD326" s="143"/>
      <c r="HE326" s="143"/>
      <c r="HF326" s="143"/>
      <c r="HG326" s="143"/>
      <c r="HH326" s="143"/>
      <c r="HI326" s="143"/>
      <c r="HJ326" s="143"/>
      <c r="HK326" s="143"/>
      <c r="HL326" s="143"/>
      <c r="HM326" s="143"/>
      <c r="HN326" s="143"/>
      <c r="HO326" s="143"/>
      <c r="HP326" s="143"/>
      <c r="HQ326" s="143"/>
      <c r="HR326" s="143"/>
      <c r="HS326" s="143"/>
      <c r="HT326" s="143"/>
      <c r="HU326" s="143"/>
      <c r="HV326" s="143"/>
      <c r="HW326" s="143"/>
      <c r="HX326" s="143"/>
      <c r="HY326" s="143"/>
      <c r="HZ326" s="143"/>
      <c r="IA326" s="143"/>
      <c r="IB326" s="143"/>
      <c r="IC326" s="143"/>
      <c r="ID326" s="143"/>
      <c r="IE326" s="143"/>
      <c r="IF326" s="143"/>
      <c r="IG326" s="143"/>
      <c r="IH326" s="143"/>
      <c r="II326" s="143"/>
      <c r="IJ326" s="143"/>
      <c r="IK326" s="143"/>
      <c r="IL326" s="143"/>
      <c r="IM326" s="143"/>
      <c r="IN326" s="143"/>
      <c r="IO326" s="143"/>
      <c r="IP326" s="143"/>
      <c r="IQ326" s="143"/>
      <c r="IR326" s="143"/>
      <c r="IS326" s="143"/>
      <c r="IT326" s="143"/>
      <c r="IU326" s="143"/>
      <c r="IV326" s="143"/>
      <c r="IW326" s="143"/>
      <c r="IX326" s="143"/>
      <c r="IY326" s="143"/>
      <c r="IZ326" s="143"/>
      <c r="JA326" s="143"/>
      <c r="JB326" s="143"/>
      <c r="JC326" s="143"/>
      <c r="JD326" s="143"/>
      <c r="JE326" s="143"/>
      <c r="JF326" s="143"/>
      <c r="JG326" s="143"/>
      <c r="JH326" s="143"/>
      <c r="JI326" s="143"/>
    </row>
    <row r="327" spans="1:269" hidden="1" outlineLevel="1">
      <c r="A327" s="470"/>
      <c r="B327" s="143"/>
      <c r="C327" s="316"/>
      <c r="D327" s="316"/>
      <c r="E327" s="316"/>
      <c r="F327" s="280"/>
      <c r="G327" s="280"/>
      <c r="H327" s="280"/>
      <c r="I327" s="280"/>
      <c r="J327" s="316"/>
      <c r="K327" s="280"/>
      <c r="L327" s="280"/>
      <c r="M327" s="280"/>
      <c r="N327" s="280"/>
      <c r="O327" s="316"/>
      <c r="P327" s="280"/>
      <c r="Q327" s="280"/>
      <c r="R327" s="280"/>
      <c r="S327" s="280"/>
      <c r="T327" s="316"/>
      <c r="U327" s="280"/>
      <c r="V327" s="280"/>
      <c r="W327" s="280"/>
      <c r="X327" s="280"/>
      <c r="Y327" s="316"/>
      <c r="Z327" s="280"/>
      <c r="AA327" s="280"/>
      <c r="AB327" s="280"/>
      <c r="AC327" s="280"/>
      <c r="AD327" s="320"/>
      <c r="AE327" s="280"/>
      <c r="AF327" s="280"/>
      <c r="AG327" s="280"/>
      <c r="AH327" s="280"/>
      <c r="AI327" s="320"/>
      <c r="AJ327" s="280"/>
      <c r="AK327" s="280"/>
      <c r="AL327" s="280"/>
      <c r="AM327" s="280"/>
      <c r="AN327" s="320"/>
      <c r="AO327" s="280"/>
      <c r="AP327" s="280"/>
      <c r="AQ327" s="280"/>
      <c r="AR327" s="280"/>
      <c r="AS327" s="320"/>
      <c r="AT327" s="315"/>
      <c r="AU327" s="508"/>
      <c r="AV327" s="143"/>
      <c r="AW327" s="143"/>
      <c r="AX327" s="143"/>
      <c r="AY327" s="143"/>
      <c r="AZ327" s="143"/>
      <c r="BA327" s="143"/>
      <c r="BB327" s="143"/>
      <c r="BC327" s="143"/>
      <c r="BD327" s="143"/>
      <c r="BE327" s="143"/>
      <c r="BF327" s="143"/>
      <c r="BG327" s="143"/>
      <c r="BH327" s="143"/>
      <c r="BI327" s="143"/>
      <c r="BJ327" s="143"/>
      <c r="BK327" s="143"/>
      <c r="BL327" s="143"/>
      <c r="BM327" s="143"/>
      <c r="BN327" s="143"/>
      <c r="BO327" s="143"/>
      <c r="BP327" s="143"/>
      <c r="BQ327" s="143"/>
      <c r="BR327" s="143"/>
      <c r="BS327" s="143"/>
      <c r="BT327" s="143"/>
      <c r="BU327" s="143"/>
      <c r="BV327" s="143"/>
      <c r="BW327" s="143"/>
      <c r="BX327" s="143"/>
      <c r="BY327" s="143"/>
      <c r="BZ327" s="143"/>
      <c r="CA327" s="143"/>
      <c r="CB327" s="143"/>
      <c r="CC327" s="143"/>
      <c r="CD327" s="143"/>
      <c r="CE327" s="143"/>
      <c r="CF327" s="143"/>
      <c r="CG327" s="143"/>
      <c r="CH327" s="143"/>
      <c r="CI327" s="143"/>
      <c r="CJ327" s="143"/>
      <c r="CK327" s="143"/>
      <c r="CL327" s="143"/>
      <c r="CM327" s="143"/>
      <c r="CN327" s="143"/>
      <c r="CO327" s="143"/>
      <c r="CP327" s="143"/>
      <c r="CQ327" s="143"/>
      <c r="CR327" s="143"/>
      <c r="CS327" s="143"/>
      <c r="CT327" s="143"/>
      <c r="CU327" s="143"/>
      <c r="CV327" s="143"/>
      <c r="CW327" s="143"/>
      <c r="CX327" s="143"/>
      <c r="CY327" s="143"/>
      <c r="CZ327" s="143"/>
      <c r="DA327" s="143"/>
      <c r="DB327" s="143"/>
      <c r="DC327" s="143"/>
      <c r="DD327" s="143"/>
      <c r="DE327" s="143"/>
      <c r="DF327" s="143"/>
      <c r="DG327" s="143"/>
      <c r="DH327" s="143"/>
      <c r="DI327" s="143"/>
      <c r="DJ327" s="143"/>
      <c r="DK327" s="143"/>
      <c r="DL327" s="143"/>
      <c r="DM327" s="143"/>
      <c r="DN327" s="143"/>
      <c r="DO327" s="143"/>
      <c r="DP327" s="143"/>
      <c r="DQ327" s="143"/>
      <c r="DR327" s="143"/>
      <c r="DS327" s="143"/>
      <c r="DT327" s="143"/>
      <c r="DU327" s="143"/>
      <c r="DV327" s="143"/>
      <c r="DW327" s="143"/>
      <c r="DX327" s="143"/>
      <c r="DY327" s="143"/>
      <c r="DZ327" s="143"/>
      <c r="EA327" s="143"/>
      <c r="EB327" s="143"/>
      <c r="EC327" s="143"/>
      <c r="ED327" s="143"/>
      <c r="EE327" s="143"/>
      <c r="EF327" s="143"/>
      <c r="EG327" s="143"/>
      <c r="EH327" s="143"/>
      <c r="EI327" s="143"/>
      <c r="EJ327" s="143"/>
      <c r="EK327" s="143"/>
      <c r="EL327" s="143"/>
      <c r="EM327" s="143"/>
      <c r="EN327" s="143"/>
      <c r="EO327" s="143"/>
      <c r="EP327" s="143"/>
      <c r="EQ327" s="143"/>
      <c r="ER327" s="143"/>
      <c r="ES327" s="143"/>
      <c r="ET327" s="143"/>
      <c r="EU327" s="143"/>
      <c r="EV327" s="143"/>
      <c r="EW327" s="143"/>
      <c r="EX327" s="143"/>
      <c r="EY327" s="143"/>
      <c r="EZ327" s="143"/>
      <c r="FA327" s="143"/>
      <c r="FB327" s="143"/>
      <c r="FC327" s="143"/>
      <c r="FD327" s="143"/>
      <c r="FE327" s="143"/>
      <c r="FF327" s="143"/>
      <c r="FG327" s="143"/>
      <c r="FH327" s="143"/>
      <c r="FI327" s="143"/>
      <c r="FJ327" s="143"/>
      <c r="FK327" s="143"/>
      <c r="FL327" s="143"/>
      <c r="FM327" s="143"/>
      <c r="FN327" s="143"/>
      <c r="FO327" s="143"/>
      <c r="FP327" s="143"/>
      <c r="FQ327" s="143"/>
      <c r="FR327" s="143"/>
      <c r="FS327" s="143"/>
      <c r="FT327" s="143"/>
      <c r="FU327" s="143"/>
      <c r="FV327" s="143"/>
      <c r="FW327" s="143"/>
      <c r="FX327" s="143"/>
      <c r="FY327" s="143"/>
      <c r="FZ327" s="143"/>
      <c r="GA327" s="143"/>
      <c r="GB327" s="143"/>
      <c r="GC327" s="143"/>
      <c r="GD327" s="143"/>
      <c r="GE327" s="143"/>
      <c r="GF327" s="143"/>
      <c r="GG327" s="143"/>
      <c r="GH327" s="143"/>
      <c r="GI327" s="143"/>
      <c r="GJ327" s="143"/>
      <c r="GK327" s="143"/>
      <c r="GL327" s="143"/>
      <c r="GM327" s="143"/>
      <c r="GN327" s="143"/>
      <c r="GO327" s="143"/>
      <c r="GP327" s="143"/>
      <c r="GQ327" s="143"/>
      <c r="GR327" s="143"/>
      <c r="GS327" s="143"/>
      <c r="GT327" s="143"/>
      <c r="GU327" s="143"/>
      <c r="GV327" s="143"/>
      <c r="GW327" s="143"/>
      <c r="GX327" s="143"/>
      <c r="GY327" s="143"/>
      <c r="GZ327" s="143"/>
      <c r="HA327" s="143"/>
      <c r="HB327" s="143"/>
      <c r="HC327" s="143"/>
      <c r="HD327" s="143"/>
      <c r="HE327" s="143"/>
      <c r="HF327" s="143"/>
      <c r="HG327" s="143"/>
      <c r="HH327" s="143"/>
      <c r="HI327" s="143"/>
      <c r="HJ327" s="143"/>
      <c r="HK327" s="143"/>
      <c r="HL327" s="143"/>
      <c r="HM327" s="143"/>
      <c r="HN327" s="143"/>
      <c r="HO327" s="143"/>
      <c r="HP327" s="143"/>
      <c r="HQ327" s="143"/>
      <c r="HR327" s="143"/>
      <c r="HS327" s="143"/>
      <c r="HT327" s="143"/>
      <c r="HU327" s="143"/>
      <c r="HV327" s="143"/>
      <c r="HW327" s="143"/>
      <c r="HX327" s="143"/>
      <c r="HY327" s="143"/>
      <c r="HZ327" s="143"/>
      <c r="IA327" s="143"/>
      <c r="IB327" s="143"/>
      <c r="IC327" s="143"/>
      <c r="ID327" s="143"/>
      <c r="IE327" s="143"/>
      <c r="IF327" s="143"/>
      <c r="IG327" s="143"/>
      <c r="IH327" s="143"/>
      <c r="II327" s="143"/>
      <c r="IJ327" s="143"/>
      <c r="IK327" s="143"/>
      <c r="IL327" s="143"/>
      <c r="IM327" s="143"/>
      <c r="IN327" s="143"/>
      <c r="IO327" s="143"/>
      <c r="IP327" s="143"/>
      <c r="IQ327" s="143"/>
      <c r="IR327" s="143"/>
      <c r="IS327" s="143"/>
      <c r="IT327" s="143"/>
      <c r="IU327" s="143"/>
      <c r="IV327" s="143"/>
      <c r="IW327" s="143"/>
      <c r="IX327" s="143"/>
      <c r="IY327" s="143"/>
      <c r="IZ327" s="143"/>
      <c r="JA327" s="143"/>
      <c r="JB327" s="143"/>
      <c r="JC327" s="143"/>
      <c r="JD327" s="143"/>
      <c r="JE327" s="143"/>
      <c r="JF327" s="143"/>
      <c r="JG327" s="143"/>
      <c r="JH327" s="143"/>
      <c r="JI327" s="143"/>
    </row>
    <row r="328" spans="1:269" ht="15" hidden="1" outlineLevel="1" thickBot="1">
      <c r="A328" s="473" t="s">
        <v>282</v>
      </c>
      <c r="B328" s="67"/>
      <c r="C328" s="415"/>
      <c r="D328" s="415"/>
      <c r="E328" s="415"/>
      <c r="F328" s="72"/>
      <c r="G328" s="72"/>
      <c r="H328" s="72"/>
      <c r="I328" s="72"/>
      <c r="J328" s="415"/>
      <c r="K328" s="72"/>
      <c r="L328" s="72"/>
      <c r="M328" s="72"/>
      <c r="N328" s="72"/>
      <c r="O328" s="415"/>
      <c r="P328" s="72"/>
      <c r="Q328" s="72"/>
      <c r="R328" s="72"/>
      <c r="S328" s="72"/>
      <c r="T328" s="415"/>
      <c r="U328" s="72"/>
      <c r="V328" s="72"/>
      <c r="W328" s="72"/>
      <c r="X328" s="72"/>
      <c r="Y328" s="415"/>
      <c r="Z328" s="72"/>
      <c r="AA328" s="72"/>
      <c r="AB328" s="72"/>
      <c r="AC328" s="72"/>
      <c r="AD328" s="329"/>
      <c r="AE328" s="72"/>
      <c r="AF328" s="72"/>
      <c r="AG328" s="72"/>
      <c r="AH328" s="72"/>
      <c r="AI328" s="329"/>
      <c r="AJ328" s="72"/>
      <c r="AK328" s="72"/>
      <c r="AL328" s="72"/>
      <c r="AM328" s="72"/>
      <c r="AN328" s="329"/>
      <c r="AO328" s="72"/>
      <c r="AP328" s="72"/>
      <c r="AQ328" s="72"/>
      <c r="AR328" s="72"/>
      <c r="AS328" s="329"/>
      <c r="AT328" s="315"/>
      <c r="AU328" s="508"/>
      <c r="AV328" s="143"/>
      <c r="AW328" s="143"/>
      <c r="AX328" s="143"/>
      <c r="AY328" s="143"/>
      <c r="AZ328" s="143"/>
      <c r="BA328" s="143"/>
      <c r="BB328" s="143"/>
      <c r="BC328" s="143"/>
      <c r="BD328" s="143"/>
      <c r="BE328" s="143"/>
      <c r="BF328" s="143"/>
      <c r="BG328" s="143"/>
      <c r="BH328" s="143"/>
      <c r="BI328" s="143"/>
      <c r="BJ328" s="143"/>
      <c r="BK328" s="143"/>
      <c r="BL328" s="143"/>
      <c r="BM328" s="143"/>
      <c r="BN328" s="143"/>
      <c r="BO328" s="143"/>
      <c r="BP328" s="143"/>
      <c r="BQ328" s="143"/>
      <c r="BR328" s="143"/>
      <c r="BS328" s="143"/>
      <c r="BT328" s="143"/>
      <c r="BU328" s="143"/>
      <c r="BV328" s="143"/>
      <c r="BW328" s="143"/>
      <c r="BX328" s="143"/>
      <c r="BY328" s="143"/>
      <c r="BZ328" s="143"/>
      <c r="CA328" s="143"/>
      <c r="CB328" s="143"/>
      <c r="CC328" s="143"/>
      <c r="CD328" s="143"/>
      <c r="CE328" s="143"/>
      <c r="CF328" s="143"/>
      <c r="CG328" s="143"/>
      <c r="CH328" s="143"/>
      <c r="CI328" s="143"/>
      <c r="CJ328" s="143"/>
      <c r="CK328" s="143"/>
      <c r="CL328" s="143"/>
      <c r="CM328" s="143"/>
      <c r="CN328" s="143"/>
      <c r="CO328" s="143"/>
      <c r="CP328" s="143"/>
      <c r="CQ328" s="143"/>
      <c r="CR328" s="143"/>
      <c r="CS328" s="143"/>
      <c r="CT328" s="143"/>
      <c r="CU328" s="143"/>
      <c r="CV328" s="143"/>
      <c r="CW328" s="143"/>
      <c r="CX328" s="143"/>
      <c r="CY328" s="143"/>
      <c r="CZ328" s="143"/>
      <c r="DA328" s="143"/>
      <c r="DB328" s="143"/>
      <c r="DC328" s="143"/>
      <c r="DD328" s="143"/>
      <c r="DE328" s="143"/>
      <c r="DF328" s="143"/>
      <c r="DG328" s="143"/>
      <c r="DH328" s="143"/>
      <c r="DI328" s="143"/>
      <c r="DJ328" s="143"/>
      <c r="DK328" s="143"/>
      <c r="DL328" s="143"/>
      <c r="DM328" s="143"/>
      <c r="DN328" s="143"/>
      <c r="DO328" s="143"/>
      <c r="DP328" s="143"/>
      <c r="DQ328" s="143"/>
      <c r="DR328" s="143"/>
      <c r="DS328" s="143"/>
      <c r="DT328" s="143"/>
      <c r="DU328" s="143"/>
      <c r="DV328" s="143"/>
      <c r="DW328" s="143"/>
      <c r="DX328" s="143"/>
      <c r="DY328" s="143"/>
      <c r="DZ328" s="143"/>
      <c r="EA328" s="143"/>
      <c r="EB328" s="143"/>
      <c r="EC328" s="143"/>
      <c r="ED328" s="143"/>
      <c r="EE328" s="143"/>
      <c r="EF328" s="143"/>
      <c r="EG328" s="143"/>
      <c r="EH328" s="143"/>
      <c r="EI328" s="143"/>
      <c r="EJ328" s="143"/>
      <c r="EK328" s="143"/>
      <c r="EL328" s="143"/>
      <c r="EM328" s="143"/>
      <c r="EN328" s="143"/>
      <c r="EO328" s="143"/>
      <c r="EP328" s="143"/>
      <c r="EQ328" s="143"/>
      <c r="ER328" s="143"/>
      <c r="ES328" s="143"/>
      <c r="ET328" s="143"/>
      <c r="EU328" s="143"/>
      <c r="EV328" s="143"/>
      <c r="EW328" s="143"/>
      <c r="EX328" s="143"/>
      <c r="EY328" s="143"/>
      <c r="EZ328" s="143"/>
      <c r="FA328" s="143"/>
      <c r="FB328" s="143"/>
      <c r="FC328" s="143"/>
      <c r="FD328" s="143"/>
      <c r="FE328" s="143"/>
      <c r="FF328" s="143"/>
      <c r="FG328" s="143"/>
      <c r="FH328" s="143"/>
      <c r="FI328" s="143"/>
      <c r="FJ328" s="143"/>
      <c r="FK328" s="143"/>
      <c r="FL328" s="143"/>
      <c r="FM328" s="143"/>
      <c r="FN328" s="143"/>
      <c r="FO328" s="143"/>
      <c r="FP328" s="143"/>
      <c r="FQ328" s="143"/>
      <c r="FR328" s="143"/>
      <c r="FS328" s="143"/>
      <c r="FT328" s="143"/>
      <c r="FU328" s="143"/>
      <c r="FV328" s="143"/>
      <c r="FW328" s="143"/>
      <c r="FX328" s="143"/>
      <c r="FY328" s="143"/>
      <c r="FZ328" s="143"/>
      <c r="GA328" s="143"/>
      <c r="GB328" s="143"/>
      <c r="GC328" s="143"/>
      <c r="GD328" s="143"/>
      <c r="GE328" s="143"/>
      <c r="GF328" s="143"/>
      <c r="GG328" s="143"/>
      <c r="GH328" s="143"/>
      <c r="GI328" s="143"/>
      <c r="GJ328" s="143"/>
      <c r="GK328" s="143"/>
      <c r="GL328" s="143"/>
      <c r="GM328" s="143"/>
      <c r="GN328" s="143"/>
      <c r="GO328" s="143"/>
      <c r="GP328" s="143"/>
      <c r="GQ328" s="143"/>
      <c r="GR328" s="143"/>
      <c r="GS328" s="143"/>
      <c r="GT328" s="143"/>
      <c r="GU328" s="143"/>
      <c r="GV328" s="143"/>
      <c r="GW328" s="143"/>
      <c r="GX328" s="143"/>
      <c r="GY328" s="143"/>
      <c r="GZ328" s="143"/>
      <c r="HA328" s="143"/>
      <c r="HB328" s="143"/>
      <c r="HC328" s="143"/>
      <c r="HD328" s="143"/>
      <c r="HE328" s="143"/>
      <c r="HF328" s="143"/>
      <c r="HG328" s="143"/>
      <c r="HH328" s="143"/>
      <c r="HI328" s="143"/>
      <c r="HJ328" s="143"/>
      <c r="HK328" s="143"/>
      <c r="HL328" s="143"/>
      <c r="HM328" s="143"/>
      <c r="HN328" s="143"/>
      <c r="HO328" s="143"/>
      <c r="HP328" s="143"/>
      <c r="HQ328" s="143"/>
      <c r="HR328" s="143"/>
      <c r="HS328" s="143"/>
      <c r="HT328" s="143"/>
      <c r="HU328" s="143"/>
      <c r="HV328" s="143"/>
      <c r="HW328" s="143"/>
      <c r="HX328" s="143"/>
      <c r="HY328" s="143"/>
      <c r="HZ328" s="143"/>
      <c r="IA328" s="143"/>
      <c r="IB328" s="143"/>
      <c r="IC328" s="143"/>
      <c r="ID328" s="143"/>
      <c r="IE328" s="143"/>
      <c r="IF328" s="143"/>
      <c r="IG328" s="143"/>
      <c r="IH328" s="143"/>
      <c r="II328" s="143"/>
      <c r="IJ328" s="143"/>
      <c r="IK328" s="143"/>
      <c r="IL328" s="143"/>
      <c r="IM328" s="143"/>
      <c r="IN328" s="143"/>
      <c r="IO328" s="143"/>
      <c r="IP328" s="143"/>
      <c r="IQ328" s="143"/>
      <c r="IR328" s="143"/>
      <c r="IS328" s="143"/>
      <c r="IT328" s="143"/>
      <c r="IU328" s="143"/>
      <c r="IV328" s="143"/>
      <c r="IW328" s="143"/>
      <c r="IX328" s="143"/>
      <c r="IY328" s="143"/>
      <c r="IZ328" s="143"/>
      <c r="JA328" s="143"/>
      <c r="JB328" s="143"/>
      <c r="JC328" s="143"/>
      <c r="JD328" s="143"/>
      <c r="JE328" s="143"/>
      <c r="JF328" s="143"/>
      <c r="JG328" s="143"/>
      <c r="JH328" s="143"/>
      <c r="JI328" s="143"/>
    </row>
    <row r="329" spans="1:269" ht="15" hidden="1" outlineLevel="1" thickTop="1">
      <c r="A329" s="92" t="s">
        <v>289</v>
      </c>
      <c r="B329" s="143" t="s">
        <v>283</v>
      </c>
      <c r="C329" s="512" cm="1">
        <f t="array" ref="C329">_xll.VAData($B329, C$4, $A329, "consensus", "CD", "IMPL","", "")/100</f>
        <v>2.7320903680148972E-2</v>
      </c>
      <c r="D329" s="512" cm="1">
        <f t="array" ref="D329">_xll.VAData($B329, D$4, $A329, "consensus", "CD", "IMPL","", "")/100</f>
        <v>2.7138866986285447E-2</v>
      </c>
      <c r="E329" s="512" cm="1">
        <f t="array" ref="E329">_xll.VAData($B329, E$4, $A329, "consensus", "CD", "IMPL","", "")/100</f>
        <v>2.6180244703866998E-2</v>
      </c>
      <c r="F329" s="513" cm="1">
        <f t="array" ref="F329">_xll.VAData($B329, F$4, $A329, "consensus", "CD", "IMPL","", "")/100</f>
        <v>2.6349898151590612E-2</v>
      </c>
      <c r="G329" s="513" cm="1">
        <f t="array" ref="G329">_xll.VAData($B329, G$4, $A329, "consensus", "CD", "IMPL","", "")/100</f>
        <v>2.4761310980474901E-2</v>
      </c>
      <c r="H329" s="513" cm="1">
        <f t="array" ref="H329">_xll.VAData($B329, H$4, $A329, "consensus", "CD", "IMPL","", "")/100</f>
        <v>2.449072311408447E-2</v>
      </c>
      <c r="I329" s="513" cm="1">
        <f t="array" ref="I329">_xll.VAData($B329, I$4, $A329, "consensus", "CD", "IMPL","", "")/100</f>
        <v>2.53906809917551E-2</v>
      </c>
      <c r="J329" s="512" cm="1">
        <f t="array" ref="J329">_xll.VAData($B329, J$4, $A329, "consensus", "CD", "IMPL","", "")/100</f>
        <v>2.5197441156703641E-2</v>
      </c>
      <c r="K329" s="513" cm="1">
        <f t="array" ref="K329">_xll.VAData($B329, K$4, $A329, "consensus", "CD", "IMPL","", "")/100</f>
        <v>1.758801714772518E-2</v>
      </c>
      <c r="L329" s="513" cm="1">
        <f t="array" ref="L329">_xll.VAData($B329, L$4, $A329, "consensus", "CD", "IMPL","", "")/100</f>
        <v>-8.3521295496945799E-2</v>
      </c>
      <c r="M329" s="513" cm="1">
        <f t="array" ref="M329">_xll.VAData($B329, M$4, $A329, "consensus", "CD", "IMPL","", "")/100</f>
        <v>1.9116829545743189E-2</v>
      </c>
      <c r="N329" s="513" cm="1">
        <f t="array" ref="N329">_xll.VAData($B329, N$4, $A329, "consensus", "CD", "IMPL","", "")/100</f>
        <v>2.4927479814470611E-2</v>
      </c>
      <c r="O329" s="512" cm="1">
        <f t="array" ref="O329">_xll.VAData($B329, O$4, $A329, "consensus", "CD", "IMPL","", "")/100</f>
        <v>1.034641478235237E-2</v>
      </c>
      <c r="P329" s="513" cm="1">
        <f t="array" ref="P329">_xll.VAData($B329, P$4, $A329, "consensus", "CD", "IMPL","", "")/100</f>
        <v>1.896982743682012E-2</v>
      </c>
      <c r="Q329" s="513" cm="1">
        <f t="array" ref="Q329">_xll.VAData($B329, Q$4, $A329, "consensus", "CD", "IMPL","", "")/100</f>
        <v>1.6400815297332609E-2</v>
      </c>
      <c r="R329" s="513" cm="1">
        <f t="array" ref="R329">_xll.VAData($B329, R$4, $A329, "consensus", "CD", "IMPL","", "")/100</f>
        <v>1.425851945775124E-2</v>
      </c>
      <c r="S329" s="513" cm="1">
        <f t="array" ref="S329">_xll.VAData($B329, S$4, $A329, "consensus", "CD", "IMPL","", "")/100</f>
        <v>1.5563941283634171E-2</v>
      </c>
      <c r="T329" s="512" cm="1">
        <f t="array" ref="T329">_xll.VAData($B329, T$4, $A329, "consensus", "CD", "IMPL","", "")/100</f>
        <v>1.6086922014539099E-2</v>
      </c>
      <c r="U329" s="513" cm="1">
        <f t="array" ref="U329">_xll.VAData($B329, U$4, $A329, "consensus", "CD", "IMPL","", "")/100</f>
        <v>1.4164772050750889E-2</v>
      </c>
      <c r="V329" s="513" cm="1">
        <f t="array" ref="V329">_xll.VAData($B329, V$4, $A329, "consensus", "CD", "IMPL","", "")/100</f>
        <v>1.4959392690668941E-2</v>
      </c>
      <c r="W329" s="513" cm="1">
        <f t="array" ref="W329">_xll.VAData($B329, W$4, $A329, "consensus", "CD", "IMPL","", "")/100</f>
        <v>1.8943430869086772E-2</v>
      </c>
      <c r="X329" s="513" cm="1">
        <f t="array" ref="X329">_xll.VAData($B329, X$4, $A329, "consensus", "CD", "IMPL","", "")/100</f>
        <v>1.877607488212979E-2</v>
      </c>
      <c r="Y329" s="512" cm="1">
        <f t="array" ref="Y329">_xll.VAData($B329, Y$4, $A329, "consensus", "CD", "IMPL","", "")/100</f>
        <v>1.662544158584725E-2</v>
      </c>
      <c r="Z329" s="513" cm="1">
        <f t="array" ref="Z329">_xll.VAData($B329, Z$4, $A329, "consensus", "CD", "IMPL","", "")/100</f>
        <v>1.733771311489209E-2</v>
      </c>
      <c r="AA329" s="513" cm="1">
        <f t="array" ref="AA329">_xll.VAData($B329, AA$4, $A329, "consensus", "CD", "IMPL","", "")/100</f>
        <v>1.7017334703089072E-2</v>
      </c>
      <c r="AB329" s="513" cm="1">
        <f t="array" ref="AB329">_xll.VAData($B329, AB$4, $A329, "consensus", "CD", "IMPL","", "")/100</f>
        <v>2.0226203507367181E-2</v>
      </c>
      <c r="AC329" s="513" cm="1">
        <f t="array" ref="AC329">_xll.VAData($B329, AC$4, $A329, "consensus", "CD", "IMPL","", "")/100</f>
        <v>2.059855606279528E-2</v>
      </c>
      <c r="AD329" s="514" cm="1">
        <f t="array" ref="AD329">_xll.VAData($B329, AD$4, $A329, "consensus", "CD", "IMPL","", "")/100</f>
        <v>1.9208861427295422E-2</v>
      </c>
      <c r="AE329" s="513" cm="1">
        <f t="array" ref="AE329">_xll.VAData($B329, AE$4, $A329, "consensus", "CD", "IMPL","", "")/100</f>
        <v>1.9362661188258461E-2</v>
      </c>
      <c r="AF329" s="513" cm="1">
        <f t="array" ref="AF329">_xll.VAData($B329, AF$4, $A329, "consensus", "CD", "IMPL","", "")/100</f>
        <v>1.9392579847768321E-2</v>
      </c>
      <c r="AG329" s="513" cm="1">
        <f t="array" ref="AG329">_xll.VAData($B329, AG$4, $A329, "consensus", "CD", "IMPL","", "")/100</f>
        <v>2.0694614407367178E-2</v>
      </c>
      <c r="AH329" s="513" cm="1">
        <f t="array" ref="AH329">_xll.VAData($B329, AH$4, $A329, "consensus", "CD", "IMPL","", "")/100</f>
        <v>2.0756245062795279E-2</v>
      </c>
      <c r="AI329" s="514" cm="1">
        <f t="array" ref="AI329">_xll.VAData($B329, AI$4, $A329, "consensus", "CD", "IMPL","", "")/100</f>
        <v>1.954989755483337E-2</v>
      </c>
      <c r="AJ329" s="513" cm="1">
        <f t="array" ref="AJ329">_xll.VAData($B329, AJ$4, $A329, "consensus", "CD", "IMPL","", "")/100</f>
        <v>2.1000000000000001E-2</v>
      </c>
      <c r="AK329" s="513" cm="1">
        <f t="array" ref="AK329">_xll.VAData($B329, AK$4, $A329, "consensus", "CD", "IMPL","", "")/100</f>
        <v>2.1000000000000001E-2</v>
      </c>
      <c r="AL329" s="513" cm="1">
        <f t="array" ref="AL329">_xll.VAData($B329, AL$4, $A329, "consensus", "CD", "IMPL","", "")/100</f>
        <v>2.1000000000000001E-2</v>
      </c>
      <c r="AM329" s="513" cm="1">
        <f t="array" ref="AM329">_xll.VAData($B329, AM$4, $A329, "consensus", "CD", "IMPL","", "")/100</f>
        <v>2.1000000000000001E-2</v>
      </c>
      <c r="AN329" s="514" cm="1">
        <f t="array" ref="AN329">_xll.VAData($B329, AN$4, $A329, "consensus", "CD", "IMPL","", "")/100</f>
        <v>1.9650793104833371E-2</v>
      </c>
      <c r="AO329" s="513" cm="1">
        <f t="array" ref="AO329">_xll.VAData($B329, AO$4, $A329, "consensus", "CD", "IMPL","", "")/100</f>
        <v>2.1000000000000001E-2</v>
      </c>
      <c r="AP329" s="513" cm="1">
        <f t="array" ref="AP329">_xll.VAData($B329, AP$4, $A329, "consensus", "CD", "IMPL","", "")/100</f>
        <v>2.1000000000000001E-2</v>
      </c>
      <c r="AQ329" s="513" cm="1">
        <f t="array" ref="AQ329">_xll.VAData($B329, AQ$4, $A329, "consensus", "CD", "IMPL","", "")/100</f>
        <v>2.1000000000000001E-2</v>
      </c>
      <c r="AR329" s="513" cm="1">
        <f t="array" ref="AR329">_xll.VAData($B329, AR$4, $A329, "consensus", "CD", "IMPL","", "")/100</f>
        <v>2.1000000000000001E-2</v>
      </c>
      <c r="AS329" s="514" cm="1">
        <f t="array" ref="AS329">_xll.VAData($B329, AS$4, $A329, "consensus", "CD", "IMPL","", "")/100</f>
        <v>1.8832132485800041E-2</v>
      </c>
      <c r="AT329" s="315"/>
      <c r="AU329" s="508"/>
      <c r="AV329" s="143"/>
      <c r="AW329" s="143"/>
      <c r="AX329" s="143"/>
      <c r="AY329" s="143"/>
      <c r="AZ329" s="143"/>
      <c r="BA329" s="143"/>
      <c r="BB329" s="143"/>
      <c r="BC329" s="143"/>
      <c r="BD329" s="143"/>
      <c r="BE329" s="143"/>
      <c r="BF329" s="143"/>
      <c r="BG329" s="143"/>
      <c r="BH329" s="143"/>
      <c r="BI329" s="143"/>
      <c r="BJ329" s="143"/>
      <c r="BK329" s="143"/>
      <c r="BL329" s="143"/>
      <c r="BM329" s="143"/>
      <c r="BN329" s="143"/>
      <c r="BO329" s="143"/>
      <c r="BP329" s="143"/>
      <c r="BQ329" s="143"/>
      <c r="BR329" s="143"/>
      <c r="BS329" s="143"/>
      <c r="BT329" s="143"/>
      <c r="BU329" s="143"/>
      <c r="BV329" s="143"/>
      <c r="BW329" s="143"/>
      <c r="BX329" s="143"/>
      <c r="BY329" s="143"/>
      <c r="BZ329" s="143"/>
      <c r="CA329" s="143"/>
      <c r="CB329" s="143"/>
      <c r="CC329" s="143"/>
      <c r="CD329" s="143"/>
      <c r="CE329" s="143"/>
      <c r="CF329" s="143"/>
      <c r="CG329" s="143"/>
      <c r="CH329" s="143"/>
      <c r="CI329" s="143"/>
      <c r="CJ329" s="143"/>
      <c r="CK329" s="143"/>
      <c r="CL329" s="143"/>
      <c r="CM329" s="143"/>
      <c r="CN329" s="143"/>
      <c r="CO329" s="143"/>
      <c r="CP329" s="143"/>
      <c r="CQ329" s="143"/>
      <c r="CR329" s="143"/>
      <c r="CS329" s="143"/>
      <c r="CT329" s="143"/>
      <c r="CU329" s="143"/>
      <c r="CV329" s="143"/>
      <c r="CW329" s="143"/>
      <c r="CX329" s="143"/>
      <c r="CY329" s="143"/>
      <c r="CZ329" s="143"/>
      <c r="DA329" s="143"/>
      <c r="DB329" s="143"/>
      <c r="DC329" s="143"/>
      <c r="DD329" s="143"/>
      <c r="DE329" s="143"/>
      <c r="DF329" s="143"/>
      <c r="DG329" s="143"/>
      <c r="DH329" s="143"/>
      <c r="DI329" s="143"/>
      <c r="DJ329" s="143"/>
      <c r="DK329" s="143"/>
      <c r="DL329" s="143"/>
      <c r="DM329" s="143"/>
      <c r="DN329" s="143"/>
      <c r="DO329" s="143"/>
      <c r="DP329" s="143"/>
      <c r="DQ329" s="143"/>
      <c r="DR329" s="143"/>
      <c r="DS329" s="143"/>
      <c r="DT329" s="143"/>
      <c r="DU329" s="143"/>
      <c r="DV329" s="143"/>
      <c r="DW329" s="143"/>
      <c r="DX329" s="143"/>
      <c r="DY329" s="143"/>
      <c r="DZ329" s="143"/>
      <c r="EA329" s="143"/>
      <c r="EB329" s="143"/>
      <c r="EC329" s="143"/>
      <c r="ED329" s="143"/>
      <c r="EE329" s="143"/>
      <c r="EF329" s="143"/>
      <c r="EG329" s="143"/>
      <c r="EH329" s="143"/>
      <c r="EI329" s="143"/>
      <c r="EJ329" s="143"/>
      <c r="EK329" s="143"/>
      <c r="EL329" s="143"/>
      <c r="EM329" s="143"/>
      <c r="EN329" s="143"/>
      <c r="EO329" s="143"/>
      <c r="EP329" s="143"/>
      <c r="EQ329" s="143"/>
      <c r="ER329" s="143"/>
      <c r="ES329" s="143"/>
      <c r="ET329" s="143"/>
      <c r="EU329" s="143"/>
      <c r="EV329" s="143"/>
      <c r="EW329" s="143"/>
      <c r="EX329" s="143"/>
      <c r="EY329" s="143"/>
      <c r="EZ329" s="143"/>
      <c r="FA329" s="143"/>
      <c r="FB329" s="143"/>
      <c r="FC329" s="143"/>
      <c r="FD329" s="143"/>
      <c r="FE329" s="143"/>
      <c r="FF329" s="143"/>
      <c r="FG329" s="143"/>
      <c r="FH329" s="143"/>
      <c r="FI329" s="143"/>
      <c r="FJ329" s="143"/>
      <c r="FK329" s="143"/>
      <c r="FL329" s="143"/>
      <c r="FM329" s="143"/>
      <c r="FN329" s="143"/>
      <c r="FO329" s="143"/>
      <c r="FP329" s="143"/>
      <c r="FQ329" s="143"/>
      <c r="FR329" s="143"/>
      <c r="FS329" s="143"/>
      <c r="FT329" s="143"/>
      <c r="FU329" s="143"/>
      <c r="FV329" s="143"/>
      <c r="FW329" s="143"/>
      <c r="FX329" s="143"/>
      <c r="FY329" s="143"/>
      <c r="FZ329" s="143"/>
      <c r="GA329" s="143"/>
      <c r="GB329" s="143"/>
      <c r="GC329" s="143"/>
      <c r="GD329" s="143"/>
      <c r="GE329" s="143"/>
      <c r="GF329" s="143"/>
      <c r="GG329" s="143"/>
      <c r="GH329" s="143"/>
      <c r="GI329" s="143"/>
      <c r="GJ329" s="143"/>
      <c r="GK329" s="143"/>
      <c r="GL329" s="143"/>
      <c r="GM329" s="143"/>
      <c r="GN329" s="143"/>
      <c r="GO329" s="143"/>
      <c r="GP329" s="143"/>
      <c r="GQ329" s="143"/>
      <c r="GR329" s="143"/>
      <c r="GS329" s="143"/>
      <c r="GT329" s="143"/>
      <c r="GU329" s="143"/>
      <c r="GV329" s="143"/>
      <c r="GW329" s="143"/>
      <c r="GX329" s="143"/>
      <c r="GY329" s="143"/>
      <c r="GZ329" s="143"/>
      <c r="HA329" s="143"/>
      <c r="HB329" s="143"/>
      <c r="HC329" s="143"/>
      <c r="HD329" s="143"/>
      <c r="HE329" s="143"/>
      <c r="HF329" s="143"/>
      <c r="HG329" s="143"/>
      <c r="HH329" s="143"/>
      <c r="HI329" s="143"/>
      <c r="HJ329" s="143"/>
      <c r="HK329" s="143"/>
      <c r="HL329" s="143"/>
      <c r="HM329" s="143"/>
      <c r="HN329" s="143"/>
      <c r="HO329" s="143"/>
      <c r="HP329" s="143"/>
      <c r="HQ329" s="143"/>
      <c r="HR329" s="143"/>
      <c r="HS329" s="143"/>
      <c r="HT329" s="143"/>
      <c r="HU329" s="143"/>
      <c r="HV329" s="143"/>
      <c r="HW329" s="143"/>
      <c r="HX329" s="143"/>
      <c r="HY329" s="143"/>
      <c r="HZ329" s="143"/>
      <c r="IA329" s="143"/>
      <c r="IB329" s="143"/>
      <c r="IC329" s="143"/>
      <c r="ID329" s="143"/>
      <c r="IE329" s="143"/>
      <c r="IF329" s="143"/>
      <c r="IG329" s="143"/>
      <c r="IH329" s="143"/>
      <c r="II329" s="143"/>
      <c r="IJ329" s="143"/>
      <c r="IK329" s="143"/>
      <c r="IL329" s="143"/>
      <c r="IM329" s="143"/>
      <c r="IN329" s="143"/>
      <c r="IO329" s="143"/>
      <c r="IP329" s="143"/>
      <c r="IQ329" s="143"/>
      <c r="IR329" s="143"/>
      <c r="IS329" s="143"/>
      <c r="IT329" s="143"/>
      <c r="IU329" s="143"/>
      <c r="IV329" s="143"/>
      <c r="IW329" s="143"/>
      <c r="IX329" s="143"/>
      <c r="IY329" s="143"/>
      <c r="IZ329" s="143"/>
      <c r="JA329" s="143"/>
      <c r="JB329" s="143"/>
      <c r="JC329" s="143"/>
      <c r="JD329" s="143"/>
      <c r="JE329" s="143"/>
      <c r="JF329" s="143"/>
      <c r="JG329" s="143"/>
      <c r="JH329" s="143"/>
      <c r="JI329" s="143"/>
    </row>
    <row r="330" spans="1:269" hidden="1" outlineLevel="1">
      <c r="A330" s="92" t="s">
        <v>290</v>
      </c>
      <c r="B330" s="315" t="s">
        <v>283</v>
      </c>
      <c r="C330" s="451" cm="1">
        <f t="array" ref="C330">_xll.VAData($B330, C$4, $A330, "consensus", "CD", "IMPL","", "")</f>
        <v>770.90050863355862</v>
      </c>
      <c r="D330" s="451" cm="1">
        <f t="array" ref="D330">_xll.VAData($B330, D$4, $A330, "consensus", "CD", "IMPL","", "")</f>
        <v>791.58826181818176</v>
      </c>
      <c r="E330" s="451" cm="1">
        <f t="array" ref="E330">_xll.VAData($B330, E$4, $A330, "consensus", "CD", "IMPL","", "")</f>
        <v>881.11249999999995</v>
      </c>
      <c r="F330" s="448" cm="1">
        <f t="array" ref="F330">_xll.VAData($B330, F$4, $A330, "consensus", "CD", "IMPL","", "")</f>
        <v>248</v>
      </c>
      <c r="G330" s="448" cm="1">
        <f t="array" ref="G330">_xll.VAData($B330, G$4, $A330, "consensus", "CD", "IMPL","", "")</f>
        <v>228</v>
      </c>
      <c r="H330" s="448" cm="1">
        <f t="array" ref="H330">_xll.VAData($B330, H$4, $A330, "consensus", "CD", "IMPL","", "")</f>
        <v>202</v>
      </c>
      <c r="I330" s="448" cm="1">
        <f t="array" ref="I330">_xll.VAData($B330, I$4, $A330, "consensus", "CD", "IMPL","", "")</f>
        <v>191</v>
      </c>
      <c r="J330" s="451" cm="1">
        <f t="array" ref="J330">_xll.VAData($B330, J$4, $A330, "consensus", "CD", "IMPL","", "")</f>
        <v>867.39411764705881</v>
      </c>
      <c r="K330" s="448" cm="1">
        <f t="array" ref="K330">_xll.VAData($B330, K$4, $A330, "consensus", "CD", "IMPL","", "")</f>
        <v>109.31928571428571</v>
      </c>
      <c r="L330" s="448" cm="1">
        <f t="array" ref="L330">_xll.VAData($B330, L$4, $A330, "consensus", "CD", "IMPL","", "")</f>
        <v>-69.554285714285712</v>
      </c>
      <c r="M330" s="448" cm="1">
        <f t="array" ref="M330">_xll.VAData($B330, M$4, $A330, "consensus", "CD", "IMPL","", "")</f>
        <v>27.66</v>
      </c>
      <c r="N330" s="448" cm="1">
        <f t="array" ref="N330">_xll.VAData($B330, N$4, $A330, "consensus", "CD", "IMPL","", "")</f>
        <v>38.185714285714283</v>
      </c>
      <c r="O330" s="451" cm="1">
        <f t="array" ref="O330">_xll.VAData($B330, O$4, $A330, "consensus", "CD", "IMPL","", "")</f>
        <v>105.41533333333332</v>
      </c>
      <c r="P330" s="448" cm="1">
        <f t="array" ref="P330">_xll.VAData($B330, P$4, $A330, "consensus", "CD", "IMPL","", "")</f>
        <v>49.98</v>
      </c>
      <c r="Q330" s="448" cm="1">
        <f t="array" ref="Q330">_xll.VAData($B330, Q$4, $A330, "consensus", "CD", "IMPL","", "")</f>
        <v>79.164187499999997</v>
      </c>
      <c r="R330" s="448" cm="1">
        <f t="array" ref="R330">_xll.VAData($B330, R$4, $A330, "consensus", "CD", "IMPL","", "")</f>
        <v>60.78</v>
      </c>
      <c r="S330" s="448" cm="1">
        <f t="array" ref="S330">_xll.VAData($B330, S$4, $A330, "consensus", "CD", "IMPL","", "")</f>
        <v>66.631968749999999</v>
      </c>
      <c r="T330" s="451" cm="1">
        <f t="array" ref="T330">_xll.VAData($B330, T$4, $A330, "consensus", "CD", "IMPL","", "")</f>
        <v>255.78285294117649</v>
      </c>
      <c r="U330" s="448" cm="1">
        <f t="array" ref="U330">_xll.VAData($B330, U$4, $A330, "consensus", "CD", "IMPL","", "")</f>
        <v>74</v>
      </c>
      <c r="V330" s="448" cm="1">
        <f t="array" ref="V330">_xll.VAData($B330, V$4, $A330, "consensus", "CD", "IMPL","", "")</f>
        <v>95</v>
      </c>
      <c r="W330" s="448" cm="1">
        <f t="array" ref="W330">_xll.VAData($B330, W$4, $A330, "consensus", "CD", "IMPL","", "")</f>
        <v>100</v>
      </c>
      <c r="X330" s="448" cm="1">
        <f t="array" ref="X330">_xll.VAData($B330, X$4, $A330, "consensus", "CD", "IMPL","", "")</f>
        <v>93</v>
      </c>
      <c r="Y330" s="451" cm="1">
        <f t="array" ref="Y330">_xll.VAData($B330, Y$4, $A330, "consensus", "CD", "IMPL","", "")</f>
        <v>355.88684117647057</v>
      </c>
      <c r="Z330" s="448" cm="1">
        <f t="array" ref="Z330">_xll.VAData($B330, Z$4, $A330, "consensus", "CD", "IMPL","", "")</f>
        <v>113</v>
      </c>
      <c r="AA330" s="448" cm="1">
        <f t="array" ref="AA330">_xll.VAData($B330, AA$4, $A330, "consensus", "CD", "IMPL","", "")</f>
        <v>109.60069971719263</v>
      </c>
      <c r="AB330" s="448" cm="1">
        <f t="array" ref="AB330">_xll.VAData($B330, AB$4, $A330, "consensus", "CD", "IMPL","", "")</f>
        <v>100</v>
      </c>
      <c r="AC330" s="448" cm="1">
        <f t="array" ref="AC330">_xll.VAData($B330, AC$4, $A330, "consensus", "CD", "IMPL","", "")</f>
        <v>96.223625288837056</v>
      </c>
      <c r="AD330" s="449" cm="1">
        <f t="array" ref="AD330">_xll.VAData($B330, AD$4, $A330, "consensus", "CD", "IMPL","", "")</f>
        <v>419.6119568894369</v>
      </c>
      <c r="AE330" s="448" cm="1">
        <f t="array" ref="AE330">_xll.VAData($B330, AE$4, $A330, "consensus", "CD", "IMPL","", "")</f>
        <v>120.00970303673367</v>
      </c>
      <c r="AF330" s="448" cm="1">
        <f t="array" ref="AF330">_xll.VAData($B330, AF$4, $A330, "consensus", "CD", "IMPL","", "")</f>
        <v>121.22714864296449</v>
      </c>
      <c r="AG330" s="448" cm="1">
        <f t="array" ref="AG330">_xll.VAData($B330, AG$4, $A330, "consensus", "CD", "IMPL","", "")</f>
        <v>107.75641909863349</v>
      </c>
      <c r="AH330" s="448" cm="1">
        <f t="array" ref="AH330">_xll.VAData($B330, AH$4, $A330, "consensus", "CD", "IMPL","", "")</f>
        <v>101.27310718254932</v>
      </c>
      <c r="AI330" s="449" cm="1">
        <f t="array" ref="AI330">_xll.VAData($B330, AI$4, $A330, "consensus", "CD", "IMPL","", "")</f>
        <v>451.25079801187019</v>
      </c>
      <c r="AJ330" s="448" cm="1">
        <f t="array" ref="AJ330">_xll.VAData($B330, AJ$4, $A330, "consensus", "CD", "IMPL","", "")</f>
        <v>120.80326717448325</v>
      </c>
      <c r="AK330" s="448" cm="1">
        <f t="array" ref="AK330">_xll.VAData($B330, AK$4, $A330, "consensus", "CD", "IMPL","", "")</f>
        <v>123.79412281487376</v>
      </c>
      <c r="AL330" s="448" cm="1">
        <f t="array" ref="AL330">_xll.VAData($B330, AL$4, $A330, "consensus", "CD", "IMPL","", "")</f>
        <v>119.73924608533</v>
      </c>
      <c r="AM330" s="448" cm="1">
        <f t="array" ref="AM330">_xll.VAData($B330, AM$4, $A330, "consensus", "CD", "IMPL","", "")</f>
        <v>109.1777003854105</v>
      </c>
      <c r="AN330" s="449" cm="1">
        <f t="array" ref="AN330">_xll.VAData($B330, AN$4, $A330, "consensus", "CD", "IMPL","", "")</f>
        <v>487.04973583290263</v>
      </c>
      <c r="AO330" s="448" cm="1">
        <f t="array" ref="AO330">_xll.VAData($B330, AO$4, $A330, "consensus", "CD", "IMPL","", "")</f>
        <v>127.911861545685</v>
      </c>
      <c r="AP330" s="448" cm="1">
        <f t="array" ref="AP330">_xll.VAData($B330, AP$4, $A330, "consensus", "CD", "IMPL","", "")</f>
        <v>128.24840051019899</v>
      </c>
      <c r="AQ330" s="448" cm="1">
        <f t="array" ref="AQ330">_xll.VAData($B330, AQ$4, $A330, "consensus", "CD", "IMPL","", "")</f>
        <v>118.6579282910625</v>
      </c>
      <c r="AR330" s="448" cm="1">
        <f t="array" ref="AR330">_xll.VAData($B330, AR$4, $A330, "consensus", "CD", "IMPL","", "")</f>
        <v>105.94058774991525</v>
      </c>
      <c r="AS330" s="449" cm="1">
        <f t="array" ref="AS330">_xll.VAData($B330, AS$4, $A330, "consensus", "CD", "IMPL","", "")</f>
        <v>511.99102158052312</v>
      </c>
      <c r="AT330" s="315"/>
      <c r="AU330" s="508"/>
      <c r="AV330" s="143"/>
      <c r="AW330" s="143"/>
      <c r="AX330" s="143"/>
      <c r="AY330" s="143"/>
      <c r="AZ330" s="143"/>
      <c r="BA330" s="143"/>
      <c r="BB330" s="143"/>
      <c r="BC330" s="143"/>
      <c r="BD330" s="143"/>
      <c r="BE330" s="143"/>
      <c r="BF330" s="143"/>
      <c r="BG330" s="143"/>
      <c r="BH330" s="143"/>
      <c r="BI330" s="143"/>
      <c r="BJ330" s="143"/>
      <c r="BK330" s="143"/>
      <c r="BL330" s="143"/>
      <c r="BM330" s="143"/>
      <c r="BN330" s="143"/>
      <c r="BO330" s="143"/>
      <c r="BP330" s="143"/>
      <c r="BQ330" s="143"/>
      <c r="BR330" s="143"/>
      <c r="BS330" s="143"/>
      <c r="BT330" s="143"/>
      <c r="BU330" s="143"/>
      <c r="BV330" s="143"/>
      <c r="BW330" s="143"/>
      <c r="BX330" s="143"/>
      <c r="BY330" s="143"/>
      <c r="BZ330" s="143"/>
      <c r="CA330" s="143"/>
      <c r="CB330" s="143"/>
      <c r="CC330" s="143"/>
      <c r="CD330" s="143"/>
      <c r="CE330" s="143"/>
      <c r="CF330" s="143"/>
      <c r="CG330" s="143"/>
      <c r="CH330" s="143"/>
      <c r="CI330" s="143"/>
      <c r="CJ330" s="143"/>
      <c r="CK330" s="143"/>
      <c r="CL330" s="143"/>
      <c r="CM330" s="143"/>
      <c r="CN330" s="143"/>
      <c r="CO330" s="143"/>
      <c r="CP330" s="143"/>
      <c r="CQ330" s="143"/>
      <c r="CR330" s="143"/>
      <c r="CS330" s="143"/>
      <c r="CT330" s="143"/>
      <c r="CU330" s="143"/>
      <c r="CV330" s="143"/>
      <c r="CW330" s="143"/>
      <c r="CX330" s="143"/>
      <c r="CY330" s="143"/>
      <c r="CZ330" s="143"/>
      <c r="DA330" s="143"/>
      <c r="DB330" s="143"/>
      <c r="DC330" s="143"/>
      <c r="DD330" s="143"/>
      <c r="DE330" s="143"/>
      <c r="DF330" s="143"/>
      <c r="DG330" s="143"/>
      <c r="DH330" s="143"/>
      <c r="DI330" s="143"/>
      <c r="DJ330" s="143"/>
      <c r="DK330" s="143"/>
      <c r="DL330" s="143"/>
      <c r="DM330" s="143"/>
      <c r="DN330" s="143"/>
      <c r="DO330" s="143"/>
      <c r="DP330" s="143"/>
      <c r="DQ330" s="143"/>
      <c r="DR330" s="143"/>
      <c r="DS330" s="143"/>
      <c r="DT330" s="143"/>
      <c r="DU330" s="143"/>
      <c r="DV330" s="143"/>
      <c r="DW330" s="143"/>
      <c r="DX330" s="143"/>
      <c r="DY330" s="143"/>
      <c r="DZ330" s="143"/>
      <c r="EA330" s="143"/>
      <c r="EB330" s="143"/>
      <c r="EC330" s="143"/>
      <c r="ED330" s="143"/>
      <c r="EE330" s="143"/>
      <c r="EF330" s="143"/>
      <c r="EG330" s="143"/>
      <c r="EH330" s="143"/>
      <c r="EI330" s="143"/>
      <c r="EJ330" s="143"/>
      <c r="EK330" s="143"/>
      <c r="EL330" s="143"/>
      <c r="EM330" s="143"/>
      <c r="EN330" s="143"/>
      <c r="EO330" s="143"/>
      <c r="EP330" s="143"/>
      <c r="EQ330" s="143"/>
      <c r="ER330" s="143"/>
      <c r="ES330" s="143"/>
      <c r="ET330" s="143"/>
      <c r="EU330" s="143"/>
      <c r="EV330" s="143"/>
      <c r="EW330" s="143"/>
      <c r="EX330" s="143"/>
      <c r="EY330" s="143"/>
      <c r="EZ330" s="143"/>
      <c r="FA330" s="143"/>
      <c r="FB330" s="143"/>
      <c r="FC330" s="143"/>
      <c r="FD330" s="143"/>
      <c r="FE330" s="143"/>
      <c r="FF330" s="143"/>
      <c r="FG330" s="143"/>
      <c r="FH330" s="143"/>
      <c r="FI330" s="143"/>
      <c r="FJ330" s="143"/>
      <c r="FK330" s="143"/>
      <c r="FL330" s="143"/>
      <c r="FM330" s="143"/>
      <c r="FN330" s="143"/>
      <c r="FO330" s="143"/>
      <c r="FP330" s="143"/>
      <c r="FQ330" s="143"/>
      <c r="FR330" s="143"/>
      <c r="FS330" s="143"/>
      <c r="FT330" s="143"/>
      <c r="FU330" s="143"/>
      <c r="FV330" s="143"/>
      <c r="FW330" s="143"/>
      <c r="FX330" s="143"/>
      <c r="FY330" s="143"/>
      <c r="FZ330" s="143"/>
      <c r="GA330" s="143"/>
      <c r="GB330" s="143"/>
      <c r="GC330" s="143"/>
      <c r="GD330" s="143"/>
      <c r="GE330" s="143"/>
      <c r="GF330" s="143"/>
      <c r="GG330" s="143"/>
      <c r="GH330" s="143"/>
      <c r="GI330" s="143"/>
      <c r="GJ330" s="143"/>
      <c r="GK330" s="143"/>
      <c r="GL330" s="143"/>
      <c r="GM330" s="143"/>
      <c r="GN330" s="143"/>
      <c r="GO330" s="143"/>
      <c r="GP330" s="143"/>
      <c r="GQ330" s="143"/>
      <c r="GR330" s="143"/>
      <c r="GS330" s="143"/>
      <c r="GT330" s="143"/>
      <c r="GU330" s="143"/>
      <c r="GV330" s="143"/>
      <c r="GW330" s="143"/>
      <c r="GX330" s="143"/>
      <c r="GY330" s="143"/>
      <c r="GZ330" s="143"/>
      <c r="HA330" s="143"/>
      <c r="HB330" s="143"/>
      <c r="HC330" s="143"/>
      <c r="HD330" s="143"/>
      <c r="HE330" s="143"/>
      <c r="HF330" s="143"/>
      <c r="HG330" s="143"/>
      <c r="HH330" s="143"/>
      <c r="HI330" s="143"/>
      <c r="HJ330" s="143"/>
      <c r="HK330" s="143"/>
      <c r="HL330" s="143"/>
      <c r="HM330" s="143"/>
      <c r="HN330" s="143"/>
      <c r="HO330" s="143"/>
      <c r="HP330" s="143"/>
      <c r="HQ330" s="143"/>
      <c r="HR330" s="143"/>
      <c r="HS330" s="143"/>
      <c r="HT330" s="143"/>
      <c r="HU330" s="143"/>
      <c r="HV330" s="143"/>
      <c r="HW330" s="143"/>
      <c r="HX330" s="143"/>
      <c r="HY330" s="143"/>
      <c r="HZ330" s="143"/>
      <c r="IA330" s="143"/>
      <c r="IB330" s="143"/>
      <c r="IC330" s="143"/>
      <c r="ID330" s="143"/>
      <c r="IE330" s="143"/>
      <c r="IF330" s="143"/>
      <c r="IG330" s="143"/>
      <c r="IH330" s="143"/>
      <c r="II330" s="143"/>
      <c r="IJ330" s="143"/>
      <c r="IK330" s="143"/>
      <c r="IL330" s="143"/>
      <c r="IM330" s="143"/>
      <c r="IN330" s="143"/>
      <c r="IO330" s="143"/>
      <c r="IP330" s="143"/>
      <c r="IQ330" s="143"/>
      <c r="IR330" s="143"/>
      <c r="IS330" s="143"/>
      <c r="IT330" s="143"/>
      <c r="IU330" s="143"/>
      <c r="IV330" s="143"/>
      <c r="IW330" s="143"/>
      <c r="IX330" s="143"/>
      <c r="IY330" s="143"/>
      <c r="IZ330" s="143"/>
      <c r="JA330" s="143"/>
      <c r="JB330" s="143"/>
      <c r="JC330" s="143"/>
      <c r="JD330" s="143"/>
      <c r="JE330" s="143"/>
      <c r="JF330" s="143"/>
      <c r="JG330" s="143"/>
      <c r="JH330" s="143"/>
      <c r="JI330" s="143"/>
    </row>
    <row r="331" spans="1:269" hidden="1" outlineLevel="1">
      <c r="A331" s="418" t="s">
        <v>205</v>
      </c>
      <c r="B331" s="143"/>
      <c r="C331" s="417" t="e">
        <f>C330/#REF!-1</f>
        <v>#REF!</v>
      </c>
      <c r="D331" s="417" t="e">
        <f>D330/#REF!-1</f>
        <v>#REF!</v>
      </c>
      <c r="E331" s="417" t="e">
        <f>E330/#REF!-1</f>
        <v>#REF!</v>
      </c>
      <c r="F331" s="414" t="e">
        <f>F330/#REF!-1</f>
        <v>#REF!</v>
      </c>
      <c r="G331" s="414" t="e">
        <f>G330/#REF!-1</f>
        <v>#REF!</v>
      </c>
      <c r="H331" s="414" t="e">
        <f>H330/#REF!-1</f>
        <v>#REF!</v>
      </c>
      <c r="I331" s="414" t="e">
        <f>I330/#REF!-1</f>
        <v>#REF!</v>
      </c>
      <c r="J331" s="417" t="e">
        <f>J330/#REF!-1</f>
        <v>#REF!</v>
      </c>
      <c r="K331" s="414" t="e">
        <f>K330/#REF!-1</f>
        <v>#REF!</v>
      </c>
      <c r="L331" s="414" t="e">
        <f>L330/#REF!-1</f>
        <v>#REF!</v>
      </c>
      <c r="M331" s="414" t="e">
        <f>M330/#REF!-1</f>
        <v>#REF!</v>
      </c>
      <c r="N331" s="414" t="e">
        <f>N330/#REF!-1</f>
        <v>#REF!</v>
      </c>
      <c r="O331" s="417" t="e">
        <f>O330/#REF!-1</f>
        <v>#REF!</v>
      </c>
      <c r="P331" s="414">
        <f t="shared" ref="P331" si="595">P330/K330-1</f>
        <v>-0.54280711154089922</v>
      </c>
      <c r="Q331" s="414">
        <f t="shared" ref="Q331" si="596">Q330/L330-1</f>
        <v>-2.1381640496631613</v>
      </c>
      <c r="R331" s="414">
        <f t="shared" ref="R331" si="597">R330/M330-1</f>
        <v>1.1973969631236443</v>
      </c>
      <c r="S331" s="414">
        <f t="shared" ref="S331" si="598">S330/N330-1</f>
        <v>0.7449449354657689</v>
      </c>
      <c r="T331" s="417">
        <f t="shared" ref="T331" si="599">T330/O330-1</f>
        <v>1.4264292949903856</v>
      </c>
      <c r="U331" s="414">
        <f t="shared" ref="U331" si="600">U330/P330-1</f>
        <v>0.48059223689475794</v>
      </c>
      <c r="V331" s="414">
        <f t="shared" ref="V331" si="601">V330/Q330-1</f>
        <v>0.20003758012421979</v>
      </c>
      <c r="W331" s="414">
        <f t="shared" ref="W331" si="602">W330/R330-1</f>
        <v>0.64527805199078636</v>
      </c>
      <c r="X331" s="414">
        <f t="shared" ref="X331" si="603">X330/S330-1</f>
        <v>0.39572643199140045</v>
      </c>
      <c r="Y331" s="417">
        <f t="shared" ref="Y331" si="604">Y330/T330-1</f>
        <v>0.39136317029943934</v>
      </c>
      <c r="Z331" s="414">
        <f t="shared" ref="Z331" si="605">Z330/U330-1</f>
        <v>0.52702702702702697</v>
      </c>
      <c r="AA331" s="414">
        <f t="shared" ref="AA331" si="606">AA330/V330-1</f>
        <v>0.15369157597044869</v>
      </c>
      <c r="AB331" s="414">
        <f t="shared" ref="AB331" si="607">AB330/W330-1</f>
        <v>0</v>
      </c>
      <c r="AC331" s="414">
        <f t="shared" ref="AC331" si="608">AC330/X330-1</f>
        <v>3.4662637514377037E-2</v>
      </c>
      <c r="AD331" s="422">
        <f t="shared" ref="AD331" si="609">AD330/Y330-1</f>
        <v>0.17906005038654271</v>
      </c>
      <c r="AE331" s="414">
        <f>AE330/Z330-1</f>
        <v>6.2032770236581047E-2</v>
      </c>
      <c r="AF331" s="414">
        <f t="shared" ref="AF331" si="610">AF330/AA330-1</f>
        <v>0.10608006112891699</v>
      </c>
      <c r="AG331" s="414">
        <f t="shared" ref="AG331" si="611">AG330/AB330-1</f>
        <v>7.7564190986334935E-2</v>
      </c>
      <c r="AH331" s="414">
        <f t="shared" ref="AH331" si="612">AH330/AC330-1</f>
        <v>5.2476529319645859E-2</v>
      </c>
      <c r="AI331" s="422">
        <f t="shared" ref="AI331" si="613">AI330/AD330-1</f>
        <v>7.540023729774159E-2</v>
      </c>
      <c r="AJ331" s="414">
        <f t="shared" ref="AJ331" si="614">AJ330/AE330-1</f>
        <v>6.6124998035090865E-3</v>
      </c>
      <c r="AK331" s="414">
        <f t="shared" ref="AK331" si="615">AK330/AF330-1</f>
        <v>2.1174911730947876E-2</v>
      </c>
      <c r="AL331" s="414">
        <f t="shared" ref="AL331" si="616">AL330/AG330-1</f>
        <v>0.11120290639695596</v>
      </c>
      <c r="AM331" s="414">
        <f t="shared" ref="AM331" si="617">AM330/AH330-1</f>
        <v>7.8052243312854985E-2</v>
      </c>
      <c r="AN331" s="422">
        <f t="shared" ref="AN331" si="618">AN330/AI330-1</f>
        <v>7.933268590051501E-2</v>
      </c>
      <c r="AO331" s="414">
        <f t="shared" ref="AO331" si="619">AO330/AJ330-1</f>
        <v>5.8844388380112189E-2</v>
      </c>
      <c r="AP331" s="414">
        <f t="shared" ref="AP331" si="620">AP330/AK330-1</f>
        <v>3.5981334121865549E-2</v>
      </c>
      <c r="AQ331" s="414">
        <f t="shared" ref="AQ331" si="621">AQ330/AL330-1</f>
        <v>-9.0306046648808147E-3</v>
      </c>
      <c r="AR331" s="414">
        <f t="shared" ref="AR331" si="622">AR330/AM330-1</f>
        <v>-2.9649943386496069E-2</v>
      </c>
      <c r="AS331" s="422">
        <f t="shared" ref="AS331" si="623">AS330/AN330-1</f>
        <v>5.1208909301569516E-2</v>
      </c>
      <c r="AT331" s="315"/>
      <c r="AU331" s="508"/>
      <c r="AV331" s="143"/>
      <c r="AW331" s="143"/>
      <c r="AX331" s="143"/>
      <c r="AY331" s="143"/>
      <c r="AZ331" s="143"/>
      <c r="BA331" s="143"/>
      <c r="BB331" s="143"/>
      <c r="BC331" s="143"/>
      <c r="BD331" s="143"/>
      <c r="BE331" s="143"/>
      <c r="BF331" s="143"/>
      <c r="BG331" s="143"/>
      <c r="BH331" s="143"/>
      <c r="BI331" s="143"/>
      <c r="BJ331" s="143"/>
      <c r="BK331" s="143"/>
      <c r="BL331" s="143"/>
      <c r="BM331" s="143"/>
      <c r="BN331" s="143"/>
      <c r="BO331" s="143"/>
      <c r="BP331" s="143"/>
      <c r="BQ331" s="143"/>
      <c r="BR331" s="143"/>
      <c r="BS331" s="143"/>
      <c r="BT331" s="143"/>
      <c r="BU331" s="143"/>
      <c r="BV331" s="143"/>
      <c r="BW331" s="143"/>
      <c r="BX331" s="143"/>
      <c r="BY331" s="143"/>
      <c r="BZ331" s="143"/>
      <c r="CA331" s="143"/>
      <c r="CB331" s="143"/>
      <c r="CC331" s="143"/>
      <c r="CD331" s="143"/>
      <c r="CE331" s="143"/>
      <c r="CF331" s="143"/>
      <c r="CG331" s="143"/>
      <c r="CH331" s="143"/>
      <c r="CI331" s="143"/>
      <c r="CJ331" s="143"/>
      <c r="CK331" s="143"/>
      <c r="CL331" s="143"/>
      <c r="CM331" s="143"/>
      <c r="CN331" s="143"/>
      <c r="CO331" s="143"/>
      <c r="CP331" s="143"/>
      <c r="CQ331" s="143"/>
      <c r="CR331" s="143"/>
      <c r="CS331" s="143"/>
      <c r="CT331" s="143"/>
      <c r="CU331" s="143"/>
      <c r="CV331" s="143"/>
      <c r="CW331" s="143"/>
      <c r="CX331" s="143"/>
      <c r="CY331" s="143"/>
      <c r="CZ331" s="143"/>
      <c r="DA331" s="143"/>
      <c r="DB331" s="143"/>
      <c r="DC331" s="143"/>
      <c r="DD331" s="143"/>
      <c r="DE331" s="143"/>
      <c r="DF331" s="143"/>
      <c r="DG331" s="143"/>
      <c r="DH331" s="143"/>
      <c r="DI331" s="143"/>
      <c r="DJ331" s="143"/>
      <c r="DK331" s="143"/>
      <c r="DL331" s="143"/>
      <c r="DM331" s="143"/>
      <c r="DN331" s="143"/>
      <c r="DO331" s="143"/>
      <c r="DP331" s="143"/>
      <c r="DQ331" s="143"/>
      <c r="DR331" s="143"/>
      <c r="DS331" s="143"/>
      <c r="DT331" s="143"/>
      <c r="DU331" s="143"/>
      <c r="DV331" s="143"/>
      <c r="DW331" s="143"/>
      <c r="DX331" s="143"/>
      <c r="DY331" s="143"/>
      <c r="DZ331" s="143"/>
      <c r="EA331" s="143"/>
      <c r="EB331" s="143"/>
      <c r="EC331" s="143"/>
      <c r="ED331" s="143"/>
      <c r="EE331" s="143"/>
      <c r="EF331" s="143"/>
      <c r="EG331" s="143"/>
      <c r="EH331" s="143"/>
      <c r="EI331" s="143"/>
      <c r="EJ331" s="143"/>
      <c r="EK331" s="143"/>
      <c r="EL331" s="143"/>
      <c r="EM331" s="143"/>
      <c r="EN331" s="143"/>
      <c r="EO331" s="143"/>
      <c r="EP331" s="143"/>
      <c r="EQ331" s="143"/>
      <c r="ER331" s="143"/>
      <c r="ES331" s="143"/>
      <c r="ET331" s="143"/>
      <c r="EU331" s="143"/>
      <c r="EV331" s="143"/>
      <c r="EW331" s="143"/>
      <c r="EX331" s="143"/>
      <c r="EY331" s="143"/>
      <c r="EZ331" s="143"/>
      <c r="FA331" s="143"/>
      <c r="FB331" s="143"/>
      <c r="FC331" s="143"/>
      <c r="FD331" s="143"/>
      <c r="FE331" s="143"/>
      <c r="FF331" s="143"/>
      <c r="FG331" s="143"/>
      <c r="FH331" s="143"/>
      <c r="FI331" s="143"/>
      <c r="FJ331" s="143"/>
      <c r="FK331" s="143"/>
      <c r="FL331" s="143"/>
      <c r="FM331" s="143"/>
      <c r="FN331" s="143"/>
      <c r="FO331" s="143"/>
      <c r="FP331" s="143"/>
      <c r="FQ331" s="143"/>
      <c r="FR331" s="143"/>
      <c r="FS331" s="143"/>
      <c r="FT331" s="143"/>
      <c r="FU331" s="143"/>
      <c r="FV331" s="143"/>
      <c r="FW331" s="143"/>
      <c r="FX331" s="143"/>
      <c r="FY331" s="143"/>
      <c r="FZ331" s="143"/>
      <c r="GA331" s="143"/>
      <c r="GB331" s="143"/>
      <c r="GC331" s="143"/>
      <c r="GD331" s="143"/>
      <c r="GE331" s="143"/>
      <c r="GF331" s="143"/>
      <c r="GG331" s="143"/>
      <c r="GH331" s="143"/>
      <c r="GI331" s="143"/>
      <c r="GJ331" s="143"/>
      <c r="GK331" s="143"/>
      <c r="GL331" s="143"/>
      <c r="GM331" s="143"/>
      <c r="GN331" s="143"/>
      <c r="GO331" s="143"/>
      <c r="GP331" s="143"/>
      <c r="GQ331" s="143"/>
      <c r="GR331" s="143"/>
      <c r="GS331" s="143"/>
      <c r="GT331" s="143"/>
      <c r="GU331" s="143"/>
      <c r="GV331" s="143"/>
      <c r="GW331" s="143"/>
      <c r="GX331" s="143"/>
      <c r="GY331" s="143"/>
      <c r="GZ331" s="143"/>
      <c r="HA331" s="143"/>
      <c r="HB331" s="143"/>
      <c r="HC331" s="143"/>
      <c r="HD331" s="143"/>
      <c r="HE331" s="143"/>
      <c r="HF331" s="143"/>
      <c r="HG331" s="143"/>
      <c r="HH331" s="143"/>
      <c r="HI331" s="143"/>
      <c r="HJ331" s="143"/>
      <c r="HK331" s="143"/>
      <c r="HL331" s="143"/>
      <c r="HM331" s="143"/>
      <c r="HN331" s="143"/>
      <c r="HO331" s="143"/>
      <c r="HP331" s="143"/>
      <c r="HQ331" s="143"/>
      <c r="HR331" s="143"/>
      <c r="HS331" s="143"/>
      <c r="HT331" s="143"/>
      <c r="HU331" s="143"/>
      <c r="HV331" s="143"/>
      <c r="HW331" s="143"/>
      <c r="HX331" s="143"/>
      <c r="HY331" s="143"/>
      <c r="HZ331" s="143"/>
      <c r="IA331" s="143"/>
      <c r="IB331" s="143"/>
      <c r="IC331" s="143"/>
      <c r="ID331" s="143"/>
      <c r="IE331" s="143"/>
      <c r="IF331" s="143"/>
      <c r="IG331" s="143"/>
      <c r="IH331" s="143"/>
      <c r="II331" s="143"/>
      <c r="IJ331" s="143"/>
      <c r="IK331" s="143"/>
      <c r="IL331" s="143"/>
      <c r="IM331" s="143"/>
      <c r="IN331" s="143"/>
      <c r="IO331" s="143"/>
      <c r="IP331" s="143"/>
      <c r="IQ331" s="143"/>
      <c r="IR331" s="143"/>
      <c r="IS331" s="143"/>
      <c r="IT331" s="143"/>
      <c r="IU331" s="143"/>
      <c r="IV331" s="143"/>
      <c r="IW331" s="143"/>
      <c r="IX331" s="143"/>
      <c r="IY331" s="143"/>
      <c r="IZ331" s="143"/>
      <c r="JA331" s="143"/>
      <c r="JB331" s="143"/>
      <c r="JC331" s="143"/>
      <c r="JD331" s="143"/>
      <c r="JE331" s="143"/>
      <c r="JF331" s="143"/>
      <c r="JG331" s="143"/>
      <c r="JH331" s="143"/>
      <c r="JI331" s="143"/>
    </row>
    <row r="332" spans="1:269" hidden="1" outlineLevel="1">
      <c r="A332" s="59" t="s">
        <v>207</v>
      </c>
      <c r="B332" s="143"/>
      <c r="C332" s="417" t="e">
        <f>C330/#REF!-1</f>
        <v>#REF!</v>
      </c>
      <c r="D332" s="417" t="e">
        <f>D330/#REF!-1</f>
        <v>#REF!</v>
      </c>
      <c r="E332" s="417" t="e">
        <f>E330/#REF!-1</f>
        <v>#REF!</v>
      </c>
      <c r="F332" s="414" t="e">
        <f>F330/#REF!-1</f>
        <v>#REF!</v>
      </c>
      <c r="G332" s="414" t="e">
        <f>G330/#REF!-1</f>
        <v>#REF!</v>
      </c>
      <c r="H332" s="414" t="e">
        <f>H330/#REF!-1</f>
        <v>#REF!</v>
      </c>
      <c r="I332" s="414" t="e">
        <f>I330/#REF!-1</f>
        <v>#REF!</v>
      </c>
      <c r="J332" s="417" t="e">
        <f>J330/#REF!-1</f>
        <v>#REF!</v>
      </c>
      <c r="K332" s="414" t="e">
        <f>K330/#REF!-1</f>
        <v>#REF!</v>
      </c>
      <c r="L332" s="414" t="e">
        <f>L330/#REF!-1</f>
        <v>#REF!</v>
      </c>
      <c r="M332" s="414" t="e">
        <f>M330/#REF!-1</f>
        <v>#REF!</v>
      </c>
      <c r="N332" s="414" t="e">
        <f>N330/#REF!-1</f>
        <v>#REF!</v>
      </c>
      <c r="O332" s="417" t="e">
        <f>O330/#REF!-1</f>
        <v>#REF!</v>
      </c>
      <c r="P332" s="414" t="e">
        <f>P330/#REF!-1</f>
        <v>#REF!</v>
      </c>
      <c r="Q332" s="414" t="e">
        <f>Q330/#REF!-1</f>
        <v>#REF!</v>
      </c>
      <c r="R332" s="414" t="e">
        <f>R330/#REF!-1</f>
        <v>#REF!</v>
      </c>
      <c r="S332" s="414" t="e">
        <f>S330/#REF!-1</f>
        <v>#REF!</v>
      </c>
      <c r="T332" s="417" t="e">
        <f>T330/#REF!-1</f>
        <v>#REF!</v>
      </c>
      <c r="U332" s="414" t="e">
        <f>U330/#REF!-1</f>
        <v>#REF!</v>
      </c>
      <c r="V332" s="414" t="e">
        <f>V330/#REF!-1</f>
        <v>#REF!</v>
      </c>
      <c r="W332" s="414" t="e">
        <f>W330/#REF!-1</f>
        <v>#REF!</v>
      </c>
      <c r="X332" s="414" t="e">
        <f>X330/#REF!-1</f>
        <v>#REF!</v>
      </c>
      <c r="Y332" s="417" t="e">
        <f>Y330/#REF!-1</f>
        <v>#REF!</v>
      </c>
      <c r="Z332" s="414" t="e">
        <f>Z330/#REF!-1</f>
        <v>#REF!</v>
      </c>
      <c r="AA332" s="414" t="e">
        <f>AA330/#REF!-1</f>
        <v>#REF!</v>
      </c>
      <c r="AB332" s="414" t="e">
        <f>AB330/#REF!-1</f>
        <v>#REF!</v>
      </c>
      <c r="AC332" s="414" t="e">
        <f>AC330/#REF!-1</f>
        <v>#REF!</v>
      </c>
      <c r="AD332" s="422" t="e">
        <f>AD330/#REF!-1</f>
        <v>#REF!</v>
      </c>
      <c r="AE332" s="414" t="e">
        <f>AE330/#REF!-1</f>
        <v>#REF!</v>
      </c>
      <c r="AF332" s="414" t="e">
        <f>AF330/#REF!-1</f>
        <v>#REF!</v>
      </c>
      <c r="AG332" s="414" t="e">
        <f>AG330/#REF!-1</f>
        <v>#REF!</v>
      </c>
      <c r="AH332" s="414" t="e">
        <f>AH330/#REF!-1</f>
        <v>#REF!</v>
      </c>
      <c r="AI332" s="422" t="e">
        <f>AI330/#REF!-1</f>
        <v>#REF!</v>
      </c>
      <c r="AJ332" s="414" t="e">
        <f>AJ330/#REF!-1</f>
        <v>#REF!</v>
      </c>
      <c r="AK332" s="414" t="e">
        <f>AK330/#REF!-1</f>
        <v>#REF!</v>
      </c>
      <c r="AL332" s="414" t="e">
        <f>AL330/#REF!-1</f>
        <v>#REF!</v>
      </c>
      <c r="AM332" s="414" t="e">
        <f>AM330/#REF!-1</f>
        <v>#REF!</v>
      </c>
      <c r="AN332" s="422" t="e">
        <f>AN330/#REF!-1</f>
        <v>#REF!</v>
      </c>
      <c r="AO332" s="414" t="e">
        <f>AO330/#REF!-1</f>
        <v>#REF!</v>
      </c>
      <c r="AP332" s="414" t="e">
        <f>AP330/#REF!-1</f>
        <v>#REF!</v>
      </c>
      <c r="AQ332" s="414" t="e">
        <f>AQ330/#REF!-1</f>
        <v>#REF!</v>
      </c>
      <c r="AR332" s="414" t="e">
        <f>AR330/#REF!-1</f>
        <v>#REF!</v>
      </c>
      <c r="AS332" s="422" t="e">
        <f>AS330/#REF!-1</f>
        <v>#REF!</v>
      </c>
      <c r="AT332" s="315"/>
      <c r="AU332" s="508"/>
      <c r="AV332" s="143"/>
      <c r="AW332" s="143"/>
      <c r="AX332" s="143"/>
      <c r="AY332" s="143"/>
      <c r="AZ332" s="143"/>
      <c r="BA332" s="143"/>
      <c r="BB332" s="143"/>
      <c r="BC332" s="143"/>
      <c r="BD332" s="143"/>
      <c r="BE332" s="143"/>
      <c r="BF332" s="143"/>
      <c r="BG332" s="143"/>
      <c r="BH332" s="143"/>
      <c r="BI332" s="143"/>
      <c r="BJ332" s="143"/>
      <c r="BK332" s="143"/>
      <c r="BL332" s="143"/>
      <c r="BM332" s="143"/>
      <c r="BN332" s="143"/>
      <c r="BO332" s="143"/>
      <c r="BP332" s="143"/>
      <c r="BQ332" s="143"/>
      <c r="BR332" s="143"/>
      <c r="BS332" s="143"/>
      <c r="BT332" s="143"/>
      <c r="BU332" s="143"/>
      <c r="BV332" s="143"/>
      <c r="BW332" s="143"/>
      <c r="BX332" s="143"/>
      <c r="BY332" s="143"/>
      <c r="BZ332" s="143"/>
      <c r="CA332" s="143"/>
      <c r="CB332" s="143"/>
      <c r="CC332" s="143"/>
      <c r="CD332" s="143"/>
      <c r="CE332" s="143"/>
      <c r="CF332" s="143"/>
      <c r="CG332" s="143"/>
      <c r="CH332" s="143"/>
      <c r="CI332" s="143"/>
      <c r="CJ332" s="143"/>
      <c r="CK332" s="143"/>
      <c r="CL332" s="143"/>
      <c r="CM332" s="143"/>
      <c r="CN332" s="143"/>
      <c r="CO332" s="143"/>
      <c r="CP332" s="143"/>
      <c r="CQ332" s="143"/>
      <c r="CR332" s="143"/>
      <c r="CS332" s="143"/>
      <c r="CT332" s="143"/>
      <c r="CU332" s="143"/>
      <c r="CV332" s="143"/>
      <c r="CW332" s="143"/>
      <c r="CX332" s="143"/>
      <c r="CY332" s="143"/>
      <c r="CZ332" s="143"/>
      <c r="DA332" s="143"/>
      <c r="DB332" s="143"/>
      <c r="DC332" s="143"/>
      <c r="DD332" s="143"/>
      <c r="DE332" s="143"/>
      <c r="DF332" s="143"/>
      <c r="DG332" s="143"/>
      <c r="DH332" s="143"/>
      <c r="DI332" s="143"/>
      <c r="DJ332" s="143"/>
      <c r="DK332" s="143"/>
      <c r="DL332" s="143"/>
      <c r="DM332" s="143"/>
      <c r="DN332" s="143"/>
      <c r="DO332" s="143"/>
      <c r="DP332" s="143"/>
      <c r="DQ332" s="143"/>
      <c r="DR332" s="143"/>
      <c r="DS332" s="143"/>
      <c r="DT332" s="143"/>
      <c r="DU332" s="143"/>
      <c r="DV332" s="143"/>
      <c r="DW332" s="143"/>
      <c r="DX332" s="143"/>
      <c r="DY332" s="143"/>
      <c r="DZ332" s="143"/>
      <c r="EA332" s="143"/>
      <c r="EB332" s="143"/>
      <c r="EC332" s="143"/>
      <c r="ED332" s="143"/>
      <c r="EE332" s="143"/>
      <c r="EF332" s="143"/>
      <c r="EG332" s="143"/>
      <c r="EH332" s="143"/>
      <c r="EI332" s="143"/>
      <c r="EJ332" s="143"/>
      <c r="EK332" s="143"/>
      <c r="EL332" s="143"/>
      <c r="EM332" s="143"/>
      <c r="EN332" s="143"/>
      <c r="EO332" s="143"/>
      <c r="EP332" s="143"/>
      <c r="EQ332" s="143"/>
      <c r="ER332" s="143"/>
      <c r="ES332" s="143"/>
      <c r="ET332" s="143"/>
      <c r="EU332" s="143"/>
      <c r="EV332" s="143"/>
      <c r="EW332" s="143"/>
      <c r="EX332" s="143"/>
      <c r="EY332" s="143"/>
      <c r="EZ332" s="143"/>
      <c r="FA332" s="143"/>
      <c r="FB332" s="143"/>
      <c r="FC332" s="143"/>
      <c r="FD332" s="143"/>
      <c r="FE332" s="143"/>
      <c r="FF332" s="143"/>
      <c r="FG332" s="143"/>
      <c r="FH332" s="143"/>
      <c r="FI332" s="143"/>
      <c r="FJ332" s="143"/>
      <c r="FK332" s="143"/>
      <c r="FL332" s="143"/>
      <c r="FM332" s="143"/>
      <c r="FN332" s="143"/>
      <c r="FO332" s="143"/>
      <c r="FP332" s="143"/>
      <c r="FQ332" s="143"/>
      <c r="FR332" s="143"/>
      <c r="FS332" s="143"/>
      <c r="FT332" s="143"/>
      <c r="FU332" s="143"/>
      <c r="FV332" s="143"/>
      <c r="FW332" s="143"/>
      <c r="FX332" s="143"/>
      <c r="FY332" s="143"/>
      <c r="FZ332" s="143"/>
      <c r="GA332" s="143"/>
      <c r="GB332" s="143"/>
      <c r="GC332" s="143"/>
      <c r="GD332" s="143"/>
      <c r="GE332" s="143"/>
      <c r="GF332" s="143"/>
      <c r="GG332" s="143"/>
      <c r="GH332" s="143"/>
      <c r="GI332" s="143"/>
      <c r="GJ332" s="143"/>
      <c r="GK332" s="143"/>
      <c r="GL332" s="143"/>
      <c r="GM332" s="143"/>
      <c r="GN332" s="143"/>
      <c r="GO332" s="143"/>
      <c r="GP332" s="143"/>
      <c r="GQ332" s="143"/>
      <c r="GR332" s="143"/>
      <c r="GS332" s="143"/>
      <c r="GT332" s="143"/>
      <c r="GU332" s="143"/>
      <c r="GV332" s="143"/>
      <c r="GW332" s="143"/>
      <c r="GX332" s="143"/>
      <c r="GY332" s="143"/>
      <c r="GZ332" s="143"/>
      <c r="HA332" s="143"/>
      <c r="HB332" s="143"/>
      <c r="HC332" s="143"/>
      <c r="HD332" s="143"/>
      <c r="HE332" s="143"/>
      <c r="HF332" s="143"/>
      <c r="HG332" s="143"/>
      <c r="HH332" s="143"/>
      <c r="HI332" s="143"/>
      <c r="HJ332" s="143"/>
      <c r="HK332" s="143"/>
      <c r="HL332" s="143"/>
      <c r="HM332" s="143"/>
      <c r="HN332" s="143"/>
      <c r="HO332" s="143"/>
      <c r="HP332" s="143"/>
      <c r="HQ332" s="143"/>
      <c r="HR332" s="143"/>
      <c r="HS332" s="143"/>
      <c r="HT332" s="143"/>
      <c r="HU332" s="143"/>
      <c r="HV332" s="143"/>
      <c r="HW332" s="143"/>
      <c r="HX332" s="143"/>
      <c r="HY332" s="143"/>
      <c r="HZ332" s="143"/>
      <c r="IA332" s="143"/>
      <c r="IB332" s="143"/>
      <c r="IC332" s="143"/>
      <c r="ID332" s="143"/>
      <c r="IE332" s="143"/>
      <c r="IF332" s="143"/>
      <c r="IG332" s="143"/>
      <c r="IH332" s="143"/>
      <c r="II332" s="143"/>
      <c r="IJ332" s="143"/>
      <c r="IK332" s="143"/>
      <c r="IL332" s="143"/>
      <c r="IM332" s="143"/>
      <c r="IN332" s="143"/>
      <c r="IO332" s="143"/>
      <c r="IP332" s="143"/>
      <c r="IQ332" s="143"/>
      <c r="IR332" s="143"/>
      <c r="IS332" s="143"/>
      <c r="IT332" s="143"/>
      <c r="IU332" s="143"/>
      <c r="IV332" s="143"/>
      <c r="IW332" s="143"/>
      <c r="IX332" s="143"/>
      <c r="IY332" s="143"/>
      <c r="IZ332" s="143"/>
      <c r="JA332" s="143"/>
      <c r="JB332" s="143"/>
      <c r="JC332" s="143"/>
      <c r="JD332" s="143"/>
      <c r="JE332" s="143"/>
      <c r="JF332" s="143"/>
      <c r="JG332" s="143"/>
      <c r="JH332" s="143"/>
      <c r="JI332" s="143"/>
    </row>
    <row r="333" spans="1:269" hidden="1" outlineLevel="1">
      <c r="A333" s="468"/>
      <c r="B333" s="143"/>
      <c r="C333" s="316"/>
      <c r="D333" s="316"/>
      <c r="E333" s="316"/>
      <c r="F333" s="280"/>
      <c r="G333" s="280"/>
      <c r="H333" s="280"/>
      <c r="I333" s="280"/>
      <c r="J333" s="316"/>
      <c r="K333" s="280"/>
      <c r="L333" s="280"/>
      <c r="M333" s="280"/>
      <c r="N333" s="280"/>
      <c r="O333" s="316"/>
      <c r="P333" s="280"/>
      <c r="Q333" s="280"/>
      <c r="R333" s="280"/>
      <c r="S333" s="280"/>
      <c r="T333" s="316"/>
      <c r="U333" s="414"/>
      <c r="V333" s="414"/>
      <c r="W333" s="414"/>
      <c r="X333" s="414"/>
      <c r="Y333" s="417"/>
      <c r="Z333" s="414"/>
      <c r="AA333" s="414"/>
      <c r="AB333" s="414"/>
      <c r="AC333" s="414"/>
      <c r="AD333" s="422"/>
      <c r="AE333" s="414"/>
      <c r="AF333" s="414"/>
      <c r="AG333" s="414"/>
      <c r="AH333" s="414"/>
      <c r="AI333" s="422"/>
      <c r="AJ333" s="414"/>
      <c r="AK333" s="414"/>
      <c r="AL333" s="414"/>
      <c r="AM333" s="414"/>
      <c r="AN333" s="422"/>
      <c r="AO333" s="280"/>
      <c r="AP333" s="280"/>
      <c r="AQ333" s="280"/>
      <c r="AR333" s="280"/>
      <c r="AS333" s="320"/>
      <c r="AT333" s="315"/>
      <c r="AU333" s="508"/>
      <c r="AV333" s="143"/>
      <c r="AW333" s="143"/>
      <c r="AX333" s="143"/>
      <c r="AY333" s="143"/>
      <c r="AZ333" s="143"/>
      <c r="BA333" s="143"/>
      <c r="BB333" s="143"/>
      <c r="BC333" s="143"/>
      <c r="BD333" s="143"/>
      <c r="BE333" s="143"/>
      <c r="BF333" s="143"/>
      <c r="BG333" s="143"/>
      <c r="BH333" s="143"/>
      <c r="BI333" s="143"/>
      <c r="BJ333" s="143"/>
      <c r="BK333" s="143"/>
      <c r="BL333" s="143"/>
      <c r="BM333" s="143"/>
      <c r="BN333" s="143"/>
      <c r="BO333" s="143"/>
      <c r="BP333" s="143"/>
      <c r="BQ333" s="143"/>
      <c r="BR333" s="143"/>
      <c r="BS333" s="143"/>
      <c r="BT333" s="143"/>
      <c r="BU333" s="143"/>
      <c r="BV333" s="143"/>
      <c r="BW333" s="143"/>
      <c r="BX333" s="143"/>
      <c r="BY333" s="143"/>
      <c r="BZ333" s="143"/>
      <c r="CA333" s="143"/>
      <c r="CB333" s="143"/>
      <c r="CC333" s="143"/>
      <c r="CD333" s="143"/>
      <c r="CE333" s="143"/>
      <c r="CF333" s="143"/>
      <c r="CG333" s="143"/>
      <c r="CH333" s="143"/>
      <c r="CI333" s="143"/>
      <c r="CJ333" s="143"/>
      <c r="CK333" s="143"/>
      <c r="CL333" s="143"/>
      <c r="CM333" s="143"/>
      <c r="CN333" s="143"/>
      <c r="CO333" s="143"/>
      <c r="CP333" s="143"/>
      <c r="CQ333" s="143"/>
      <c r="CR333" s="143"/>
      <c r="CS333" s="143"/>
      <c r="CT333" s="143"/>
      <c r="CU333" s="143"/>
      <c r="CV333" s="143"/>
      <c r="CW333" s="143"/>
      <c r="CX333" s="143"/>
      <c r="CY333" s="143"/>
      <c r="CZ333" s="143"/>
      <c r="DA333" s="143"/>
      <c r="DB333" s="143"/>
      <c r="DC333" s="143"/>
      <c r="DD333" s="143"/>
      <c r="DE333" s="143"/>
      <c r="DF333" s="143"/>
      <c r="DG333" s="143"/>
      <c r="DH333" s="143"/>
      <c r="DI333" s="143"/>
      <c r="DJ333" s="143"/>
      <c r="DK333" s="143"/>
      <c r="DL333" s="143"/>
      <c r="DM333" s="143"/>
      <c r="DN333" s="143"/>
      <c r="DO333" s="143"/>
      <c r="DP333" s="143"/>
      <c r="DQ333" s="143"/>
      <c r="DR333" s="143"/>
      <c r="DS333" s="143"/>
      <c r="DT333" s="143"/>
      <c r="DU333" s="143"/>
      <c r="DV333" s="143"/>
      <c r="DW333" s="143"/>
      <c r="DX333" s="143"/>
      <c r="DY333" s="143"/>
      <c r="DZ333" s="143"/>
      <c r="EA333" s="143"/>
      <c r="EB333" s="143"/>
      <c r="EC333" s="143"/>
      <c r="ED333" s="143"/>
      <c r="EE333" s="143"/>
      <c r="EF333" s="143"/>
      <c r="EG333" s="143"/>
      <c r="EH333" s="143"/>
      <c r="EI333" s="143"/>
      <c r="EJ333" s="143"/>
      <c r="EK333" s="143"/>
      <c r="EL333" s="143"/>
      <c r="EM333" s="143"/>
      <c r="EN333" s="143"/>
      <c r="EO333" s="143"/>
      <c r="EP333" s="143"/>
      <c r="EQ333" s="143"/>
      <c r="ER333" s="143"/>
      <c r="ES333" s="143"/>
      <c r="ET333" s="143"/>
      <c r="EU333" s="143"/>
      <c r="EV333" s="143"/>
      <c r="EW333" s="143"/>
      <c r="EX333" s="143"/>
      <c r="EY333" s="143"/>
      <c r="EZ333" s="143"/>
      <c r="FA333" s="143"/>
      <c r="FB333" s="143"/>
      <c r="FC333" s="143"/>
      <c r="FD333" s="143"/>
      <c r="FE333" s="143"/>
      <c r="FF333" s="143"/>
      <c r="FG333" s="143"/>
      <c r="FH333" s="143"/>
      <c r="FI333" s="143"/>
      <c r="FJ333" s="143"/>
      <c r="FK333" s="143"/>
      <c r="FL333" s="143"/>
      <c r="FM333" s="143"/>
      <c r="FN333" s="143"/>
      <c r="FO333" s="143"/>
      <c r="FP333" s="143"/>
      <c r="FQ333" s="143"/>
      <c r="FR333" s="143"/>
      <c r="FS333" s="143"/>
      <c r="FT333" s="143"/>
      <c r="FU333" s="143"/>
      <c r="FV333" s="143"/>
      <c r="FW333" s="143"/>
      <c r="FX333" s="143"/>
      <c r="FY333" s="143"/>
      <c r="FZ333" s="143"/>
      <c r="GA333" s="143"/>
      <c r="GB333" s="143"/>
      <c r="GC333" s="143"/>
      <c r="GD333" s="143"/>
      <c r="GE333" s="143"/>
      <c r="GF333" s="143"/>
      <c r="GG333" s="143"/>
      <c r="GH333" s="143"/>
      <c r="GI333" s="143"/>
      <c r="GJ333" s="143"/>
      <c r="GK333" s="143"/>
      <c r="GL333" s="143"/>
      <c r="GM333" s="143"/>
      <c r="GN333" s="143"/>
      <c r="GO333" s="143"/>
      <c r="GP333" s="143"/>
      <c r="GQ333" s="143"/>
      <c r="GR333" s="143"/>
      <c r="GS333" s="143"/>
      <c r="GT333" s="143"/>
      <c r="GU333" s="143"/>
      <c r="GV333" s="143"/>
      <c r="GW333" s="143"/>
      <c r="GX333" s="143"/>
      <c r="GY333" s="143"/>
      <c r="GZ333" s="143"/>
      <c r="HA333" s="143"/>
      <c r="HB333" s="143"/>
      <c r="HC333" s="143"/>
      <c r="HD333" s="143"/>
      <c r="HE333" s="143"/>
      <c r="HF333" s="143"/>
      <c r="HG333" s="143"/>
      <c r="HH333" s="143"/>
      <c r="HI333" s="143"/>
      <c r="HJ333" s="143"/>
      <c r="HK333" s="143"/>
      <c r="HL333" s="143"/>
      <c r="HM333" s="143"/>
      <c r="HN333" s="143"/>
      <c r="HO333" s="143"/>
      <c r="HP333" s="143"/>
      <c r="HQ333" s="143"/>
      <c r="HR333" s="143"/>
      <c r="HS333" s="143"/>
      <c r="HT333" s="143"/>
      <c r="HU333" s="143"/>
      <c r="HV333" s="143"/>
      <c r="HW333" s="143"/>
      <c r="HX333" s="143"/>
      <c r="HY333" s="143"/>
      <c r="HZ333" s="143"/>
      <c r="IA333" s="143"/>
      <c r="IB333" s="143"/>
      <c r="IC333" s="143"/>
      <c r="ID333" s="143"/>
      <c r="IE333" s="143"/>
      <c r="IF333" s="143"/>
      <c r="IG333" s="143"/>
      <c r="IH333" s="143"/>
      <c r="II333" s="143"/>
      <c r="IJ333" s="143"/>
      <c r="IK333" s="143"/>
      <c r="IL333" s="143"/>
      <c r="IM333" s="143"/>
      <c r="IN333" s="143"/>
      <c r="IO333" s="143"/>
      <c r="IP333" s="143"/>
      <c r="IQ333" s="143"/>
      <c r="IR333" s="143"/>
      <c r="IS333" s="143"/>
      <c r="IT333" s="143"/>
      <c r="IU333" s="143"/>
      <c r="IV333" s="143"/>
      <c r="IW333" s="143"/>
      <c r="IX333" s="143"/>
      <c r="IY333" s="143"/>
      <c r="IZ333" s="143"/>
      <c r="JA333" s="143"/>
      <c r="JB333" s="143"/>
      <c r="JC333" s="143"/>
      <c r="JD333" s="143"/>
      <c r="JE333" s="143"/>
      <c r="JF333" s="143"/>
      <c r="JG333" s="143"/>
      <c r="JH333" s="143"/>
      <c r="JI333" s="143"/>
    </row>
    <row r="334" spans="1:269" hidden="1" outlineLevel="1">
      <c r="A334" s="52" t="s">
        <v>242</v>
      </c>
      <c r="B334" s="53"/>
      <c r="C334" s="54"/>
      <c r="D334" s="54"/>
      <c r="E334" s="54"/>
      <c r="F334" s="54"/>
      <c r="G334" s="54"/>
      <c r="H334" s="54"/>
      <c r="I334" s="54"/>
      <c r="J334" s="54"/>
      <c r="K334" s="54"/>
      <c r="L334" s="54"/>
      <c r="M334" s="54"/>
      <c r="N334" s="54"/>
      <c r="O334" s="54"/>
      <c r="P334" s="54"/>
      <c r="Q334" s="54"/>
      <c r="R334" s="54"/>
      <c r="S334" s="54"/>
      <c r="T334" s="54"/>
      <c r="U334" s="54"/>
      <c r="V334" s="54"/>
      <c r="W334" s="54"/>
      <c r="X334" s="54"/>
      <c r="Y334" s="54"/>
      <c r="Z334" s="54"/>
      <c r="AA334" s="54"/>
      <c r="AB334" s="54"/>
      <c r="AC334" s="54"/>
      <c r="AD334" s="538"/>
      <c r="AE334" s="54"/>
      <c r="AF334" s="54"/>
      <c r="AG334" s="55"/>
      <c r="AH334" s="55"/>
      <c r="AI334" s="55"/>
      <c r="AJ334" s="55"/>
      <c r="AK334" s="55"/>
      <c r="AL334" s="55"/>
      <c r="AM334" s="55"/>
      <c r="AN334" s="55"/>
      <c r="AO334" s="55"/>
      <c r="AP334" s="55"/>
      <c r="AQ334" s="55"/>
      <c r="AR334" s="55"/>
      <c r="AS334" s="55"/>
      <c r="AT334" s="315"/>
      <c r="AU334" s="508"/>
      <c r="AV334" s="143"/>
      <c r="AW334" s="143"/>
      <c r="AX334" s="143"/>
      <c r="AY334" s="143"/>
      <c r="AZ334" s="143"/>
      <c r="BA334" s="143"/>
      <c r="BB334" s="143"/>
      <c r="BC334" s="143"/>
      <c r="BD334" s="143"/>
      <c r="BE334" s="143"/>
      <c r="BF334" s="143"/>
      <c r="BG334" s="143"/>
      <c r="BH334" s="143"/>
      <c r="BI334" s="143"/>
      <c r="BJ334" s="143"/>
      <c r="BK334" s="143"/>
      <c r="BL334" s="143"/>
      <c r="BM334" s="143"/>
      <c r="BN334" s="143"/>
      <c r="BO334" s="143"/>
      <c r="BP334" s="143"/>
      <c r="BQ334" s="143"/>
      <c r="BR334" s="143"/>
      <c r="BS334" s="143"/>
      <c r="BT334" s="143"/>
      <c r="BU334" s="143"/>
      <c r="BV334" s="143"/>
      <c r="BW334" s="143"/>
      <c r="BX334" s="143"/>
      <c r="BY334" s="143"/>
      <c r="BZ334" s="143"/>
      <c r="CA334" s="143"/>
      <c r="CB334" s="143"/>
      <c r="CC334" s="143"/>
      <c r="CD334" s="143"/>
      <c r="CE334" s="143"/>
      <c r="CF334" s="143"/>
      <c r="CG334" s="143"/>
      <c r="CH334" s="143"/>
      <c r="CI334" s="143"/>
      <c r="CJ334" s="143"/>
      <c r="CK334" s="143"/>
      <c r="CL334" s="143"/>
      <c r="CM334" s="143"/>
      <c r="CN334" s="143"/>
      <c r="CO334" s="143"/>
      <c r="CP334" s="143"/>
      <c r="CQ334" s="143"/>
      <c r="CR334" s="143"/>
      <c r="CS334" s="143"/>
      <c r="CT334" s="143"/>
      <c r="CU334" s="143"/>
      <c r="CV334" s="143"/>
      <c r="CW334" s="143"/>
      <c r="CX334" s="143"/>
      <c r="CY334" s="143"/>
      <c r="CZ334" s="143"/>
      <c r="DA334" s="143"/>
      <c r="DB334" s="143"/>
      <c r="DC334" s="143"/>
      <c r="DD334" s="143"/>
      <c r="DE334" s="143"/>
      <c r="DF334" s="143"/>
      <c r="DG334" s="143"/>
      <c r="DH334" s="143"/>
      <c r="DI334" s="143"/>
      <c r="DJ334" s="143"/>
      <c r="DK334" s="143"/>
      <c r="DL334" s="143"/>
      <c r="DM334" s="143"/>
      <c r="DN334" s="143"/>
      <c r="DO334" s="143"/>
      <c r="DP334" s="143"/>
      <c r="DQ334" s="143"/>
      <c r="DR334" s="143"/>
      <c r="DS334" s="143"/>
      <c r="DT334" s="143"/>
      <c r="DU334" s="143"/>
      <c r="DV334" s="143"/>
      <c r="DW334" s="143"/>
      <c r="DX334" s="143"/>
      <c r="DY334" s="143"/>
      <c r="DZ334" s="143"/>
      <c r="EA334" s="143"/>
      <c r="EB334" s="143"/>
      <c r="EC334" s="143"/>
      <c r="ED334" s="143"/>
      <c r="EE334" s="143"/>
      <c r="EF334" s="143"/>
      <c r="EG334" s="143"/>
      <c r="EH334" s="143"/>
      <c r="EI334" s="143"/>
      <c r="EJ334" s="143"/>
      <c r="EK334" s="143"/>
      <c r="EL334" s="143"/>
      <c r="EM334" s="143"/>
      <c r="EN334" s="143"/>
      <c r="EO334" s="143"/>
      <c r="EP334" s="143"/>
      <c r="EQ334" s="143"/>
      <c r="ER334" s="143"/>
      <c r="ES334" s="143"/>
      <c r="ET334" s="143"/>
      <c r="EU334" s="143"/>
      <c r="EV334" s="143"/>
      <c r="EW334" s="143"/>
      <c r="EX334" s="143"/>
      <c r="EY334" s="143"/>
      <c r="EZ334" s="143"/>
      <c r="FA334" s="143"/>
      <c r="FB334" s="143"/>
      <c r="FC334" s="143"/>
      <c r="FD334" s="143"/>
      <c r="FE334" s="143"/>
      <c r="FF334" s="143"/>
      <c r="FG334" s="143"/>
      <c r="FH334" s="143"/>
      <c r="FI334" s="143"/>
      <c r="FJ334" s="143"/>
      <c r="FK334" s="143"/>
      <c r="FL334" s="143"/>
      <c r="FM334" s="143"/>
      <c r="FN334" s="143"/>
      <c r="FO334" s="143"/>
      <c r="FP334" s="143"/>
      <c r="FQ334" s="143"/>
      <c r="FR334" s="143"/>
      <c r="FS334" s="143"/>
      <c r="FT334" s="143"/>
      <c r="FU334" s="143"/>
      <c r="FV334" s="143"/>
      <c r="FW334" s="143"/>
      <c r="FX334" s="143"/>
      <c r="FY334" s="143"/>
      <c r="FZ334" s="143"/>
      <c r="GA334" s="143"/>
      <c r="GB334" s="143"/>
      <c r="GC334" s="143"/>
      <c r="GD334" s="143"/>
      <c r="GE334" s="143"/>
      <c r="GF334" s="143"/>
      <c r="GG334" s="143"/>
      <c r="GH334" s="143"/>
      <c r="GI334" s="143"/>
      <c r="GJ334" s="143"/>
      <c r="GK334" s="143"/>
      <c r="GL334" s="143"/>
      <c r="GM334" s="143"/>
      <c r="GN334" s="143"/>
      <c r="GO334" s="143"/>
      <c r="GP334" s="143"/>
      <c r="GQ334" s="143"/>
      <c r="GR334" s="143"/>
      <c r="GS334" s="143"/>
      <c r="GT334" s="143"/>
      <c r="GU334" s="143"/>
      <c r="GV334" s="143"/>
      <c r="GW334" s="143"/>
      <c r="GX334" s="143"/>
      <c r="GY334" s="143"/>
      <c r="GZ334" s="143"/>
      <c r="HA334" s="143"/>
      <c r="HB334" s="143"/>
      <c r="HC334" s="143"/>
      <c r="HD334" s="143"/>
      <c r="HE334" s="143"/>
      <c r="HF334" s="143"/>
      <c r="HG334" s="143"/>
      <c r="HH334" s="143"/>
      <c r="HI334" s="143"/>
      <c r="HJ334" s="143"/>
      <c r="HK334" s="143"/>
      <c r="HL334" s="143"/>
      <c r="HM334" s="143"/>
      <c r="HN334" s="143"/>
      <c r="HO334" s="143"/>
      <c r="HP334" s="143"/>
      <c r="HQ334" s="143"/>
      <c r="HR334" s="143"/>
      <c r="HS334" s="143"/>
      <c r="HT334" s="143"/>
      <c r="HU334" s="143"/>
      <c r="HV334" s="143"/>
      <c r="HW334" s="143"/>
      <c r="HX334" s="143"/>
      <c r="HY334" s="143"/>
      <c r="HZ334" s="143"/>
      <c r="IA334" s="143"/>
      <c r="IB334" s="143"/>
      <c r="IC334" s="143"/>
      <c r="ID334" s="143"/>
      <c r="IE334" s="143"/>
      <c r="IF334" s="143"/>
      <c r="IG334" s="143"/>
      <c r="IH334" s="143"/>
      <c r="II334" s="143"/>
      <c r="IJ334" s="143"/>
      <c r="IK334" s="143"/>
      <c r="IL334" s="143"/>
      <c r="IM334" s="143"/>
      <c r="IN334" s="143"/>
      <c r="IO334" s="143"/>
      <c r="IP334" s="143"/>
      <c r="IQ334" s="143"/>
      <c r="IR334" s="143"/>
      <c r="IS334" s="143"/>
      <c r="IT334" s="143"/>
      <c r="IU334" s="143"/>
      <c r="IV334" s="143"/>
      <c r="IW334" s="143"/>
      <c r="IX334" s="143"/>
      <c r="IY334" s="143"/>
      <c r="IZ334" s="143"/>
      <c r="JA334" s="143"/>
      <c r="JB334" s="143"/>
      <c r="JC334" s="143"/>
      <c r="JD334" s="143"/>
      <c r="JE334" s="143"/>
      <c r="JF334" s="143"/>
      <c r="JG334" s="143"/>
      <c r="JH334" s="143"/>
      <c r="JI334" s="143"/>
    </row>
    <row r="335" spans="1:269" hidden="1" outlineLevel="1">
      <c r="A335" s="468"/>
      <c r="B335" s="143"/>
      <c r="C335" s="316"/>
      <c r="D335" s="316"/>
      <c r="E335" s="316"/>
      <c r="F335" s="280"/>
      <c r="G335" s="280"/>
      <c r="H335" s="280"/>
      <c r="I335" s="280"/>
      <c r="J335" s="316"/>
      <c r="K335" s="280"/>
      <c r="L335" s="280"/>
      <c r="M335" s="280"/>
      <c r="N335" s="280"/>
      <c r="O335" s="316"/>
      <c r="P335" s="280"/>
      <c r="Q335" s="280"/>
      <c r="R335" s="280"/>
      <c r="S335" s="280"/>
      <c r="T335" s="316"/>
      <c r="U335" s="414"/>
      <c r="V335" s="414"/>
      <c r="W335" s="414"/>
      <c r="X335" s="414"/>
      <c r="Y335" s="417"/>
      <c r="Z335" s="414"/>
      <c r="AA335" s="414"/>
      <c r="AB335" s="414"/>
      <c r="AC335" s="414"/>
      <c r="AD335" s="422"/>
      <c r="AE335" s="414"/>
      <c r="AF335" s="414"/>
      <c r="AG335" s="414"/>
      <c r="AH335" s="414"/>
      <c r="AI335" s="422"/>
      <c r="AJ335" s="414"/>
      <c r="AK335" s="414"/>
      <c r="AL335" s="414"/>
      <c r="AM335" s="414"/>
      <c r="AN335" s="422"/>
      <c r="AO335" s="280"/>
      <c r="AP335" s="280"/>
      <c r="AQ335" s="280"/>
      <c r="AR335" s="280"/>
      <c r="AS335" s="320"/>
      <c r="AT335" s="315"/>
      <c r="AU335" s="508"/>
      <c r="AV335" s="143"/>
      <c r="AW335" s="143"/>
      <c r="AX335" s="143"/>
      <c r="AY335" s="143"/>
      <c r="AZ335" s="143"/>
      <c r="BA335" s="143"/>
      <c r="BB335" s="143"/>
      <c r="BC335" s="143"/>
      <c r="BD335" s="143"/>
      <c r="BE335" s="143"/>
      <c r="BF335" s="143"/>
      <c r="BG335" s="143"/>
      <c r="BH335" s="143"/>
      <c r="BI335" s="143"/>
      <c r="BJ335" s="143"/>
      <c r="BK335" s="143"/>
      <c r="BL335" s="143"/>
      <c r="BM335" s="143"/>
      <c r="BN335" s="143"/>
      <c r="BO335" s="143"/>
      <c r="BP335" s="143"/>
      <c r="BQ335" s="143"/>
      <c r="BR335" s="143"/>
      <c r="BS335" s="143"/>
      <c r="BT335" s="143"/>
      <c r="BU335" s="143"/>
      <c r="BV335" s="143"/>
      <c r="BW335" s="143"/>
      <c r="BX335" s="143"/>
      <c r="BY335" s="143"/>
      <c r="BZ335" s="143"/>
      <c r="CA335" s="143"/>
      <c r="CB335" s="143"/>
      <c r="CC335" s="143"/>
      <c r="CD335" s="143"/>
      <c r="CE335" s="143"/>
      <c r="CF335" s="143"/>
      <c r="CG335" s="143"/>
      <c r="CH335" s="143"/>
      <c r="CI335" s="143"/>
      <c r="CJ335" s="143"/>
      <c r="CK335" s="143"/>
      <c r="CL335" s="143"/>
      <c r="CM335" s="143"/>
      <c r="CN335" s="143"/>
      <c r="CO335" s="143"/>
      <c r="CP335" s="143"/>
      <c r="CQ335" s="143"/>
      <c r="CR335" s="143"/>
      <c r="CS335" s="143"/>
      <c r="CT335" s="143"/>
      <c r="CU335" s="143"/>
      <c r="CV335" s="143"/>
      <c r="CW335" s="143"/>
      <c r="CX335" s="143"/>
      <c r="CY335" s="143"/>
      <c r="CZ335" s="143"/>
      <c r="DA335" s="143"/>
      <c r="DB335" s="143"/>
      <c r="DC335" s="143"/>
      <c r="DD335" s="143"/>
      <c r="DE335" s="143"/>
      <c r="DF335" s="143"/>
      <c r="DG335" s="143"/>
      <c r="DH335" s="143"/>
      <c r="DI335" s="143"/>
      <c r="DJ335" s="143"/>
      <c r="DK335" s="143"/>
      <c r="DL335" s="143"/>
      <c r="DM335" s="143"/>
      <c r="DN335" s="143"/>
      <c r="DO335" s="143"/>
      <c r="DP335" s="143"/>
      <c r="DQ335" s="143"/>
      <c r="DR335" s="143"/>
      <c r="DS335" s="143"/>
      <c r="DT335" s="143"/>
      <c r="DU335" s="143"/>
      <c r="DV335" s="143"/>
      <c r="DW335" s="143"/>
      <c r="DX335" s="143"/>
      <c r="DY335" s="143"/>
      <c r="DZ335" s="143"/>
      <c r="EA335" s="143"/>
      <c r="EB335" s="143"/>
      <c r="EC335" s="143"/>
      <c r="ED335" s="143"/>
      <c r="EE335" s="143"/>
      <c r="EF335" s="143"/>
      <c r="EG335" s="143"/>
      <c r="EH335" s="143"/>
      <c r="EI335" s="143"/>
      <c r="EJ335" s="143"/>
      <c r="EK335" s="143"/>
      <c r="EL335" s="143"/>
      <c r="EM335" s="143"/>
      <c r="EN335" s="143"/>
      <c r="EO335" s="143"/>
      <c r="EP335" s="143"/>
      <c r="EQ335" s="143"/>
      <c r="ER335" s="143"/>
      <c r="ES335" s="143"/>
      <c r="ET335" s="143"/>
      <c r="EU335" s="143"/>
      <c r="EV335" s="143"/>
      <c r="EW335" s="143"/>
      <c r="EX335" s="143"/>
      <c r="EY335" s="143"/>
      <c r="EZ335" s="143"/>
      <c r="FA335" s="143"/>
      <c r="FB335" s="143"/>
      <c r="FC335" s="143"/>
      <c r="FD335" s="143"/>
      <c r="FE335" s="143"/>
      <c r="FF335" s="143"/>
      <c r="FG335" s="143"/>
      <c r="FH335" s="143"/>
      <c r="FI335" s="143"/>
      <c r="FJ335" s="143"/>
      <c r="FK335" s="143"/>
      <c r="FL335" s="143"/>
      <c r="FM335" s="143"/>
      <c r="FN335" s="143"/>
      <c r="FO335" s="143"/>
      <c r="FP335" s="143"/>
      <c r="FQ335" s="143"/>
      <c r="FR335" s="143"/>
      <c r="FS335" s="143"/>
      <c r="FT335" s="143"/>
      <c r="FU335" s="143"/>
      <c r="FV335" s="143"/>
      <c r="FW335" s="143"/>
      <c r="FX335" s="143"/>
      <c r="FY335" s="143"/>
      <c r="FZ335" s="143"/>
      <c r="GA335" s="143"/>
      <c r="GB335" s="143"/>
      <c r="GC335" s="143"/>
      <c r="GD335" s="143"/>
      <c r="GE335" s="143"/>
      <c r="GF335" s="143"/>
      <c r="GG335" s="143"/>
      <c r="GH335" s="143"/>
      <c r="GI335" s="143"/>
      <c r="GJ335" s="143"/>
      <c r="GK335" s="143"/>
      <c r="GL335" s="143"/>
      <c r="GM335" s="143"/>
      <c r="GN335" s="143"/>
      <c r="GO335" s="143"/>
      <c r="GP335" s="143"/>
      <c r="GQ335" s="143"/>
      <c r="GR335" s="143"/>
      <c r="GS335" s="143"/>
      <c r="GT335" s="143"/>
      <c r="GU335" s="143"/>
      <c r="GV335" s="143"/>
      <c r="GW335" s="143"/>
      <c r="GX335" s="143"/>
      <c r="GY335" s="143"/>
      <c r="GZ335" s="143"/>
      <c r="HA335" s="143"/>
      <c r="HB335" s="143"/>
      <c r="HC335" s="143"/>
      <c r="HD335" s="143"/>
      <c r="HE335" s="143"/>
      <c r="HF335" s="143"/>
      <c r="HG335" s="143"/>
      <c r="HH335" s="143"/>
      <c r="HI335" s="143"/>
      <c r="HJ335" s="143"/>
      <c r="HK335" s="143"/>
      <c r="HL335" s="143"/>
      <c r="HM335" s="143"/>
      <c r="HN335" s="143"/>
      <c r="HO335" s="143"/>
      <c r="HP335" s="143"/>
      <c r="HQ335" s="143"/>
      <c r="HR335" s="143"/>
      <c r="HS335" s="143"/>
      <c r="HT335" s="143"/>
      <c r="HU335" s="143"/>
      <c r="HV335" s="143"/>
      <c r="HW335" s="143"/>
      <c r="HX335" s="143"/>
      <c r="HY335" s="143"/>
      <c r="HZ335" s="143"/>
      <c r="IA335" s="143"/>
      <c r="IB335" s="143"/>
      <c r="IC335" s="143"/>
      <c r="ID335" s="143"/>
      <c r="IE335" s="143"/>
      <c r="IF335" s="143"/>
      <c r="IG335" s="143"/>
      <c r="IH335" s="143"/>
      <c r="II335" s="143"/>
      <c r="IJ335" s="143"/>
      <c r="IK335" s="143"/>
      <c r="IL335" s="143"/>
      <c r="IM335" s="143"/>
      <c r="IN335" s="143"/>
      <c r="IO335" s="143"/>
      <c r="IP335" s="143"/>
      <c r="IQ335" s="143"/>
      <c r="IR335" s="143"/>
      <c r="IS335" s="143"/>
      <c r="IT335" s="143"/>
      <c r="IU335" s="143"/>
      <c r="IV335" s="143"/>
      <c r="IW335" s="143"/>
      <c r="IX335" s="143"/>
      <c r="IY335" s="143"/>
      <c r="IZ335" s="143"/>
      <c r="JA335" s="143"/>
      <c r="JB335" s="143"/>
      <c r="JC335" s="143"/>
      <c r="JD335" s="143"/>
      <c r="JE335" s="143"/>
      <c r="JF335" s="143"/>
      <c r="JG335" s="143"/>
      <c r="JH335" s="143"/>
      <c r="JI335" s="143"/>
    </row>
    <row r="336" spans="1:269" ht="15" hidden="1" outlineLevel="1" thickBot="1">
      <c r="A336" s="474" t="s">
        <v>252</v>
      </c>
      <c r="B336" s="67"/>
      <c r="C336" s="415"/>
      <c r="D336" s="415"/>
      <c r="E336" s="415"/>
      <c r="F336" s="72"/>
      <c r="G336" s="72"/>
      <c r="H336" s="72"/>
      <c r="I336" s="72"/>
      <c r="J336" s="415"/>
      <c r="K336" s="72"/>
      <c r="L336" s="72"/>
      <c r="M336" s="72"/>
      <c r="N336" s="72"/>
      <c r="O336" s="415"/>
      <c r="P336" s="72"/>
      <c r="Q336" s="72"/>
      <c r="R336" s="72"/>
      <c r="S336" s="72"/>
      <c r="T336" s="415"/>
      <c r="U336" s="477"/>
      <c r="V336" s="477"/>
      <c r="W336" s="477"/>
      <c r="X336" s="477"/>
      <c r="Y336" s="478"/>
      <c r="Z336" s="477"/>
      <c r="AA336" s="477"/>
      <c r="AB336" s="477"/>
      <c r="AC336" s="477"/>
      <c r="AD336" s="479"/>
      <c r="AE336" s="477"/>
      <c r="AF336" s="477"/>
      <c r="AG336" s="477"/>
      <c r="AH336" s="477"/>
      <c r="AI336" s="479"/>
      <c r="AJ336" s="477"/>
      <c r="AK336" s="477"/>
      <c r="AL336" s="477"/>
      <c r="AM336" s="477"/>
      <c r="AN336" s="479"/>
      <c r="AO336" s="72"/>
      <c r="AP336" s="72"/>
      <c r="AQ336" s="72"/>
      <c r="AR336" s="72"/>
      <c r="AS336" s="329"/>
      <c r="AT336" s="315"/>
      <c r="AU336" s="508"/>
      <c r="AV336" s="143"/>
      <c r="AW336" s="143"/>
      <c r="AX336" s="143"/>
      <c r="AY336" s="143"/>
      <c r="AZ336" s="143"/>
      <c r="BA336" s="143"/>
      <c r="BB336" s="143"/>
      <c r="BC336" s="143"/>
      <c r="BD336" s="143"/>
      <c r="BE336" s="143"/>
      <c r="BF336" s="143"/>
      <c r="BG336" s="143"/>
      <c r="BH336" s="143"/>
      <c r="BI336" s="143"/>
      <c r="BJ336" s="143"/>
      <c r="BK336" s="143"/>
      <c r="BL336" s="143"/>
      <c r="BM336" s="143"/>
      <c r="BN336" s="143"/>
      <c r="BO336" s="143"/>
      <c r="BP336" s="143"/>
      <c r="BQ336" s="143"/>
      <c r="BR336" s="143"/>
      <c r="BS336" s="143"/>
      <c r="BT336" s="143"/>
      <c r="BU336" s="143"/>
      <c r="BV336" s="143"/>
      <c r="BW336" s="143"/>
      <c r="BX336" s="143"/>
      <c r="BY336" s="143"/>
      <c r="BZ336" s="143"/>
      <c r="CA336" s="143"/>
      <c r="CB336" s="143"/>
      <c r="CC336" s="143"/>
      <c r="CD336" s="143"/>
      <c r="CE336" s="143"/>
      <c r="CF336" s="143"/>
      <c r="CG336" s="143"/>
      <c r="CH336" s="143"/>
      <c r="CI336" s="143"/>
      <c r="CJ336" s="143"/>
      <c r="CK336" s="143"/>
      <c r="CL336" s="143"/>
      <c r="CM336" s="143"/>
      <c r="CN336" s="143"/>
      <c r="CO336" s="143"/>
      <c r="CP336" s="143"/>
      <c r="CQ336" s="143"/>
      <c r="CR336" s="143"/>
      <c r="CS336" s="143"/>
      <c r="CT336" s="143"/>
      <c r="CU336" s="143"/>
      <c r="CV336" s="143"/>
      <c r="CW336" s="143"/>
      <c r="CX336" s="143"/>
      <c r="CY336" s="143"/>
      <c r="CZ336" s="143"/>
      <c r="DA336" s="143"/>
      <c r="DB336" s="143"/>
      <c r="DC336" s="143"/>
      <c r="DD336" s="143"/>
      <c r="DE336" s="143"/>
      <c r="DF336" s="143"/>
      <c r="DG336" s="143"/>
      <c r="DH336" s="143"/>
      <c r="DI336" s="143"/>
      <c r="DJ336" s="143"/>
      <c r="DK336" s="143"/>
      <c r="DL336" s="143"/>
      <c r="DM336" s="143"/>
      <c r="DN336" s="143"/>
      <c r="DO336" s="143"/>
      <c r="DP336" s="143"/>
      <c r="DQ336" s="143"/>
      <c r="DR336" s="143"/>
      <c r="DS336" s="143"/>
      <c r="DT336" s="143"/>
      <c r="DU336" s="143"/>
      <c r="DV336" s="143"/>
      <c r="DW336" s="143"/>
      <c r="DX336" s="143"/>
      <c r="DY336" s="143"/>
      <c r="DZ336" s="143"/>
      <c r="EA336" s="143"/>
      <c r="EB336" s="143"/>
      <c r="EC336" s="143"/>
      <c r="ED336" s="143"/>
      <c r="EE336" s="143"/>
      <c r="EF336" s="143"/>
      <c r="EG336" s="143"/>
      <c r="EH336" s="143"/>
      <c r="EI336" s="143"/>
      <c r="EJ336" s="143"/>
      <c r="EK336" s="143"/>
      <c r="EL336" s="143"/>
      <c r="EM336" s="143"/>
      <c r="EN336" s="143"/>
      <c r="EO336" s="143"/>
      <c r="EP336" s="143"/>
      <c r="EQ336" s="143"/>
      <c r="ER336" s="143"/>
      <c r="ES336" s="143"/>
      <c r="ET336" s="143"/>
      <c r="EU336" s="143"/>
      <c r="EV336" s="143"/>
      <c r="EW336" s="143"/>
      <c r="EX336" s="143"/>
      <c r="EY336" s="143"/>
      <c r="EZ336" s="143"/>
      <c r="FA336" s="143"/>
      <c r="FB336" s="143"/>
      <c r="FC336" s="143"/>
      <c r="FD336" s="143"/>
      <c r="FE336" s="143"/>
      <c r="FF336" s="143"/>
      <c r="FG336" s="143"/>
      <c r="FH336" s="143"/>
      <c r="FI336" s="143"/>
      <c r="FJ336" s="143"/>
      <c r="FK336" s="143"/>
      <c r="FL336" s="143"/>
      <c r="FM336" s="143"/>
      <c r="FN336" s="143"/>
      <c r="FO336" s="143"/>
      <c r="FP336" s="143"/>
      <c r="FQ336" s="143"/>
      <c r="FR336" s="143"/>
      <c r="FS336" s="143"/>
      <c r="FT336" s="143"/>
      <c r="FU336" s="143"/>
      <c r="FV336" s="143"/>
      <c r="FW336" s="143"/>
      <c r="FX336" s="143"/>
      <c r="FY336" s="143"/>
      <c r="FZ336" s="143"/>
      <c r="GA336" s="143"/>
      <c r="GB336" s="143"/>
      <c r="GC336" s="143"/>
      <c r="GD336" s="143"/>
      <c r="GE336" s="143"/>
      <c r="GF336" s="143"/>
      <c r="GG336" s="143"/>
      <c r="GH336" s="143"/>
      <c r="GI336" s="143"/>
      <c r="GJ336" s="143"/>
      <c r="GK336" s="143"/>
      <c r="GL336" s="143"/>
      <c r="GM336" s="143"/>
      <c r="GN336" s="143"/>
      <c r="GO336" s="143"/>
      <c r="GP336" s="143"/>
      <c r="GQ336" s="143"/>
      <c r="GR336" s="143"/>
      <c r="GS336" s="143"/>
      <c r="GT336" s="143"/>
      <c r="GU336" s="143"/>
      <c r="GV336" s="143"/>
      <c r="GW336" s="143"/>
      <c r="GX336" s="143"/>
      <c r="GY336" s="143"/>
      <c r="GZ336" s="143"/>
      <c r="HA336" s="143"/>
      <c r="HB336" s="143"/>
      <c r="HC336" s="143"/>
      <c r="HD336" s="143"/>
      <c r="HE336" s="143"/>
      <c r="HF336" s="143"/>
      <c r="HG336" s="143"/>
      <c r="HH336" s="143"/>
      <c r="HI336" s="143"/>
      <c r="HJ336" s="143"/>
      <c r="HK336" s="143"/>
      <c r="HL336" s="143"/>
      <c r="HM336" s="143"/>
      <c r="HN336" s="143"/>
      <c r="HO336" s="143"/>
      <c r="HP336" s="143"/>
      <c r="HQ336" s="143"/>
      <c r="HR336" s="143"/>
      <c r="HS336" s="143"/>
      <c r="HT336" s="143"/>
      <c r="HU336" s="143"/>
      <c r="HV336" s="143"/>
      <c r="HW336" s="143"/>
      <c r="HX336" s="143"/>
      <c r="HY336" s="143"/>
      <c r="HZ336" s="143"/>
      <c r="IA336" s="143"/>
      <c r="IB336" s="143"/>
      <c r="IC336" s="143"/>
      <c r="ID336" s="143"/>
      <c r="IE336" s="143"/>
      <c r="IF336" s="143"/>
      <c r="IG336" s="143"/>
      <c r="IH336" s="143"/>
      <c r="II336" s="143"/>
      <c r="IJ336" s="143"/>
      <c r="IK336" s="143"/>
      <c r="IL336" s="143"/>
      <c r="IM336" s="143"/>
      <c r="IN336" s="143"/>
      <c r="IO336" s="143"/>
      <c r="IP336" s="143"/>
      <c r="IQ336" s="143"/>
      <c r="IR336" s="143"/>
      <c r="IS336" s="143"/>
      <c r="IT336" s="143"/>
      <c r="IU336" s="143"/>
      <c r="IV336" s="143"/>
      <c r="IW336" s="143"/>
      <c r="IX336" s="143"/>
      <c r="IY336" s="143"/>
      <c r="IZ336" s="143"/>
      <c r="JA336" s="143"/>
      <c r="JB336" s="143"/>
      <c r="JC336" s="143"/>
      <c r="JD336" s="143"/>
      <c r="JE336" s="143"/>
      <c r="JF336" s="143"/>
      <c r="JG336" s="143"/>
      <c r="JH336" s="143"/>
      <c r="JI336" s="143"/>
    </row>
    <row r="337" spans="1:269" ht="15" hidden="1" outlineLevel="1" thickTop="1">
      <c r="A337" s="468" t="s">
        <v>240</v>
      </c>
      <c r="B337" s="143" t="s">
        <v>241</v>
      </c>
      <c r="C337" s="74" t="e">
        <f>SUM(#REF!)</f>
        <v>#REF!</v>
      </c>
      <c r="D337" s="74" t="e">
        <f>SUM(#REF!)</f>
        <v>#REF!</v>
      </c>
      <c r="E337" s="74" t="e">
        <f>SUM(#REF!)</f>
        <v>#REF!</v>
      </c>
      <c r="F337" s="445" t="e">
        <f>_xll.BQL.QUERY("get(sum(px_last(start=" &amp; TEXT(#REF!, "YYYY-MM-DD") &amp; ", end=" &amp; TEXT(F$5, "YYYY-MM-DD") &amp; "))) for('"&amp;$B337&amp;"')")</f>
        <v>#REF!</v>
      </c>
      <c r="G337" s="445">
        <f>_xll.BQL.QUERY("get(sum(px_last(start=" &amp; TEXT(F$5, "YYYY-MM-DD") &amp; ", end=" &amp; TEXT(G$5, "YYYY-MM-DD") &amp; "))) for('"&amp;$B337&amp;"')")</f>
        <v>2116233</v>
      </c>
      <c r="H337" s="445">
        <f>_xll.BQL.QUERY("get(sum(px_last(start=" &amp; TEXT(G$5, "YYYY-MM-DD") &amp; ", end=" &amp; TEXT(H$5, "YYYY-MM-DD") &amp; "))) for('"&amp;$B337&amp;"')")</f>
        <v>2370475</v>
      </c>
      <c r="I337" s="445">
        <f>_xll.BQL.QUERY("get(sum(px_last(start=" &amp; TEXT(H$5, "YYYY-MM-DD") &amp; ", end=" &amp; TEXT(I$5, "YYYY-MM-DD") &amp; "))) for('"&amp;$B337&amp;"')")</f>
        <v>3263855</v>
      </c>
      <c r="J337" s="74" t="e">
        <f>SUM(#REF!)</f>
        <v>#REF!</v>
      </c>
      <c r="K337" s="445" t="e">
        <f>_xll.BQL.QUERY("get(sum(px_last(start=" &amp; TEXT(#REF!, "YYYY-MM-DD") &amp; ", end=" &amp; TEXT(K$5, "YYYY-MM-DD") &amp; "))) for('"&amp;$B337&amp;"')")</f>
        <v>#REF!</v>
      </c>
      <c r="L337" s="445">
        <f>_xll.BQL.QUERY("get(sum(px_last(start=" &amp; TEXT(K$5, "YYYY-MM-DD") &amp; ", end=" &amp; TEXT(L$5, "YYYY-MM-DD") &amp; "))) for('"&amp;$B337&amp;"')")</f>
        <v>316660</v>
      </c>
      <c r="M337" s="445">
        <f>_xll.BQL.QUERY("get(sum(px_last(start=" &amp; TEXT(L$5, "YYYY-MM-DD") &amp; ", end=" &amp; TEXT(M$5, "YYYY-MM-DD") &amp; "))) for('"&amp;$B337&amp;"')")</f>
        <v>69173</v>
      </c>
      <c r="N337" s="445">
        <f>_xll.BQL.QUERY("get(sum(px_last(start=" &amp; TEXT(M$5, "YYYY-MM-DD") &amp; ", end=" &amp; TEXT(N$5, "YYYY-MM-DD") &amp; "))) for('"&amp;$B337&amp;"')")</f>
        <v>231182</v>
      </c>
      <c r="O337" s="74" t="e">
        <f>SUM(K337:N337)</f>
        <v>#REF!</v>
      </c>
      <c r="P337" s="445">
        <f>_xll.BQL.QUERY("get(sum(px_last(start=" &amp; TEXT(O$5, "YYYY-MM-DD") &amp; ", end=" &amp; TEXT(P$5, "YYYY-MM-DD") &amp; "))) for('"&amp;$B337&amp;"')")</f>
        <v>397185</v>
      </c>
      <c r="Q337" s="445">
        <f>_xll.BQL.QUERY("get(sum(px_last(start=" &amp; TEXT(P$5, "YYYY-MM-DD") &amp; ", end=" &amp; TEXT(Q$5, "YYYY-MM-DD") &amp; "))) for('"&amp;$B337&amp;"')")</f>
        <v>251274</v>
      </c>
      <c r="R337" s="445">
        <f>_xll.BQL.QUERY("get(sum(px_last(start=" &amp; TEXT(Q$5, "YYYY-MM-DD") &amp; ", end=" &amp; TEXT(R$5, "YYYY-MM-DD") &amp; "))) for('"&amp;$B337&amp;"')")</f>
        <v>308003</v>
      </c>
      <c r="S337" s="445">
        <f>_xll.BQL.QUERY("get(sum(px_last(start=" &amp; TEXT(R$5, "YYYY-MM-DD") &amp; ", end=" &amp; TEXT(S$5, "YYYY-MM-DD") &amp; "))) for('"&amp;$B337&amp;"')")</f>
        <v>857669</v>
      </c>
      <c r="T337" s="74">
        <f>SUM(P337:S337)</f>
        <v>1814131</v>
      </c>
      <c r="U337" s="445">
        <f>_xll.BQL.QUERY("get(sum(px_last(start=" &amp; TEXT(T$5, "YYYY-MM-DD") &amp; ", end=" &amp; TEXT(U$5, "YYYY-MM-DD") &amp; "))) for('"&amp;$B337&amp;"')")</f>
        <v>1102397</v>
      </c>
      <c r="V337" s="445">
        <f>_xll.BQL.QUERY("get(sum(px_last(start=" &amp; TEXT(U$5, "YYYY-MM-DD") &amp; ", end=" &amp; TEXT(V$5, "YYYY-MM-DD") &amp; "))) for('"&amp;$B337&amp;"')")</f>
        <v>1681676</v>
      </c>
      <c r="W337" s="445">
        <f>_xll.BQL.QUERY("get(sum(px_last(start=" &amp; TEXT(V$5, "YYYY-MM-DD") &amp; ", end=" &amp; TEXT(W$5, "YYYY-MM-DD") &amp; "))) for('"&amp;$B337&amp;"')")</f>
        <v>2198178</v>
      </c>
      <c r="X337" s="445">
        <f>_xll.BQL.QUERY("get(sum(px_last(start=" &amp; TEXT(W$5, "YYYY-MM-DD") &amp; ", end=" &amp; TEXT(X$5, "YYYY-MM-DD") &amp; "))) for('"&amp;$B337&amp;"')")</f>
        <v>2928180</v>
      </c>
      <c r="Y337" s="74">
        <f>SUM(U337:X337)</f>
        <v>7910431</v>
      </c>
      <c r="Z337" s="445">
        <f>_xll.BQL.QUERY("get(sum(px_last(start=" &amp; TEXT(Y$5, "YYYY-MM-DD") &amp; ", end=" &amp; TEXT(Z$5, "YYYY-MM-DD") &amp; "))) for('"&amp;$B337&amp;"')")</f>
        <v>3496036</v>
      </c>
      <c r="AA337" s="445">
        <f>_xll.BQL.QUERY("get(sum(px_last(start=" &amp; TEXT(Z$5, "YYYY-MM-DD") &amp; ", end=" &amp; TEXT(AA$5, "YYYY-MM-DD") &amp; "))) for('"&amp;$B337&amp;"')")</f>
        <v>1399812</v>
      </c>
      <c r="AB337" s="445" t="str">
        <f>_xll.BQL.QUERY("get(sum(px_last(start=" &amp; TEXT(AA$5, "YYYY-MM-DD") &amp; ", end=" &amp; TEXT(AB$5, "YYYY-MM-DD") &amp; "))) for('"&amp;$B337&amp;"')")</f>
        <v>#N/A</v>
      </c>
      <c r="AC337" s="445" t="str">
        <f>_xll.BQL.QUERY("get(sum(px_last(start=" &amp; TEXT(AB$5, "YYYY-MM-DD") &amp; ", end=" &amp; TEXT(AC$5, "YYYY-MM-DD") &amp; "))) for('"&amp;$B337&amp;"')")</f>
        <v>#N/A</v>
      </c>
      <c r="AD337" s="283">
        <f>SUM(Z337:AC337)</f>
        <v>4895848</v>
      </c>
      <c r="AE337" s="445" t="str">
        <f>_xll.BQL.QUERY("get(sum(px_last(start=" &amp; TEXT(AD$5, "YYYY-MM-DD") &amp; ", end=" &amp; TEXT(AE$5, "YYYY-MM-DD") &amp; "))) for('"&amp;$B337&amp;"')")</f>
        <v>#N/A</v>
      </c>
      <c r="AF337" s="445"/>
      <c r="AG337" s="445"/>
      <c r="AH337" s="445"/>
      <c r="AI337" s="422"/>
      <c r="AJ337" s="414"/>
      <c r="AK337" s="414"/>
      <c r="AL337" s="414"/>
      <c r="AM337" s="414"/>
      <c r="AN337" s="422"/>
      <c r="AO337" s="280"/>
      <c r="AP337" s="280"/>
      <c r="AQ337" s="280"/>
      <c r="AR337" s="280"/>
      <c r="AS337" s="320"/>
      <c r="AT337" s="315"/>
      <c r="AU337" s="508"/>
      <c r="AV337" s="143"/>
      <c r="AW337" s="143"/>
      <c r="AX337" s="143"/>
      <c r="AY337" s="143"/>
      <c r="AZ337" s="143"/>
      <c r="BA337" s="143"/>
      <c r="BB337" s="143"/>
      <c r="BC337" s="143"/>
      <c r="BD337" s="143"/>
      <c r="BE337" s="143"/>
      <c r="BF337" s="143"/>
      <c r="BG337" s="143"/>
      <c r="BH337" s="143"/>
      <c r="BI337" s="143"/>
      <c r="BJ337" s="143"/>
      <c r="BK337" s="143"/>
      <c r="BL337" s="143"/>
      <c r="BM337" s="143"/>
      <c r="BN337" s="143"/>
      <c r="BO337" s="143"/>
      <c r="BP337" s="143"/>
      <c r="BQ337" s="143"/>
      <c r="BR337" s="143"/>
      <c r="BS337" s="143"/>
      <c r="BT337" s="143"/>
      <c r="BU337" s="143"/>
      <c r="BV337" s="143"/>
      <c r="BW337" s="143"/>
      <c r="BX337" s="143"/>
      <c r="BY337" s="143"/>
      <c r="BZ337" s="143"/>
      <c r="CA337" s="143"/>
      <c r="CB337" s="143"/>
      <c r="CC337" s="143"/>
      <c r="CD337" s="143"/>
      <c r="CE337" s="143"/>
      <c r="CF337" s="143"/>
      <c r="CG337" s="143"/>
      <c r="CH337" s="143"/>
      <c r="CI337" s="143"/>
      <c r="CJ337" s="143"/>
      <c r="CK337" s="143"/>
      <c r="CL337" s="143"/>
      <c r="CM337" s="143"/>
      <c r="CN337" s="143"/>
      <c r="CO337" s="143"/>
      <c r="CP337" s="143"/>
      <c r="CQ337" s="143"/>
      <c r="CR337" s="143"/>
      <c r="CS337" s="143"/>
      <c r="CT337" s="143"/>
      <c r="CU337" s="143"/>
      <c r="CV337" s="143"/>
      <c r="CW337" s="143"/>
      <c r="CX337" s="143"/>
      <c r="CY337" s="143"/>
      <c r="CZ337" s="143"/>
      <c r="DA337" s="143"/>
      <c r="DB337" s="143"/>
      <c r="DC337" s="143"/>
      <c r="DD337" s="143"/>
      <c r="DE337" s="143"/>
      <c r="DF337" s="143"/>
      <c r="DG337" s="143"/>
      <c r="DH337" s="143"/>
      <c r="DI337" s="143"/>
      <c r="DJ337" s="143"/>
      <c r="DK337" s="143"/>
      <c r="DL337" s="143"/>
      <c r="DM337" s="143"/>
      <c r="DN337" s="143"/>
      <c r="DO337" s="143"/>
      <c r="DP337" s="143"/>
      <c r="DQ337" s="143"/>
      <c r="DR337" s="143"/>
      <c r="DS337" s="143"/>
      <c r="DT337" s="143"/>
      <c r="DU337" s="143"/>
      <c r="DV337" s="143"/>
      <c r="DW337" s="143"/>
      <c r="DX337" s="143"/>
      <c r="DY337" s="143"/>
      <c r="DZ337" s="143"/>
      <c r="EA337" s="143"/>
      <c r="EB337" s="143"/>
      <c r="EC337" s="143"/>
      <c r="ED337" s="143"/>
      <c r="EE337" s="143"/>
      <c r="EF337" s="143"/>
      <c r="EG337" s="143"/>
      <c r="EH337" s="143"/>
      <c r="EI337" s="143"/>
      <c r="EJ337" s="143"/>
      <c r="EK337" s="143"/>
      <c r="EL337" s="143"/>
      <c r="EM337" s="143"/>
      <c r="EN337" s="143"/>
      <c r="EO337" s="143"/>
      <c r="EP337" s="143"/>
      <c r="EQ337" s="143"/>
      <c r="ER337" s="143"/>
      <c r="ES337" s="143"/>
      <c r="ET337" s="143"/>
      <c r="EU337" s="143"/>
      <c r="EV337" s="143"/>
      <c r="EW337" s="143"/>
      <c r="EX337" s="143"/>
      <c r="EY337" s="143"/>
      <c r="EZ337" s="143"/>
      <c r="FA337" s="143"/>
      <c r="FB337" s="143"/>
      <c r="FC337" s="143"/>
      <c r="FD337" s="143"/>
      <c r="FE337" s="143"/>
      <c r="FF337" s="143"/>
      <c r="FG337" s="143"/>
      <c r="FH337" s="143"/>
      <c r="FI337" s="143"/>
      <c r="FJ337" s="143"/>
      <c r="FK337" s="143"/>
      <c r="FL337" s="143"/>
      <c r="FM337" s="143"/>
      <c r="FN337" s="143"/>
      <c r="FO337" s="143"/>
      <c r="FP337" s="143"/>
      <c r="FQ337" s="143"/>
      <c r="FR337" s="143"/>
      <c r="FS337" s="143"/>
      <c r="FT337" s="143"/>
      <c r="FU337" s="143"/>
      <c r="FV337" s="143"/>
      <c r="FW337" s="143"/>
      <c r="FX337" s="143"/>
      <c r="FY337" s="143"/>
      <c r="FZ337" s="143"/>
      <c r="GA337" s="143"/>
      <c r="GB337" s="143"/>
      <c r="GC337" s="143"/>
      <c r="GD337" s="143"/>
      <c r="GE337" s="143"/>
      <c r="GF337" s="143"/>
      <c r="GG337" s="143"/>
      <c r="GH337" s="143"/>
      <c r="GI337" s="143"/>
      <c r="GJ337" s="143"/>
      <c r="GK337" s="143"/>
      <c r="GL337" s="143"/>
      <c r="GM337" s="143"/>
      <c r="GN337" s="143"/>
      <c r="GO337" s="143"/>
      <c r="GP337" s="143"/>
      <c r="GQ337" s="143"/>
      <c r="GR337" s="143"/>
      <c r="GS337" s="143"/>
      <c r="GT337" s="143"/>
      <c r="GU337" s="143"/>
      <c r="GV337" s="143"/>
      <c r="GW337" s="143"/>
      <c r="GX337" s="143"/>
      <c r="GY337" s="143"/>
      <c r="GZ337" s="143"/>
      <c r="HA337" s="143"/>
      <c r="HB337" s="143"/>
      <c r="HC337" s="143"/>
      <c r="HD337" s="143"/>
      <c r="HE337" s="143"/>
      <c r="HF337" s="143"/>
      <c r="HG337" s="143"/>
      <c r="HH337" s="143"/>
      <c r="HI337" s="143"/>
      <c r="HJ337" s="143"/>
      <c r="HK337" s="143"/>
      <c r="HL337" s="143"/>
      <c r="HM337" s="143"/>
      <c r="HN337" s="143"/>
      <c r="HO337" s="143"/>
      <c r="HP337" s="143"/>
      <c r="HQ337" s="143"/>
      <c r="HR337" s="143"/>
      <c r="HS337" s="143"/>
      <c r="HT337" s="143"/>
      <c r="HU337" s="143"/>
      <c r="HV337" s="143"/>
      <c r="HW337" s="143"/>
      <c r="HX337" s="143"/>
      <c r="HY337" s="143"/>
      <c r="HZ337" s="143"/>
      <c r="IA337" s="143"/>
      <c r="IB337" s="143"/>
      <c r="IC337" s="143"/>
      <c r="ID337" s="143"/>
      <c r="IE337" s="143"/>
      <c r="IF337" s="143"/>
      <c r="IG337" s="143"/>
      <c r="IH337" s="143"/>
      <c r="II337" s="143"/>
      <c r="IJ337" s="143"/>
      <c r="IK337" s="143"/>
      <c r="IL337" s="143"/>
      <c r="IM337" s="143"/>
      <c r="IN337" s="143"/>
      <c r="IO337" s="143"/>
      <c r="IP337" s="143"/>
      <c r="IQ337" s="143"/>
      <c r="IR337" s="143"/>
      <c r="IS337" s="143"/>
      <c r="IT337" s="143"/>
      <c r="IU337" s="143"/>
      <c r="IV337" s="143"/>
      <c r="IW337" s="143"/>
      <c r="IX337" s="143"/>
      <c r="IY337" s="143"/>
      <c r="IZ337" s="143"/>
      <c r="JA337" s="143"/>
      <c r="JB337" s="143"/>
      <c r="JC337" s="143"/>
      <c r="JD337" s="143"/>
      <c r="JE337" s="143"/>
      <c r="JF337" s="143"/>
      <c r="JG337" s="143"/>
      <c r="JH337" s="143"/>
      <c r="JI337" s="143"/>
    </row>
    <row r="338" spans="1:269" hidden="1" outlineLevel="1">
      <c r="A338" s="437" t="s">
        <v>208</v>
      </c>
      <c r="B338" s="143"/>
      <c r="C338" s="417" t="e">
        <f>C337/#REF!-1</f>
        <v>#REF!</v>
      </c>
      <c r="D338" s="417" t="e">
        <f>D337/#REF!-1</f>
        <v>#REF!</v>
      </c>
      <c r="E338" s="417" t="e">
        <f>E337/#REF!-1</f>
        <v>#REF!</v>
      </c>
      <c r="F338" s="414" t="e">
        <f>F337/#REF!-1</f>
        <v>#REF!</v>
      </c>
      <c r="G338" s="414" t="e">
        <f>G337/#REF!-1</f>
        <v>#REF!</v>
      </c>
      <c r="H338" s="414" t="e">
        <f>H337/#REF!-1</f>
        <v>#REF!</v>
      </c>
      <c r="I338" s="414" t="e">
        <f>I337/#REF!-1</f>
        <v>#REF!</v>
      </c>
      <c r="J338" s="417" t="e">
        <f>J337/#REF!-1</f>
        <v>#REF!</v>
      </c>
      <c r="K338" s="414" t="e">
        <f>K337/#REF!-1</f>
        <v>#REF!</v>
      </c>
      <c r="L338" s="414" t="e">
        <f>L337/#REF!-1</f>
        <v>#REF!</v>
      </c>
      <c r="M338" s="414" t="e">
        <f>M337/#REF!-1</f>
        <v>#REF!</v>
      </c>
      <c r="N338" s="414" t="e">
        <f>N337/#REF!-1</f>
        <v>#REF!</v>
      </c>
      <c r="O338" s="417" t="e">
        <f>O337/#REF!-1</f>
        <v>#REF!</v>
      </c>
      <c r="P338" s="414" t="e">
        <f t="shared" ref="P338" si="624">P337/K337-1</f>
        <v>#REF!</v>
      </c>
      <c r="Q338" s="414">
        <f t="shared" ref="Q338" si="625">Q337/L337-1</f>
        <v>-0.2064864523463652</v>
      </c>
      <c r="R338" s="414">
        <f t="shared" ref="R338" si="626">R337/M337-1</f>
        <v>3.4526477093663717</v>
      </c>
      <c r="S338" s="414">
        <f t="shared" ref="S338" si="627">S337/N337-1</f>
        <v>2.7099298388282826</v>
      </c>
      <c r="T338" s="417" t="e">
        <f t="shared" ref="T338" si="628">T337/O337-1</f>
        <v>#REF!</v>
      </c>
      <c r="U338" s="414">
        <f t="shared" ref="U338" si="629">U337/P337-1</f>
        <v>1.7755252590102848</v>
      </c>
      <c r="V338" s="414">
        <f t="shared" ref="V338" si="630">V337/Q337-1</f>
        <v>5.692598517952514</v>
      </c>
      <c r="W338" s="414">
        <f t="shared" ref="W338" si="631">W337/R337-1</f>
        <v>6.1368720434541224</v>
      </c>
      <c r="X338" s="414">
        <f t="shared" ref="X338" si="632">X337/S337-1</f>
        <v>2.4141143028371084</v>
      </c>
      <c r="Y338" s="417">
        <f t="shared" ref="Y338" si="633">Y337/T337-1</f>
        <v>3.3604519188526076</v>
      </c>
      <c r="Z338" s="414">
        <f t="shared" ref="Z338" si="634">Z337/U337-1</f>
        <v>2.171303985769192</v>
      </c>
      <c r="AA338" s="414">
        <f t="shared" ref="AA338" si="635">AA337/V337-1</f>
        <v>-0.16760898056462714</v>
      </c>
      <c r="AB338" s="414" t="e">
        <f t="shared" ref="AB338" si="636">AB337/W337-1</f>
        <v>#VALUE!</v>
      </c>
      <c r="AC338" s="414" t="e">
        <f t="shared" ref="AC338" si="637">AC337/X337-1</f>
        <v>#VALUE!</v>
      </c>
      <c r="AD338" s="422">
        <f t="shared" ref="AD338" si="638">AD337/Y337-1</f>
        <v>-0.38108960181815632</v>
      </c>
      <c r="AE338" s="414" t="e">
        <f t="shared" ref="AE338" si="639">AE337/Z337-1</f>
        <v>#VALUE!</v>
      </c>
      <c r="AF338" s="414"/>
      <c r="AG338" s="414"/>
      <c r="AH338" s="414"/>
      <c r="AI338" s="422"/>
      <c r="AJ338" s="414"/>
      <c r="AK338" s="414"/>
      <c r="AL338" s="414"/>
      <c r="AM338" s="414"/>
      <c r="AN338" s="422"/>
      <c r="AO338" s="280"/>
      <c r="AP338" s="280"/>
      <c r="AQ338" s="280"/>
      <c r="AR338" s="280"/>
      <c r="AS338" s="320"/>
      <c r="AT338" s="315"/>
      <c r="AU338" s="508"/>
      <c r="AV338" s="143"/>
      <c r="AW338" s="143"/>
      <c r="AX338" s="143"/>
      <c r="AY338" s="143"/>
      <c r="AZ338" s="143"/>
      <c r="BA338" s="143"/>
      <c r="BB338" s="143"/>
      <c r="BC338" s="143"/>
      <c r="BD338" s="143"/>
      <c r="BE338" s="143"/>
      <c r="BF338" s="143"/>
      <c r="BG338" s="143"/>
      <c r="BH338" s="143"/>
      <c r="BI338" s="143"/>
      <c r="BJ338" s="143"/>
      <c r="BK338" s="143"/>
      <c r="BL338" s="143"/>
      <c r="BM338" s="143"/>
      <c r="BN338" s="143"/>
      <c r="BO338" s="143"/>
      <c r="BP338" s="143"/>
      <c r="BQ338" s="143"/>
      <c r="BR338" s="143"/>
      <c r="BS338" s="143"/>
      <c r="BT338" s="143"/>
      <c r="BU338" s="143"/>
      <c r="BV338" s="143"/>
      <c r="BW338" s="143"/>
      <c r="BX338" s="143"/>
      <c r="BY338" s="143"/>
      <c r="BZ338" s="143"/>
      <c r="CA338" s="143"/>
      <c r="CB338" s="143"/>
      <c r="CC338" s="143"/>
      <c r="CD338" s="143"/>
      <c r="CE338" s="143"/>
      <c r="CF338" s="143"/>
      <c r="CG338" s="143"/>
      <c r="CH338" s="143"/>
      <c r="CI338" s="143"/>
      <c r="CJ338" s="143"/>
      <c r="CK338" s="143"/>
      <c r="CL338" s="143"/>
      <c r="CM338" s="143"/>
      <c r="CN338" s="143"/>
      <c r="CO338" s="143"/>
      <c r="CP338" s="143"/>
      <c r="CQ338" s="143"/>
      <c r="CR338" s="143"/>
      <c r="CS338" s="143"/>
      <c r="CT338" s="143"/>
      <c r="CU338" s="143"/>
      <c r="CV338" s="143"/>
      <c r="CW338" s="143"/>
      <c r="CX338" s="143"/>
      <c r="CY338" s="143"/>
      <c r="CZ338" s="143"/>
      <c r="DA338" s="143"/>
      <c r="DB338" s="143"/>
      <c r="DC338" s="143"/>
      <c r="DD338" s="143"/>
      <c r="DE338" s="143"/>
      <c r="DF338" s="143"/>
      <c r="DG338" s="143"/>
      <c r="DH338" s="143"/>
      <c r="DI338" s="143"/>
      <c r="DJ338" s="143"/>
      <c r="DK338" s="143"/>
      <c r="DL338" s="143"/>
      <c r="DM338" s="143"/>
      <c r="DN338" s="143"/>
      <c r="DO338" s="143"/>
      <c r="DP338" s="143"/>
      <c r="DQ338" s="143"/>
      <c r="DR338" s="143"/>
      <c r="DS338" s="143"/>
      <c r="DT338" s="143"/>
      <c r="DU338" s="143"/>
      <c r="DV338" s="143"/>
      <c r="DW338" s="143"/>
      <c r="DX338" s="143"/>
      <c r="DY338" s="143"/>
      <c r="DZ338" s="143"/>
      <c r="EA338" s="143"/>
      <c r="EB338" s="143"/>
      <c r="EC338" s="143"/>
      <c r="ED338" s="143"/>
      <c r="EE338" s="143"/>
      <c r="EF338" s="143"/>
      <c r="EG338" s="143"/>
      <c r="EH338" s="143"/>
      <c r="EI338" s="143"/>
      <c r="EJ338" s="143"/>
      <c r="EK338" s="143"/>
      <c r="EL338" s="143"/>
      <c r="EM338" s="143"/>
      <c r="EN338" s="143"/>
      <c r="EO338" s="143"/>
      <c r="EP338" s="143"/>
      <c r="EQ338" s="143"/>
      <c r="ER338" s="143"/>
      <c r="ES338" s="143"/>
      <c r="ET338" s="143"/>
      <c r="EU338" s="143"/>
      <c r="EV338" s="143"/>
      <c r="EW338" s="143"/>
      <c r="EX338" s="143"/>
      <c r="EY338" s="143"/>
      <c r="EZ338" s="143"/>
      <c r="FA338" s="143"/>
      <c r="FB338" s="143"/>
      <c r="FC338" s="143"/>
      <c r="FD338" s="143"/>
      <c r="FE338" s="143"/>
      <c r="FF338" s="143"/>
      <c r="FG338" s="143"/>
      <c r="FH338" s="143"/>
      <c r="FI338" s="143"/>
      <c r="FJ338" s="143"/>
      <c r="FK338" s="143"/>
      <c r="FL338" s="143"/>
      <c r="FM338" s="143"/>
      <c r="FN338" s="143"/>
      <c r="FO338" s="143"/>
      <c r="FP338" s="143"/>
      <c r="FQ338" s="143"/>
      <c r="FR338" s="143"/>
      <c r="FS338" s="143"/>
      <c r="FT338" s="143"/>
      <c r="FU338" s="143"/>
      <c r="FV338" s="143"/>
      <c r="FW338" s="143"/>
      <c r="FX338" s="143"/>
      <c r="FY338" s="143"/>
      <c r="FZ338" s="143"/>
      <c r="GA338" s="143"/>
      <c r="GB338" s="143"/>
      <c r="GC338" s="143"/>
      <c r="GD338" s="143"/>
      <c r="GE338" s="143"/>
      <c r="GF338" s="143"/>
      <c r="GG338" s="143"/>
      <c r="GH338" s="143"/>
      <c r="GI338" s="143"/>
      <c r="GJ338" s="143"/>
      <c r="GK338" s="143"/>
      <c r="GL338" s="143"/>
      <c r="GM338" s="143"/>
      <c r="GN338" s="143"/>
      <c r="GO338" s="143"/>
      <c r="GP338" s="143"/>
      <c r="GQ338" s="143"/>
      <c r="GR338" s="143"/>
      <c r="GS338" s="143"/>
      <c r="GT338" s="143"/>
      <c r="GU338" s="143"/>
      <c r="GV338" s="143"/>
      <c r="GW338" s="143"/>
      <c r="GX338" s="143"/>
      <c r="GY338" s="143"/>
      <c r="GZ338" s="143"/>
      <c r="HA338" s="143"/>
      <c r="HB338" s="143"/>
      <c r="HC338" s="143"/>
      <c r="HD338" s="143"/>
      <c r="HE338" s="143"/>
      <c r="HF338" s="143"/>
      <c r="HG338" s="143"/>
      <c r="HH338" s="143"/>
      <c r="HI338" s="143"/>
      <c r="HJ338" s="143"/>
      <c r="HK338" s="143"/>
      <c r="HL338" s="143"/>
      <c r="HM338" s="143"/>
      <c r="HN338" s="143"/>
      <c r="HO338" s="143"/>
      <c r="HP338" s="143"/>
      <c r="HQ338" s="143"/>
      <c r="HR338" s="143"/>
      <c r="HS338" s="143"/>
      <c r="HT338" s="143"/>
      <c r="HU338" s="143"/>
      <c r="HV338" s="143"/>
      <c r="HW338" s="143"/>
      <c r="HX338" s="143"/>
      <c r="HY338" s="143"/>
      <c r="HZ338" s="143"/>
      <c r="IA338" s="143"/>
      <c r="IB338" s="143"/>
      <c r="IC338" s="143"/>
      <c r="ID338" s="143"/>
      <c r="IE338" s="143"/>
      <c r="IF338" s="143"/>
      <c r="IG338" s="143"/>
      <c r="IH338" s="143"/>
      <c r="II338" s="143"/>
      <c r="IJ338" s="143"/>
      <c r="IK338" s="143"/>
      <c r="IL338" s="143"/>
      <c r="IM338" s="143"/>
      <c r="IN338" s="143"/>
      <c r="IO338" s="143"/>
      <c r="IP338" s="143"/>
      <c r="IQ338" s="143"/>
      <c r="IR338" s="143"/>
      <c r="IS338" s="143"/>
      <c r="IT338" s="143"/>
      <c r="IU338" s="143"/>
      <c r="IV338" s="143"/>
      <c r="IW338" s="143"/>
      <c r="IX338" s="143"/>
      <c r="IY338" s="143"/>
      <c r="IZ338" s="143"/>
      <c r="JA338" s="143"/>
      <c r="JB338" s="143"/>
      <c r="JC338" s="143"/>
      <c r="JD338" s="143"/>
      <c r="JE338" s="143"/>
      <c r="JF338" s="143"/>
      <c r="JG338" s="143"/>
      <c r="JH338" s="143"/>
      <c r="JI338" s="143"/>
    </row>
    <row r="339" spans="1:269" hidden="1" outlineLevel="1">
      <c r="A339" s="437" t="s">
        <v>207</v>
      </c>
      <c r="B339" s="143"/>
      <c r="C339" s="417" t="e">
        <f>C337/#REF!-1</f>
        <v>#REF!</v>
      </c>
      <c r="D339" s="417" t="e">
        <f>D337/#REF!-1</f>
        <v>#REF!</v>
      </c>
      <c r="E339" s="417" t="e">
        <f>E337/#REF!-1</f>
        <v>#REF!</v>
      </c>
      <c r="F339" s="414" t="e">
        <f>F337/#REF!-1</f>
        <v>#REF!</v>
      </c>
      <c r="G339" s="414" t="e">
        <f>G337/#REF!-1</f>
        <v>#REF!</v>
      </c>
      <c r="H339" s="414" t="e">
        <f>H337/#REF!-1</f>
        <v>#REF!</v>
      </c>
      <c r="I339" s="414" t="e">
        <f>I337/#REF!-1</f>
        <v>#REF!</v>
      </c>
      <c r="J339" s="417" t="e">
        <f>J337/#REF!-1</f>
        <v>#REF!</v>
      </c>
      <c r="K339" s="414" t="e">
        <f>K337/#REF!-1</f>
        <v>#REF!</v>
      </c>
      <c r="L339" s="414" t="e">
        <f>L337/#REF!-1</f>
        <v>#REF!</v>
      </c>
      <c r="M339" s="414" t="e">
        <f>M337/#REF!-1</f>
        <v>#REF!</v>
      </c>
      <c r="N339" s="414" t="e">
        <f>N337/#REF!-1</f>
        <v>#REF!</v>
      </c>
      <c r="O339" s="417" t="e">
        <f>O337/#REF!-1</f>
        <v>#REF!</v>
      </c>
      <c r="P339" s="414" t="e">
        <f>P337/#REF!-1</f>
        <v>#REF!</v>
      </c>
      <c r="Q339" s="414" t="e">
        <f>Q337/#REF!-1</f>
        <v>#REF!</v>
      </c>
      <c r="R339" s="414" t="e">
        <f>R337/#REF!-1</f>
        <v>#REF!</v>
      </c>
      <c r="S339" s="414" t="e">
        <f>S337/#REF!-1</f>
        <v>#REF!</v>
      </c>
      <c r="T339" s="417" t="e">
        <f>T337/#REF!-1</f>
        <v>#REF!</v>
      </c>
      <c r="U339" s="414" t="e">
        <f>U337/#REF!-1</f>
        <v>#REF!</v>
      </c>
      <c r="V339" s="414" t="e">
        <f>V337/#REF!-1</f>
        <v>#REF!</v>
      </c>
      <c r="W339" s="414" t="e">
        <f>W337/#REF!-1</f>
        <v>#REF!</v>
      </c>
      <c r="X339" s="414" t="e">
        <f>X337/#REF!-1</f>
        <v>#REF!</v>
      </c>
      <c r="Y339" s="417" t="e">
        <f>Y337/#REF!-1</f>
        <v>#REF!</v>
      </c>
      <c r="Z339" s="414" t="e">
        <f>Z337/#REF!-1</f>
        <v>#REF!</v>
      </c>
      <c r="AA339" s="414" t="e">
        <f>AA337/#REF!-1</f>
        <v>#REF!</v>
      </c>
      <c r="AB339" s="414" t="e">
        <f>AB337/#REF!-1</f>
        <v>#VALUE!</v>
      </c>
      <c r="AC339" s="414" t="e">
        <f>AC337/#REF!-1</f>
        <v>#VALUE!</v>
      </c>
      <c r="AD339" s="422" t="e">
        <f>AD337/#REF!-1</f>
        <v>#REF!</v>
      </c>
      <c r="AE339" s="522" t="e">
        <f>AE337/#REF!-1</f>
        <v>#VALUE!</v>
      </c>
      <c r="AF339" s="414"/>
      <c r="AG339" s="414"/>
      <c r="AH339" s="414"/>
      <c r="AI339" s="422"/>
      <c r="AJ339" s="414"/>
      <c r="AK339" s="414"/>
      <c r="AL339" s="414"/>
      <c r="AM339" s="414"/>
      <c r="AN339" s="422"/>
      <c r="AO339" s="280"/>
      <c r="AP339" s="280"/>
      <c r="AQ339" s="280"/>
      <c r="AR339" s="280"/>
      <c r="AS339" s="320"/>
      <c r="AT339" s="315"/>
      <c r="AU339" s="508"/>
      <c r="AV339" s="143"/>
      <c r="AW339" s="143"/>
      <c r="AX339" s="143"/>
      <c r="AY339" s="143"/>
      <c r="AZ339" s="143"/>
      <c r="BA339" s="143"/>
      <c r="BB339" s="143"/>
      <c r="BC339" s="143"/>
      <c r="BD339" s="143"/>
      <c r="BE339" s="143"/>
      <c r="BF339" s="143"/>
      <c r="BG339" s="143"/>
      <c r="BH339" s="143"/>
      <c r="BI339" s="143"/>
      <c r="BJ339" s="143"/>
      <c r="BK339" s="143"/>
      <c r="BL339" s="143"/>
      <c r="BM339" s="143"/>
      <c r="BN339" s="143"/>
      <c r="BO339" s="143"/>
      <c r="BP339" s="143"/>
      <c r="BQ339" s="143"/>
      <c r="BR339" s="143"/>
      <c r="BS339" s="143"/>
      <c r="BT339" s="143"/>
      <c r="BU339" s="143"/>
      <c r="BV339" s="143"/>
      <c r="BW339" s="143"/>
      <c r="BX339" s="143"/>
      <c r="BY339" s="143"/>
      <c r="BZ339" s="143"/>
      <c r="CA339" s="143"/>
      <c r="CB339" s="143"/>
      <c r="CC339" s="143"/>
      <c r="CD339" s="143"/>
      <c r="CE339" s="143"/>
      <c r="CF339" s="143"/>
      <c r="CG339" s="143"/>
      <c r="CH339" s="143"/>
      <c r="CI339" s="143"/>
      <c r="CJ339" s="143"/>
      <c r="CK339" s="143"/>
      <c r="CL339" s="143"/>
      <c r="CM339" s="143"/>
      <c r="CN339" s="143"/>
      <c r="CO339" s="143"/>
      <c r="CP339" s="143"/>
      <c r="CQ339" s="143"/>
      <c r="CR339" s="143"/>
      <c r="CS339" s="143"/>
      <c r="CT339" s="143"/>
      <c r="CU339" s="143"/>
      <c r="CV339" s="143"/>
      <c r="CW339" s="143"/>
      <c r="CX339" s="143"/>
      <c r="CY339" s="143"/>
      <c r="CZ339" s="143"/>
      <c r="DA339" s="143"/>
      <c r="DB339" s="143"/>
      <c r="DC339" s="143"/>
      <c r="DD339" s="143"/>
      <c r="DE339" s="143"/>
      <c r="DF339" s="143"/>
      <c r="DG339" s="143"/>
      <c r="DH339" s="143"/>
      <c r="DI339" s="143"/>
      <c r="DJ339" s="143"/>
      <c r="DK339" s="143"/>
      <c r="DL339" s="143"/>
      <c r="DM339" s="143"/>
      <c r="DN339" s="143"/>
      <c r="DO339" s="143"/>
      <c r="DP339" s="143"/>
      <c r="DQ339" s="143"/>
      <c r="DR339" s="143"/>
      <c r="DS339" s="143"/>
      <c r="DT339" s="143"/>
      <c r="DU339" s="143"/>
      <c r="DV339" s="143"/>
      <c r="DW339" s="143"/>
      <c r="DX339" s="143"/>
      <c r="DY339" s="143"/>
      <c r="DZ339" s="143"/>
      <c r="EA339" s="143"/>
      <c r="EB339" s="143"/>
      <c r="EC339" s="143"/>
      <c r="ED339" s="143"/>
      <c r="EE339" s="143"/>
      <c r="EF339" s="143"/>
      <c r="EG339" s="143"/>
      <c r="EH339" s="143"/>
      <c r="EI339" s="143"/>
      <c r="EJ339" s="143"/>
      <c r="EK339" s="143"/>
      <c r="EL339" s="143"/>
      <c r="EM339" s="143"/>
      <c r="EN339" s="143"/>
      <c r="EO339" s="143"/>
      <c r="EP339" s="143"/>
      <c r="EQ339" s="143"/>
      <c r="ER339" s="143"/>
      <c r="ES339" s="143"/>
      <c r="ET339" s="143"/>
      <c r="EU339" s="143"/>
      <c r="EV339" s="143"/>
      <c r="EW339" s="143"/>
      <c r="EX339" s="143"/>
      <c r="EY339" s="143"/>
      <c r="EZ339" s="143"/>
      <c r="FA339" s="143"/>
      <c r="FB339" s="143"/>
      <c r="FC339" s="143"/>
      <c r="FD339" s="143"/>
      <c r="FE339" s="143"/>
      <c r="FF339" s="143"/>
      <c r="FG339" s="143"/>
      <c r="FH339" s="143"/>
      <c r="FI339" s="143"/>
      <c r="FJ339" s="143"/>
      <c r="FK339" s="143"/>
      <c r="FL339" s="143"/>
      <c r="FM339" s="143"/>
      <c r="FN339" s="143"/>
      <c r="FO339" s="143"/>
      <c r="FP339" s="143"/>
      <c r="FQ339" s="143"/>
      <c r="FR339" s="143"/>
      <c r="FS339" s="143"/>
      <c r="FT339" s="143"/>
      <c r="FU339" s="143"/>
      <c r="FV339" s="143"/>
      <c r="FW339" s="143"/>
      <c r="FX339" s="143"/>
      <c r="FY339" s="143"/>
      <c r="FZ339" s="143"/>
      <c r="GA339" s="143"/>
      <c r="GB339" s="143"/>
      <c r="GC339" s="143"/>
      <c r="GD339" s="143"/>
      <c r="GE339" s="143"/>
      <c r="GF339" s="143"/>
      <c r="GG339" s="143"/>
      <c r="GH339" s="143"/>
      <c r="GI339" s="143"/>
      <c r="GJ339" s="143"/>
      <c r="GK339" s="143"/>
      <c r="GL339" s="143"/>
      <c r="GM339" s="143"/>
      <c r="GN339" s="143"/>
      <c r="GO339" s="143"/>
      <c r="GP339" s="143"/>
      <c r="GQ339" s="143"/>
      <c r="GR339" s="143"/>
      <c r="GS339" s="143"/>
      <c r="GT339" s="143"/>
      <c r="GU339" s="143"/>
      <c r="GV339" s="143"/>
      <c r="GW339" s="143"/>
      <c r="GX339" s="143"/>
      <c r="GY339" s="143"/>
      <c r="GZ339" s="143"/>
      <c r="HA339" s="143"/>
      <c r="HB339" s="143"/>
      <c r="HC339" s="143"/>
      <c r="HD339" s="143"/>
      <c r="HE339" s="143"/>
      <c r="HF339" s="143"/>
      <c r="HG339" s="143"/>
      <c r="HH339" s="143"/>
      <c r="HI339" s="143"/>
      <c r="HJ339" s="143"/>
      <c r="HK339" s="143"/>
      <c r="HL339" s="143"/>
      <c r="HM339" s="143"/>
      <c r="HN339" s="143"/>
      <c r="HO339" s="143"/>
      <c r="HP339" s="143"/>
      <c r="HQ339" s="143"/>
      <c r="HR339" s="143"/>
      <c r="HS339" s="143"/>
      <c r="HT339" s="143"/>
      <c r="HU339" s="143"/>
      <c r="HV339" s="143"/>
      <c r="HW339" s="143"/>
      <c r="HX339" s="143"/>
      <c r="HY339" s="143"/>
      <c r="HZ339" s="143"/>
      <c r="IA339" s="143"/>
      <c r="IB339" s="143"/>
      <c r="IC339" s="143"/>
      <c r="ID339" s="143"/>
      <c r="IE339" s="143"/>
      <c r="IF339" s="143"/>
      <c r="IG339" s="143"/>
      <c r="IH339" s="143"/>
      <c r="II339" s="143"/>
      <c r="IJ339" s="143"/>
      <c r="IK339" s="143"/>
      <c r="IL339" s="143"/>
      <c r="IM339" s="143"/>
      <c r="IN339" s="143"/>
      <c r="IO339" s="143"/>
      <c r="IP339" s="143"/>
      <c r="IQ339" s="143"/>
      <c r="IR339" s="143"/>
      <c r="IS339" s="143"/>
      <c r="IT339" s="143"/>
      <c r="IU339" s="143"/>
      <c r="IV339" s="143"/>
      <c r="IW339" s="143"/>
      <c r="IX339" s="143"/>
      <c r="IY339" s="143"/>
      <c r="IZ339" s="143"/>
      <c r="JA339" s="143"/>
      <c r="JB339" s="143"/>
      <c r="JC339" s="143"/>
      <c r="JD339" s="143"/>
      <c r="JE339" s="143"/>
      <c r="JF339" s="143"/>
      <c r="JG339" s="143"/>
      <c r="JH339" s="143"/>
      <c r="JI339" s="143"/>
    </row>
    <row r="340" spans="1:269" hidden="1" outlineLevel="1">
      <c r="A340" s="468"/>
      <c r="B340" s="143"/>
      <c r="C340" s="316"/>
      <c r="D340" s="316"/>
      <c r="E340" s="316"/>
      <c r="F340" s="280"/>
      <c r="G340" s="280"/>
      <c r="H340" s="280"/>
      <c r="I340" s="280"/>
      <c r="J340" s="316"/>
      <c r="K340" s="280"/>
      <c r="L340" s="280"/>
      <c r="M340" s="280"/>
      <c r="N340" s="280"/>
      <c r="O340" s="316"/>
      <c r="P340" s="280"/>
      <c r="Q340" s="280"/>
      <c r="R340" s="280"/>
      <c r="S340" s="280"/>
      <c r="T340" s="316"/>
      <c r="U340" s="414"/>
      <c r="V340" s="414"/>
      <c r="W340" s="414"/>
      <c r="X340" s="414"/>
      <c r="Y340" s="417"/>
      <c r="Z340" s="414"/>
      <c r="AA340" s="414"/>
      <c r="AB340" s="414"/>
      <c r="AC340" s="414"/>
      <c r="AD340" s="422"/>
      <c r="AE340" s="414"/>
      <c r="AF340" s="414"/>
      <c r="AG340" s="414"/>
      <c r="AH340" s="414"/>
      <c r="AI340" s="422"/>
      <c r="AJ340" s="414"/>
      <c r="AK340" s="414"/>
      <c r="AL340" s="414"/>
      <c r="AM340" s="414"/>
      <c r="AN340" s="422"/>
      <c r="AO340" s="280"/>
      <c r="AP340" s="280"/>
      <c r="AQ340" s="280"/>
      <c r="AR340" s="280"/>
      <c r="AS340" s="320"/>
      <c r="AT340" s="315"/>
      <c r="AU340" s="508"/>
      <c r="AV340" s="143"/>
      <c r="AW340" s="143"/>
      <c r="AX340" s="143"/>
      <c r="AY340" s="143"/>
      <c r="AZ340" s="143"/>
      <c r="BA340" s="143"/>
      <c r="BB340" s="143"/>
      <c r="BC340" s="143"/>
      <c r="BD340" s="143"/>
      <c r="BE340" s="143"/>
      <c r="BF340" s="143"/>
      <c r="BG340" s="143"/>
      <c r="BH340" s="143"/>
      <c r="BI340" s="143"/>
      <c r="BJ340" s="143"/>
      <c r="BK340" s="143"/>
      <c r="BL340" s="143"/>
      <c r="BM340" s="143"/>
      <c r="BN340" s="143"/>
      <c r="BO340" s="143"/>
      <c r="BP340" s="143"/>
      <c r="BQ340" s="143"/>
      <c r="BR340" s="143"/>
      <c r="BS340" s="143"/>
      <c r="BT340" s="143"/>
      <c r="BU340" s="143"/>
      <c r="BV340" s="143"/>
      <c r="BW340" s="143"/>
      <c r="BX340" s="143"/>
      <c r="BY340" s="143"/>
      <c r="BZ340" s="143"/>
      <c r="CA340" s="143"/>
      <c r="CB340" s="143"/>
      <c r="CC340" s="143"/>
      <c r="CD340" s="143"/>
      <c r="CE340" s="143"/>
      <c r="CF340" s="143"/>
      <c r="CG340" s="143"/>
      <c r="CH340" s="143"/>
      <c r="CI340" s="143"/>
      <c r="CJ340" s="143"/>
      <c r="CK340" s="143"/>
      <c r="CL340" s="143"/>
      <c r="CM340" s="143"/>
      <c r="CN340" s="143"/>
      <c r="CO340" s="143"/>
      <c r="CP340" s="143"/>
      <c r="CQ340" s="143"/>
      <c r="CR340" s="143"/>
      <c r="CS340" s="143"/>
      <c r="CT340" s="143"/>
      <c r="CU340" s="143"/>
      <c r="CV340" s="143"/>
      <c r="CW340" s="143"/>
      <c r="CX340" s="143"/>
      <c r="CY340" s="143"/>
      <c r="CZ340" s="143"/>
      <c r="DA340" s="143"/>
      <c r="DB340" s="143"/>
      <c r="DC340" s="143"/>
      <c r="DD340" s="143"/>
      <c r="DE340" s="143"/>
      <c r="DF340" s="143"/>
      <c r="DG340" s="143"/>
      <c r="DH340" s="143"/>
      <c r="DI340" s="143"/>
      <c r="DJ340" s="143"/>
      <c r="DK340" s="143"/>
      <c r="DL340" s="143"/>
      <c r="DM340" s="143"/>
      <c r="DN340" s="143"/>
      <c r="DO340" s="143"/>
      <c r="DP340" s="143"/>
      <c r="DQ340" s="143"/>
      <c r="DR340" s="143"/>
      <c r="DS340" s="143"/>
      <c r="DT340" s="143"/>
      <c r="DU340" s="143"/>
      <c r="DV340" s="143"/>
      <c r="DW340" s="143"/>
      <c r="DX340" s="143"/>
      <c r="DY340" s="143"/>
      <c r="DZ340" s="143"/>
      <c r="EA340" s="143"/>
      <c r="EB340" s="143"/>
      <c r="EC340" s="143"/>
      <c r="ED340" s="143"/>
      <c r="EE340" s="143"/>
      <c r="EF340" s="143"/>
      <c r="EG340" s="143"/>
      <c r="EH340" s="143"/>
      <c r="EI340" s="143"/>
      <c r="EJ340" s="143"/>
      <c r="EK340" s="143"/>
      <c r="EL340" s="143"/>
      <c r="EM340" s="143"/>
      <c r="EN340" s="143"/>
      <c r="EO340" s="143"/>
      <c r="EP340" s="143"/>
      <c r="EQ340" s="143"/>
      <c r="ER340" s="143"/>
      <c r="ES340" s="143"/>
      <c r="ET340" s="143"/>
      <c r="EU340" s="143"/>
      <c r="EV340" s="143"/>
      <c r="EW340" s="143"/>
      <c r="EX340" s="143"/>
      <c r="EY340" s="143"/>
      <c r="EZ340" s="143"/>
      <c r="FA340" s="143"/>
      <c r="FB340" s="143"/>
      <c r="FC340" s="143"/>
      <c r="FD340" s="143"/>
      <c r="FE340" s="143"/>
      <c r="FF340" s="143"/>
      <c r="FG340" s="143"/>
      <c r="FH340" s="143"/>
      <c r="FI340" s="143"/>
      <c r="FJ340" s="143"/>
      <c r="FK340" s="143"/>
      <c r="FL340" s="143"/>
      <c r="FM340" s="143"/>
      <c r="FN340" s="143"/>
      <c r="FO340" s="143"/>
      <c r="FP340" s="143"/>
      <c r="FQ340" s="143"/>
      <c r="FR340" s="143"/>
      <c r="FS340" s="143"/>
      <c r="FT340" s="143"/>
      <c r="FU340" s="143"/>
      <c r="FV340" s="143"/>
      <c r="FW340" s="143"/>
      <c r="FX340" s="143"/>
      <c r="FY340" s="143"/>
      <c r="FZ340" s="143"/>
      <c r="GA340" s="143"/>
      <c r="GB340" s="143"/>
      <c r="GC340" s="143"/>
      <c r="GD340" s="143"/>
      <c r="GE340" s="143"/>
      <c r="GF340" s="143"/>
      <c r="GG340" s="143"/>
      <c r="GH340" s="143"/>
      <c r="GI340" s="143"/>
      <c r="GJ340" s="143"/>
      <c r="GK340" s="143"/>
      <c r="GL340" s="143"/>
      <c r="GM340" s="143"/>
      <c r="GN340" s="143"/>
      <c r="GO340" s="143"/>
      <c r="GP340" s="143"/>
      <c r="GQ340" s="143"/>
      <c r="GR340" s="143"/>
      <c r="GS340" s="143"/>
      <c r="GT340" s="143"/>
      <c r="GU340" s="143"/>
      <c r="GV340" s="143"/>
      <c r="GW340" s="143"/>
      <c r="GX340" s="143"/>
      <c r="GY340" s="143"/>
      <c r="GZ340" s="143"/>
      <c r="HA340" s="143"/>
      <c r="HB340" s="143"/>
      <c r="HC340" s="143"/>
      <c r="HD340" s="143"/>
      <c r="HE340" s="143"/>
      <c r="HF340" s="143"/>
      <c r="HG340" s="143"/>
      <c r="HH340" s="143"/>
      <c r="HI340" s="143"/>
      <c r="HJ340" s="143"/>
      <c r="HK340" s="143"/>
      <c r="HL340" s="143"/>
      <c r="HM340" s="143"/>
      <c r="HN340" s="143"/>
      <c r="HO340" s="143"/>
      <c r="HP340" s="143"/>
      <c r="HQ340" s="143"/>
      <c r="HR340" s="143"/>
      <c r="HS340" s="143"/>
      <c r="HT340" s="143"/>
      <c r="HU340" s="143"/>
      <c r="HV340" s="143"/>
      <c r="HW340" s="143"/>
      <c r="HX340" s="143"/>
      <c r="HY340" s="143"/>
      <c r="HZ340" s="143"/>
      <c r="IA340" s="143"/>
      <c r="IB340" s="143"/>
      <c r="IC340" s="143"/>
      <c r="ID340" s="143"/>
      <c r="IE340" s="143"/>
      <c r="IF340" s="143"/>
      <c r="IG340" s="143"/>
      <c r="IH340" s="143"/>
      <c r="II340" s="143"/>
      <c r="IJ340" s="143"/>
      <c r="IK340" s="143"/>
      <c r="IL340" s="143"/>
      <c r="IM340" s="143"/>
      <c r="IN340" s="143"/>
      <c r="IO340" s="143"/>
      <c r="IP340" s="143"/>
      <c r="IQ340" s="143"/>
      <c r="IR340" s="143"/>
      <c r="IS340" s="143"/>
      <c r="IT340" s="143"/>
      <c r="IU340" s="143"/>
      <c r="IV340" s="143"/>
      <c r="IW340" s="143"/>
      <c r="IX340" s="143"/>
      <c r="IY340" s="143"/>
      <c r="IZ340" s="143"/>
      <c r="JA340" s="143"/>
      <c r="JB340" s="143"/>
      <c r="JC340" s="143"/>
      <c r="JD340" s="143"/>
      <c r="JE340" s="143"/>
      <c r="JF340" s="143"/>
      <c r="JG340" s="143"/>
      <c r="JH340" s="143"/>
      <c r="JI340" s="143"/>
    </row>
    <row r="341" spans="1:269" hidden="1" outlineLevel="1">
      <c r="A341" s="468" t="s">
        <v>227</v>
      </c>
      <c r="B341" s="143" t="s">
        <v>228</v>
      </c>
      <c r="C341" s="475" t="e">
        <f>_xll.BQL.QUERY("get(avg(px_last(start=" &amp; TEXT(#REF!, "YYYY-MM-DD") &amp; ", end=" &amp; TEXT(C$5, "YYYY-MM-DD") &amp; "))) for('"&amp;$B341&amp;"')")</f>
        <v>#REF!</v>
      </c>
      <c r="D341" s="475" t="e">
        <f>_xll.BQL.QUERY("get(avg(px_last(start=" &amp; TEXT(#REF!, "YYYY-MM-DD") &amp; ", end=" &amp; TEXT(D$5, "YYYY-MM-DD") &amp; "))) for('"&amp;$B341&amp;"')")</f>
        <v>#REF!</v>
      </c>
      <c r="E341" s="475" t="e">
        <f>_xll.BQL.QUERY("get(avg(px_last(start=" &amp; TEXT(#REF!, "YYYY-MM-DD") &amp; ", end=" &amp; TEXT(E$5, "YYYY-MM-DD") &amp; "))) for('"&amp;$B341&amp;"')")</f>
        <v>#REF!</v>
      </c>
      <c r="F341" s="335" t="e">
        <f>_xll.BQL.QUERY("get(avg(px_last(start=" &amp; TEXT(#REF!, "YYYY-MM-DD") &amp; ", end=" &amp; TEXT(F$5, "YYYY-MM-DD") &amp; "))) for('"&amp;$B341&amp;"')")</f>
        <v>#REF!</v>
      </c>
      <c r="G341" s="335">
        <f>_xll.BQL.QUERY("get(avg(px_last(start=" &amp; TEXT(F$5, "YYYY-MM-DD") &amp; ", end=" &amp; TEXT(G$5, "YYYY-MM-DD") &amp; "))) for('"&amp;$B341&amp;"')")</f>
        <v>142.03333333333333</v>
      </c>
      <c r="H341" s="335">
        <f>_xll.BQL.QUERY("get(avg(px_last(start=" &amp; TEXT(G$5, "YYYY-MM-DD") &amp; ", end=" &amp; TEXT(H$5, "YYYY-MM-DD") &amp; "))) for('"&amp;$B341&amp;"')")</f>
        <v>145</v>
      </c>
      <c r="I341" s="335">
        <f>_xll.BQL.QUERY("get(avg(px_last(start=" &amp; TEXT(H$5, "YYYY-MM-DD") &amp; ", end=" &amp; TEXT(I$5, "YYYY-MM-DD") &amp; "))) for('"&amp;$B341&amp;"')")</f>
        <v>148.73333333333332</v>
      </c>
      <c r="J341" s="475" t="e">
        <f>_xll.BQL.QUERY("get(avg(px_last(start=" &amp; TEXT(#REF!, "YYYY-MM-DD") &amp; ", end=" &amp; TEXT(J$5, "YYYY-MM-DD") &amp; "))) for('"&amp;$B341&amp;"')")</f>
        <v>#REF!</v>
      </c>
      <c r="K341" s="335" t="e">
        <f>_xll.BQL.QUERY("get(avg(px_last(start=" &amp; TEXT(#REF!, "YYYY-MM-DD") &amp; ", end=" &amp; TEXT(K$5, "YYYY-MM-DD") &amp; "))) for('"&amp;$B341&amp;"')")</f>
        <v>#REF!</v>
      </c>
      <c r="L341" s="335">
        <f>_xll.BQL.QUERY("get(avg(px_last(start=" &amp; TEXT(K$5, "YYYY-MM-DD") &amp; ", end=" &amp; TEXT(L$5, "YYYY-MM-DD") &amp; "))) for('"&amp;$B341&amp;"')")</f>
        <v>150.67500000000001</v>
      </c>
      <c r="M341" s="335">
        <f>_xll.BQL.QUERY("get(avg(px_last(start=" &amp; TEXT(L$5, "YYYY-MM-DD") &amp; ", end=" &amp; TEXT(M$5, "YYYY-MM-DD") &amp; "))) for('"&amp;$B341&amp;"')")</f>
        <v>154.20000000000002</v>
      </c>
      <c r="N341" s="335">
        <f>_xll.BQL.QUERY("get(avg(px_last(start=" &amp; TEXT(M$5, "YYYY-MM-DD") &amp; ", end=" &amp; TEXT(N$5, "YYYY-MM-DD") &amp; "))) for('"&amp;$B341&amp;"')")</f>
        <v>157.75</v>
      </c>
      <c r="O341" s="475" t="e">
        <f>_xll.BQL.QUERY("get(avg(px_last(start=" &amp; TEXT(#REF!, "YYYY-MM-DD") &amp; ", end=" &amp; TEXT(O$5, "YYYY-MM-DD") &amp; "))) for('"&amp;$B341&amp;"')")</f>
        <v>#REF!</v>
      </c>
      <c r="P341" s="335">
        <f>_xll.BQL.QUERY("get(avg(px_last(start=" &amp; TEXT(O$5, "YYYY-MM-DD") &amp; ", end=" &amp; TEXT(P$5, "YYYY-MM-DD") &amp; "))) for('"&amp;$B341&amp;"')")</f>
        <v>156.75</v>
      </c>
      <c r="Q341" s="335">
        <f>_xll.BQL.QUERY("get(avg(px_last(start=" &amp; TEXT(P$5, "YYYY-MM-DD") &amp; ", end=" &amp; TEXT(Q$5, "YYYY-MM-DD") &amp; "))) for('"&amp;$B341&amp;"')")</f>
        <v>159.07499999999999</v>
      </c>
      <c r="R341" s="335">
        <f>_xll.BQL.QUERY("get(avg(px_last(start=" &amp; TEXT(Q$5, "YYYY-MM-DD") &amp; ", end=" &amp; TEXT(R$5, "YYYY-MM-DD") &amp; "))) for('"&amp;$B341&amp;"')")</f>
        <v>162.47500000000002</v>
      </c>
      <c r="S341" s="335">
        <f>_xll.BQL.QUERY("get(avg(px_last(start=" &amp; TEXT(R$5, "YYYY-MM-DD") &amp; ", end=" &amp; TEXT(S$5, "YYYY-MM-DD") &amp; "))) for('"&amp;$B341&amp;"')")</f>
        <v>165.39999999999998</v>
      </c>
      <c r="T341" s="475">
        <f>_xll.BQL.QUERY("get(avg(px_last(start=" &amp; TEXT(O$5, "YYYY-MM-DD") &amp; ", end=" &amp; TEXT(T$5, "YYYY-MM-DD") &amp; "))) for('"&amp;$B341&amp;"')")</f>
        <v>161.03846153846155</v>
      </c>
      <c r="U341" s="335">
        <f>_xll.BQL.QUERY("get(avg(px_last(start=" &amp; TEXT(T$5, "YYYY-MM-DD") &amp; ", end=" &amp; TEXT(U$5, "YYYY-MM-DD") &amp; "))) for('"&amp;$B341&amp;"')")</f>
        <v>166.42500000000001</v>
      </c>
      <c r="V341" s="335">
        <f>_xll.BQL.QUERY("get(avg(px_last(start=" &amp; TEXT(U$5, "YYYY-MM-DD") &amp; ", end=" &amp; TEXT(V$5, "YYYY-MM-DD") &amp; "))) for('"&amp;$B341&amp;"')")</f>
        <v>170.52499999999998</v>
      </c>
      <c r="W341" s="335">
        <f>_xll.BQL.QUERY("get(avg(px_last(start=" &amp; TEXT(V$5, "YYYY-MM-DD") &amp; ", end=" &amp; TEXT(W$5, "YYYY-MM-DD") &amp; "))) for('"&amp;$B341&amp;"')")</f>
        <v>173.89999999999998</v>
      </c>
      <c r="X341" s="335">
        <f>_xll.BQL.QUERY("get(avg(px_last(start=" &amp; TEXT(W$5, "YYYY-MM-DD") &amp; ", end=" &amp; TEXT(X$5, "YYYY-MM-DD") &amp; "))) for('"&amp;$B341&amp;"')")</f>
        <v>176.05</v>
      </c>
      <c r="Y341" s="475">
        <f>_xll.BQL.QUERY("get(avg(px_last(start=" &amp; TEXT(T$5, "YYYY-MM-DD") &amp; ", end=" &amp; TEXT(Y$5, "YYYY-MM-DD") &amp; "))) for('"&amp;$B341&amp;"')")</f>
        <v>171.69230769230768</v>
      </c>
      <c r="Z341" s="335">
        <f>_xll.BQL.QUERY("get(avg(px_last(start=" &amp; TEXT(Y$5, "YYYY-MM-DD") &amp; ", end=" &amp; TEXT(Z$5, "YYYY-MM-DD") &amp; "))) for('"&amp;$B341&amp;"')")</f>
        <v>176.55</v>
      </c>
      <c r="AA341" s="335">
        <f>_xll.BQL.QUERY("get(avg(px_last(start=" &amp; TEXT(Z$5, "YYYY-MM-DD") &amp; ", end=" &amp; TEXT(AA$5, "YYYY-MM-DD") &amp; "))) for('"&amp;$B341&amp;"')")</f>
        <v>178.85</v>
      </c>
      <c r="AB341" s="335">
        <f>_xll.BQL.QUERY("get(avg(px_last(start=" &amp; TEXT(AA$5, "YYYY-MM-DD") &amp; ", end=" &amp; TEXT(AB$5, "YYYY-MM-DD") &amp; "))) for('"&amp;$B341&amp;"')")</f>
        <v>184.4</v>
      </c>
      <c r="AC341" s="335">
        <f>_xll.BQL.QUERY("get(avg(px_last(start=" &amp; TEXT(AB$5, "YYYY-MM-DD") &amp; ", end=" &amp; TEXT(AC$5, "YYYY-MM-DD") &amp; "))) for('"&amp;$B341&amp;"')")</f>
        <v>184.7</v>
      </c>
      <c r="AD341" s="540">
        <f>_xll.BQL.QUERY("get(avg(px_last(start=" &amp; TEXT(Y$5, "YYYY-MM-DD") &amp; ", end=" &amp; TEXT(AD$5, "YYYY-MM-DD") &amp; "))) for('"&amp;$B341&amp;"')")</f>
        <v>180.57272727272726</v>
      </c>
      <c r="AE341" s="335" t="str">
        <f>_xll.BQL.QUERY("get(avg(px_last(start=" &amp; TEXT(AD$5, "YYYY-MM-DD") &amp; ", end=" &amp; TEXT(AE$5, "YYYY-MM-DD") &amp; "))) for('"&amp;$B341&amp;"')")</f>
        <v>#N/A</v>
      </c>
      <c r="AF341" s="335" t="str">
        <f>_xll.BQL.QUERY("get(avg(px_last(start=" &amp; TEXT(AE$5, "YYYY-MM-DD") &amp; ", end=" &amp; TEXT(AF$5, "YYYY-MM-DD") &amp; "))) for('"&amp;$B341&amp;"')")</f>
        <v>#N/A</v>
      </c>
      <c r="AG341" s="335" t="str">
        <f>_xll.BQL.QUERY("get(avg(px_last(start=" &amp; TEXT(AF$5, "YYYY-MM-DD") &amp; ", end=" &amp; TEXT(AG$5, "YYYY-MM-DD") &amp; "))) for('"&amp;$B341&amp;"')")</f>
        <v>#N/A</v>
      </c>
      <c r="AH341" s="335"/>
      <c r="AI341" s="422"/>
      <c r="AJ341" s="414"/>
      <c r="AK341" s="414"/>
      <c r="AL341" s="414"/>
      <c r="AM341" s="414"/>
      <c r="AN341" s="422"/>
      <c r="AO341" s="280"/>
      <c r="AP341" s="280"/>
      <c r="AQ341" s="280"/>
      <c r="AR341" s="280"/>
      <c r="AS341" s="320"/>
      <c r="AT341" s="315"/>
      <c r="AU341" s="508"/>
      <c r="AV341" s="143"/>
      <c r="AW341" s="143"/>
      <c r="AX341" s="143"/>
      <c r="AY341" s="143"/>
      <c r="AZ341" s="143"/>
      <c r="BA341" s="143"/>
      <c r="BB341" s="143"/>
      <c r="BC341" s="143"/>
      <c r="BD341" s="143"/>
      <c r="BE341" s="143"/>
      <c r="BF341" s="143"/>
      <c r="BG341" s="143"/>
      <c r="BH341" s="143"/>
      <c r="BI341" s="143"/>
      <c r="BJ341" s="143"/>
      <c r="BK341" s="143"/>
      <c r="BL341" s="143"/>
      <c r="BM341" s="143"/>
      <c r="BN341" s="143"/>
      <c r="BO341" s="143"/>
      <c r="BP341" s="143"/>
      <c r="BQ341" s="143"/>
      <c r="BR341" s="143"/>
      <c r="BS341" s="143"/>
      <c r="BT341" s="143"/>
      <c r="BU341" s="143"/>
      <c r="BV341" s="143"/>
      <c r="BW341" s="143"/>
      <c r="BX341" s="143"/>
      <c r="BY341" s="143"/>
      <c r="BZ341" s="143"/>
      <c r="CA341" s="143"/>
      <c r="CB341" s="143"/>
      <c r="CC341" s="143"/>
      <c r="CD341" s="143"/>
      <c r="CE341" s="143"/>
      <c r="CF341" s="143"/>
      <c r="CG341" s="143"/>
      <c r="CH341" s="143"/>
      <c r="CI341" s="143"/>
      <c r="CJ341" s="143"/>
      <c r="CK341" s="143"/>
      <c r="CL341" s="143"/>
      <c r="CM341" s="143"/>
      <c r="CN341" s="143"/>
      <c r="CO341" s="143"/>
      <c r="CP341" s="143"/>
      <c r="CQ341" s="143"/>
      <c r="CR341" s="143"/>
      <c r="CS341" s="143"/>
      <c r="CT341" s="143"/>
      <c r="CU341" s="143"/>
      <c r="CV341" s="143"/>
      <c r="CW341" s="143"/>
      <c r="CX341" s="143"/>
      <c r="CY341" s="143"/>
      <c r="CZ341" s="143"/>
      <c r="DA341" s="143"/>
      <c r="DB341" s="143"/>
      <c r="DC341" s="143"/>
      <c r="DD341" s="143"/>
      <c r="DE341" s="143"/>
      <c r="DF341" s="143"/>
      <c r="DG341" s="143"/>
      <c r="DH341" s="143"/>
      <c r="DI341" s="143"/>
      <c r="DJ341" s="143"/>
      <c r="DK341" s="143"/>
      <c r="DL341" s="143"/>
      <c r="DM341" s="143"/>
      <c r="DN341" s="143"/>
      <c r="DO341" s="143"/>
      <c r="DP341" s="143"/>
      <c r="DQ341" s="143"/>
      <c r="DR341" s="143"/>
      <c r="DS341" s="143"/>
      <c r="DT341" s="143"/>
      <c r="DU341" s="143"/>
      <c r="DV341" s="143"/>
      <c r="DW341" s="143"/>
      <c r="DX341" s="143"/>
      <c r="DY341" s="143"/>
      <c r="DZ341" s="143"/>
      <c r="EA341" s="143"/>
      <c r="EB341" s="143"/>
      <c r="EC341" s="143"/>
      <c r="ED341" s="143"/>
      <c r="EE341" s="143"/>
      <c r="EF341" s="143"/>
      <c r="EG341" s="143"/>
      <c r="EH341" s="143"/>
      <c r="EI341" s="143"/>
      <c r="EJ341" s="143"/>
      <c r="EK341" s="143"/>
      <c r="EL341" s="143"/>
      <c r="EM341" s="143"/>
      <c r="EN341" s="143"/>
      <c r="EO341" s="143"/>
      <c r="EP341" s="143"/>
      <c r="EQ341" s="143"/>
      <c r="ER341" s="143"/>
      <c r="ES341" s="143"/>
      <c r="ET341" s="143"/>
      <c r="EU341" s="143"/>
      <c r="EV341" s="143"/>
      <c r="EW341" s="143"/>
      <c r="EX341" s="143"/>
      <c r="EY341" s="143"/>
      <c r="EZ341" s="143"/>
      <c r="FA341" s="143"/>
      <c r="FB341" s="143"/>
      <c r="FC341" s="143"/>
      <c r="FD341" s="143"/>
      <c r="FE341" s="143"/>
      <c r="FF341" s="143"/>
      <c r="FG341" s="143"/>
      <c r="FH341" s="143"/>
      <c r="FI341" s="143"/>
      <c r="FJ341" s="143"/>
      <c r="FK341" s="143"/>
      <c r="FL341" s="143"/>
      <c r="FM341" s="143"/>
      <c r="FN341" s="143"/>
      <c r="FO341" s="143"/>
      <c r="FP341" s="143"/>
      <c r="FQ341" s="143"/>
      <c r="FR341" s="143"/>
      <c r="FS341" s="143"/>
      <c r="FT341" s="143"/>
      <c r="FU341" s="143"/>
      <c r="FV341" s="143"/>
      <c r="FW341" s="143"/>
      <c r="FX341" s="143"/>
      <c r="FY341" s="143"/>
      <c r="FZ341" s="143"/>
      <c r="GA341" s="143"/>
      <c r="GB341" s="143"/>
      <c r="GC341" s="143"/>
      <c r="GD341" s="143"/>
      <c r="GE341" s="143"/>
      <c r="GF341" s="143"/>
      <c r="GG341" s="143"/>
      <c r="GH341" s="143"/>
      <c r="GI341" s="143"/>
      <c r="GJ341" s="143"/>
      <c r="GK341" s="143"/>
      <c r="GL341" s="143"/>
      <c r="GM341" s="143"/>
      <c r="GN341" s="143"/>
      <c r="GO341" s="143"/>
      <c r="GP341" s="143"/>
      <c r="GQ341" s="143"/>
      <c r="GR341" s="143"/>
      <c r="GS341" s="143"/>
      <c r="GT341" s="143"/>
      <c r="GU341" s="143"/>
      <c r="GV341" s="143"/>
      <c r="GW341" s="143"/>
      <c r="GX341" s="143"/>
      <c r="GY341" s="143"/>
      <c r="GZ341" s="143"/>
      <c r="HA341" s="143"/>
      <c r="HB341" s="143"/>
      <c r="HC341" s="143"/>
      <c r="HD341" s="143"/>
      <c r="HE341" s="143"/>
      <c r="HF341" s="143"/>
      <c r="HG341" s="143"/>
      <c r="HH341" s="143"/>
      <c r="HI341" s="143"/>
      <c r="HJ341" s="143"/>
      <c r="HK341" s="143"/>
      <c r="HL341" s="143"/>
      <c r="HM341" s="143"/>
      <c r="HN341" s="143"/>
      <c r="HO341" s="143"/>
      <c r="HP341" s="143"/>
      <c r="HQ341" s="143"/>
      <c r="HR341" s="143"/>
      <c r="HS341" s="143"/>
      <c r="HT341" s="143"/>
      <c r="HU341" s="143"/>
      <c r="HV341" s="143"/>
      <c r="HW341" s="143"/>
      <c r="HX341" s="143"/>
      <c r="HY341" s="143"/>
      <c r="HZ341" s="143"/>
      <c r="IA341" s="143"/>
      <c r="IB341" s="143"/>
      <c r="IC341" s="143"/>
      <c r="ID341" s="143"/>
      <c r="IE341" s="143"/>
      <c r="IF341" s="143"/>
      <c r="IG341" s="143"/>
      <c r="IH341" s="143"/>
      <c r="II341" s="143"/>
      <c r="IJ341" s="143"/>
      <c r="IK341" s="143"/>
      <c r="IL341" s="143"/>
      <c r="IM341" s="143"/>
      <c r="IN341" s="143"/>
      <c r="IO341" s="143"/>
      <c r="IP341" s="143"/>
      <c r="IQ341" s="143"/>
      <c r="IR341" s="143"/>
      <c r="IS341" s="143"/>
      <c r="IT341" s="143"/>
      <c r="IU341" s="143"/>
      <c r="IV341" s="143"/>
      <c r="IW341" s="143"/>
      <c r="IX341" s="143"/>
      <c r="IY341" s="143"/>
      <c r="IZ341" s="143"/>
      <c r="JA341" s="143"/>
      <c r="JB341" s="143"/>
      <c r="JC341" s="143"/>
      <c r="JD341" s="143"/>
      <c r="JE341" s="143"/>
      <c r="JF341" s="143"/>
      <c r="JG341" s="143"/>
      <c r="JH341" s="143"/>
      <c r="JI341" s="143"/>
    </row>
    <row r="342" spans="1:269" hidden="1" outlineLevel="1">
      <c r="A342" s="437" t="s">
        <v>208</v>
      </c>
      <c r="C342" s="417" t="e">
        <f>C341/#REF!-1</f>
        <v>#REF!</v>
      </c>
      <c r="D342" s="417" t="e">
        <f>D341/#REF!-1</f>
        <v>#REF!</v>
      </c>
      <c r="E342" s="417" t="e">
        <f>E341/#REF!-1</f>
        <v>#REF!</v>
      </c>
      <c r="F342" s="414" t="e">
        <f>F341/#REF!-1</f>
        <v>#REF!</v>
      </c>
      <c r="G342" s="414" t="e">
        <f>G341/#REF!-1</f>
        <v>#REF!</v>
      </c>
      <c r="H342" s="414" t="e">
        <f>H341/#REF!-1</f>
        <v>#REF!</v>
      </c>
      <c r="I342" s="414" t="e">
        <f>I341/#REF!-1</f>
        <v>#REF!</v>
      </c>
      <c r="J342" s="417" t="e">
        <f>J341/#REF!-1</f>
        <v>#REF!</v>
      </c>
      <c r="K342" s="414" t="e">
        <f>K341/#REF!-1</f>
        <v>#REF!</v>
      </c>
      <c r="L342" s="414" t="e">
        <f>L341/#REF!-1</f>
        <v>#REF!</v>
      </c>
      <c r="M342" s="414" t="e">
        <f>M341/#REF!-1</f>
        <v>#REF!</v>
      </c>
      <c r="N342" s="414" t="e">
        <f>N341/#REF!-1</f>
        <v>#REF!</v>
      </c>
      <c r="O342" s="417" t="e">
        <f>O341/#REF!-1</f>
        <v>#REF!</v>
      </c>
      <c r="P342" s="414" t="e">
        <f t="shared" ref="P342:AG342" si="640">P341/K341-1</f>
        <v>#REF!</v>
      </c>
      <c r="Q342" s="414">
        <f t="shared" si="640"/>
        <v>5.5749128919860391E-2</v>
      </c>
      <c r="R342" s="414">
        <f t="shared" si="640"/>
        <v>5.366407263294426E-2</v>
      </c>
      <c r="S342" s="414">
        <f t="shared" si="640"/>
        <v>4.8494453248811187E-2</v>
      </c>
      <c r="T342" s="417" t="e">
        <f t="shared" si="640"/>
        <v>#REF!</v>
      </c>
      <c r="U342" s="414">
        <f t="shared" si="640"/>
        <v>6.1722488038277623E-2</v>
      </c>
      <c r="V342" s="414">
        <f t="shared" si="640"/>
        <v>7.1978626434071824E-2</v>
      </c>
      <c r="W342" s="414">
        <f t="shared" si="640"/>
        <v>7.0318510540082757E-2</v>
      </c>
      <c r="X342" s="414">
        <f t="shared" si="640"/>
        <v>6.4389359129383594E-2</v>
      </c>
      <c r="Y342" s="417">
        <f t="shared" si="640"/>
        <v>6.6157153092906373E-2</v>
      </c>
      <c r="Z342" s="414">
        <f t="shared" si="640"/>
        <v>6.0838215412347907E-2</v>
      </c>
      <c r="AA342" s="414">
        <f t="shared" si="640"/>
        <v>4.8819821140595243E-2</v>
      </c>
      <c r="AB342" s="414">
        <f t="shared" si="640"/>
        <v>6.0379528464635124E-2</v>
      </c>
      <c r="AC342" s="414">
        <f t="shared" si="640"/>
        <v>4.9133768815677215E-2</v>
      </c>
      <c r="AD342" s="422">
        <f t="shared" si="640"/>
        <v>5.1722873900293287E-2</v>
      </c>
      <c r="AE342" s="414" t="e">
        <f t="shared" si="640"/>
        <v>#VALUE!</v>
      </c>
      <c r="AF342" s="414" t="e">
        <f t="shared" si="640"/>
        <v>#VALUE!</v>
      </c>
      <c r="AG342" s="414" t="e">
        <f t="shared" si="640"/>
        <v>#VALUE!</v>
      </c>
      <c r="AH342" s="414"/>
      <c r="AI342" s="422"/>
      <c r="AJ342" s="414"/>
      <c r="AK342" s="414"/>
      <c r="AL342" s="414"/>
      <c r="AM342" s="414"/>
      <c r="AN342" s="422"/>
      <c r="AO342" s="280"/>
      <c r="AP342" s="280"/>
      <c r="AQ342" s="280"/>
      <c r="AR342" s="280"/>
      <c r="AS342" s="320"/>
      <c r="AT342" s="315"/>
      <c r="AU342" s="508"/>
      <c r="AV342" s="143"/>
      <c r="AW342" s="143"/>
      <c r="AX342" s="143"/>
      <c r="AY342" s="143"/>
      <c r="AZ342" s="143"/>
      <c r="BA342" s="143"/>
      <c r="BB342" s="143"/>
      <c r="BC342" s="143"/>
      <c r="BD342" s="143"/>
      <c r="BE342" s="143"/>
      <c r="BF342" s="143"/>
      <c r="BG342" s="143"/>
      <c r="BH342" s="143"/>
      <c r="BI342" s="143"/>
      <c r="BJ342" s="143"/>
      <c r="BK342" s="143"/>
      <c r="BL342" s="143"/>
      <c r="BM342" s="143"/>
      <c r="BN342" s="143"/>
      <c r="BO342" s="143"/>
      <c r="BP342" s="143"/>
      <c r="BQ342" s="143"/>
      <c r="BR342" s="143"/>
      <c r="BS342" s="143"/>
      <c r="BT342" s="143"/>
      <c r="BU342" s="143"/>
      <c r="BV342" s="143"/>
      <c r="BW342" s="143"/>
      <c r="BX342" s="143"/>
      <c r="BY342" s="143"/>
      <c r="BZ342" s="143"/>
      <c r="CA342" s="143"/>
      <c r="CB342" s="143"/>
      <c r="CC342" s="143"/>
      <c r="CD342" s="143"/>
      <c r="CE342" s="143"/>
      <c r="CF342" s="143"/>
      <c r="CG342" s="143"/>
      <c r="CH342" s="143"/>
      <c r="CI342" s="143"/>
      <c r="CJ342" s="143"/>
      <c r="CK342" s="143"/>
      <c r="CL342" s="143"/>
      <c r="CM342" s="143"/>
      <c r="CN342" s="143"/>
      <c r="CO342" s="143"/>
      <c r="CP342" s="143"/>
      <c r="CQ342" s="143"/>
      <c r="CR342" s="143"/>
      <c r="CS342" s="143"/>
      <c r="CT342" s="143"/>
      <c r="CU342" s="143"/>
      <c r="CV342" s="143"/>
      <c r="CW342" s="143"/>
      <c r="CX342" s="143"/>
      <c r="CY342" s="143"/>
      <c r="CZ342" s="143"/>
      <c r="DA342" s="143"/>
      <c r="DB342" s="143"/>
      <c r="DC342" s="143"/>
      <c r="DD342" s="143"/>
      <c r="DE342" s="143"/>
      <c r="DF342" s="143"/>
      <c r="DG342" s="143"/>
      <c r="DH342" s="143"/>
      <c r="DI342" s="143"/>
      <c r="DJ342" s="143"/>
      <c r="DK342" s="143"/>
      <c r="DL342" s="143"/>
      <c r="DM342" s="143"/>
      <c r="DN342" s="143"/>
      <c r="DO342" s="143"/>
      <c r="DP342" s="143"/>
      <c r="DQ342" s="143"/>
      <c r="DR342" s="143"/>
      <c r="DS342" s="143"/>
      <c r="DT342" s="143"/>
      <c r="DU342" s="143"/>
      <c r="DV342" s="143"/>
      <c r="DW342" s="143"/>
      <c r="DX342" s="143"/>
      <c r="DY342" s="143"/>
      <c r="DZ342" s="143"/>
      <c r="EA342" s="143"/>
      <c r="EB342" s="143"/>
      <c r="EC342" s="143"/>
      <c r="ED342" s="143"/>
      <c r="EE342" s="143"/>
      <c r="EF342" s="143"/>
      <c r="EG342" s="143"/>
      <c r="EH342" s="143"/>
      <c r="EI342" s="143"/>
      <c r="EJ342" s="143"/>
      <c r="EK342" s="143"/>
      <c r="EL342" s="143"/>
      <c r="EM342" s="143"/>
      <c r="EN342" s="143"/>
      <c r="EO342" s="143"/>
      <c r="EP342" s="143"/>
      <c r="EQ342" s="143"/>
      <c r="ER342" s="143"/>
      <c r="ES342" s="143"/>
      <c r="ET342" s="143"/>
      <c r="EU342" s="143"/>
      <c r="EV342" s="143"/>
      <c r="EW342" s="143"/>
      <c r="EX342" s="143"/>
      <c r="EY342" s="143"/>
      <c r="EZ342" s="143"/>
      <c r="FA342" s="143"/>
      <c r="FB342" s="143"/>
      <c r="FC342" s="143"/>
      <c r="FD342" s="143"/>
      <c r="FE342" s="143"/>
      <c r="FF342" s="143"/>
      <c r="FG342" s="143"/>
      <c r="FH342" s="143"/>
      <c r="FI342" s="143"/>
      <c r="FJ342" s="143"/>
      <c r="FK342" s="143"/>
      <c r="FL342" s="143"/>
      <c r="FM342" s="143"/>
      <c r="FN342" s="143"/>
      <c r="FO342" s="143"/>
      <c r="FP342" s="143"/>
      <c r="FQ342" s="143"/>
      <c r="FR342" s="143"/>
      <c r="FS342" s="143"/>
      <c r="FT342" s="143"/>
      <c r="FU342" s="143"/>
      <c r="FV342" s="143"/>
      <c r="FW342" s="143"/>
      <c r="FX342" s="143"/>
      <c r="FY342" s="143"/>
      <c r="FZ342" s="143"/>
      <c r="GA342" s="143"/>
      <c r="GB342" s="143"/>
      <c r="GC342" s="143"/>
      <c r="GD342" s="143"/>
      <c r="GE342" s="143"/>
      <c r="GF342" s="143"/>
      <c r="GG342" s="143"/>
      <c r="GH342" s="143"/>
      <c r="GI342" s="143"/>
      <c r="GJ342" s="143"/>
      <c r="GK342" s="143"/>
      <c r="GL342" s="143"/>
      <c r="GM342" s="143"/>
      <c r="GN342" s="143"/>
      <c r="GO342" s="143"/>
      <c r="GP342" s="143"/>
      <c r="GQ342" s="143"/>
      <c r="GR342" s="143"/>
      <c r="GS342" s="143"/>
      <c r="GT342" s="143"/>
      <c r="GU342" s="143"/>
      <c r="GV342" s="143"/>
      <c r="GW342" s="143"/>
      <c r="GX342" s="143"/>
      <c r="GY342" s="143"/>
      <c r="GZ342" s="143"/>
      <c r="HA342" s="143"/>
      <c r="HB342" s="143"/>
      <c r="HC342" s="143"/>
      <c r="HD342" s="143"/>
      <c r="HE342" s="143"/>
      <c r="HF342" s="143"/>
      <c r="HG342" s="143"/>
      <c r="HH342" s="143"/>
      <c r="HI342" s="143"/>
      <c r="HJ342" s="143"/>
      <c r="HK342" s="143"/>
      <c r="HL342" s="143"/>
      <c r="HM342" s="143"/>
      <c r="HN342" s="143"/>
      <c r="HO342" s="143"/>
      <c r="HP342" s="143"/>
      <c r="HQ342" s="143"/>
      <c r="HR342" s="143"/>
      <c r="HS342" s="143"/>
      <c r="HT342" s="143"/>
      <c r="HU342" s="143"/>
      <c r="HV342" s="143"/>
      <c r="HW342" s="143"/>
      <c r="HX342" s="143"/>
      <c r="HY342" s="143"/>
      <c r="HZ342" s="143"/>
      <c r="IA342" s="143"/>
      <c r="IB342" s="143"/>
      <c r="IC342" s="143"/>
      <c r="ID342" s="143"/>
      <c r="IE342" s="143"/>
      <c r="IF342" s="143"/>
      <c r="IG342" s="143"/>
      <c r="IH342" s="143"/>
      <c r="II342" s="143"/>
      <c r="IJ342" s="143"/>
      <c r="IK342" s="143"/>
      <c r="IL342" s="143"/>
      <c r="IM342" s="143"/>
      <c r="IN342" s="143"/>
      <c r="IO342" s="143"/>
      <c r="IP342" s="143"/>
      <c r="IQ342" s="143"/>
      <c r="IR342" s="143"/>
      <c r="IS342" s="143"/>
      <c r="IT342" s="143"/>
      <c r="IU342" s="143"/>
      <c r="IV342" s="143"/>
      <c r="IW342" s="143"/>
      <c r="IX342" s="143"/>
      <c r="IY342" s="143"/>
      <c r="IZ342" s="143"/>
      <c r="JA342" s="143"/>
      <c r="JB342" s="143"/>
      <c r="JC342" s="143"/>
      <c r="JD342" s="143"/>
      <c r="JE342" s="143"/>
      <c r="JF342" s="143"/>
      <c r="JG342" s="143"/>
      <c r="JH342" s="143"/>
      <c r="JI342" s="143"/>
    </row>
    <row r="343" spans="1:269" hidden="1" outlineLevel="1">
      <c r="A343" s="437" t="s">
        <v>207</v>
      </c>
      <c r="C343" s="417" t="e">
        <f>C341/#REF!-1</f>
        <v>#REF!</v>
      </c>
      <c r="D343" s="417" t="e">
        <f>D341/#REF!-1</f>
        <v>#REF!</v>
      </c>
      <c r="E343" s="417" t="e">
        <f>E341/#REF!-1</f>
        <v>#REF!</v>
      </c>
      <c r="F343" s="414" t="e">
        <f>F341/#REF!-1</f>
        <v>#REF!</v>
      </c>
      <c r="G343" s="414" t="e">
        <f>G341/#REF!-1</f>
        <v>#REF!</v>
      </c>
      <c r="H343" s="414" t="e">
        <f>H341/#REF!-1</f>
        <v>#REF!</v>
      </c>
      <c r="I343" s="414" t="e">
        <f>I341/#REF!-1</f>
        <v>#REF!</v>
      </c>
      <c r="J343" s="417" t="e">
        <f>J341/#REF!-1</f>
        <v>#REF!</v>
      </c>
      <c r="K343" s="414" t="e">
        <f>K341/#REF!-1</f>
        <v>#REF!</v>
      </c>
      <c r="L343" s="414" t="e">
        <f>L341/#REF!-1</f>
        <v>#REF!</v>
      </c>
      <c r="M343" s="414" t="e">
        <f>M341/#REF!-1</f>
        <v>#REF!</v>
      </c>
      <c r="N343" s="414" t="e">
        <f>N341/#REF!-1</f>
        <v>#REF!</v>
      </c>
      <c r="O343" s="417" t="e">
        <f>O341/#REF!-1</f>
        <v>#REF!</v>
      </c>
      <c r="P343" s="414" t="e">
        <f>P341/#REF!-1</f>
        <v>#REF!</v>
      </c>
      <c r="Q343" s="414" t="e">
        <f>Q341/#REF!-1</f>
        <v>#REF!</v>
      </c>
      <c r="R343" s="414" t="e">
        <f>R341/#REF!-1</f>
        <v>#REF!</v>
      </c>
      <c r="S343" s="414" t="e">
        <f>S341/#REF!-1</f>
        <v>#REF!</v>
      </c>
      <c r="T343" s="417" t="e">
        <f>T341/#REF!-1</f>
        <v>#REF!</v>
      </c>
      <c r="U343" s="414" t="e">
        <f>U341/#REF!-1</f>
        <v>#REF!</v>
      </c>
      <c r="V343" s="414" t="e">
        <f>V341/#REF!-1</f>
        <v>#REF!</v>
      </c>
      <c r="W343" s="414" t="e">
        <f>W341/#REF!-1</f>
        <v>#REF!</v>
      </c>
      <c r="X343" s="414" t="e">
        <f>X341/#REF!-1</f>
        <v>#REF!</v>
      </c>
      <c r="Y343" s="417" t="e">
        <f>Y341/#REF!-1</f>
        <v>#REF!</v>
      </c>
      <c r="Z343" s="414" t="e">
        <f>Z341/#REF!-1</f>
        <v>#REF!</v>
      </c>
      <c r="AA343" s="414" t="e">
        <f>AA341/#REF!-1</f>
        <v>#REF!</v>
      </c>
      <c r="AB343" s="414" t="e">
        <f>AB341/#REF!-1</f>
        <v>#REF!</v>
      </c>
      <c r="AC343" s="414" t="e">
        <f>AC341/#REF!-1</f>
        <v>#REF!</v>
      </c>
      <c r="AD343" s="422" t="e">
        <f>AD341/#REF!-1</f>
        <v>#REF!</v>
      </c>
      <c r="AE343" s="414" t="e">
        <f>AE341/#REF!-1</f>
        <v>#VALUE!</v>
      </c>
      <c r="AF343" s="414" t="e">
        <f>AF341/#REF!-1</f>
        <v>#VALUE!</v>
      </c>
      <c r="AG343" s="414" t="e">
        <f>AG341/#REF!-1</f>
        <v>#VALUE!</v>
      </c>
      <c r="AH343" s="414"/>
      <c r="AI343" s="422"/>
      <c r="AJ343" s="414"/>
      <c r="AK343" s="414"/>
      <c r="AL343" s="414"/>
      <c r="AM343" s="414"/>
      <c r="AN343" s="422"/>
      <c r="AO343" s="280"/>
      <c r="AP343" s="280"/>
      <c r="AQ343" s="280"/>
      <c r="AR343" s="280"/>
      <c r="AS343" s="320"/>
      <c r="AT343" s="315"/>
      <c r="AU343" s="508"/>
      <c r="AV343" s="143"/>
      <c r="AW343" s="143"/>
      <c r="AX343" s="143"/>
      <c r="AY343" s="143"/>
      <c r="AZ343" s="143"/>
      <c r="BA343" s="143"/>
      <c r="BB343" s="143"/>
      <c r="BC343" s="143"/>
      <c r="BD343" s="143"/>
      <c r="BE343" s="143"/>
      <c r="BF343" s="143"/>
      <c r="BG343" s="143"/>
      <c r="BH343" s="143"/>
      <c r="BI343" s="143"/>
      <c r="BJ343" s="143"/>
      <c r="BK343" s="143"/>
      <c r="BL343" s="143"/>
      <c r="BM343" s="143"/>
      <c r="BN343" s="143"/>
      <c r="BO343" s="143"/>
      <c r="BP343" s="143"/>
      <c r="BQ343" s="143"/>
      <c r="BR343" s="143"/>
      <c r="BS343" s="143"/>
      <c r="BT343" s="143"/>
      <c r="BU343" s="143"/>
      <c r="BV343" s="143"/>
      <c r="BW343" s="143"/>
      <c r="BX343" s="143"/>
      <c r="BY343" s="143"/>
      <c r="BZ343" s="143"/>
      <c r="CA343" s="143"/>
      <c r="CB343" s="143"/>
      <c r="CC343" s="143"/>
      <c r="CD343" s="143"/>
      <c r="CE343" s="143"/>
      <c r="CF343" s="143"/>
      <c r="CG343" s="143"/>
      <c r="CH343" s="143"/>
      <c r="CI343" s="143"/>
      <c r="CJ343" s="143"/>
      <c r="CK343" s="143"/>
      <c r="CL343" s="143"/>
      <c r="CM343" s="143"/>
      <c r="CN343" s="143"/>
      <c r="CO343" s="143"/>
      <c r="CP343" s="143"/>
      <c r="CQ343" s="143"/>
      <c r="CR343" s="143"/>
      <c r="CS343" s="143"/>
      <c r="CT343" s="143"/>
      <c r="CU343" s="143"/>
      <c r="CV343" s="143"/>
      <c r="CW343" s="143"/>
      <c r="CX343" s="143"/>
      <c r="CY343" s="143"/>
      <c r="CZ343" s="143"/>
      <c r="DA343" s="143"/>
      <c r="DB343" s="143"/>
      <c r="DC343" s="143"/>
      <c r="DD343" s="143"/>
      <c r="DE343" s="143"/>
      <c r="DF343" s="143"/>
      <c r="DG343" s="143"/>
      <c r="DH343" s="143"/>
      <c r="DI343" s="143"/>
      <c r="DJ343" s="143"/>
      <c r="DK343" s="143"/>
      <c r="DL343" s="143"/>
      <c r="DM343" s="143"/>
      <c r="DN343" s="143"/>
      <c r="DO343" s="143"/>
      <c r="DP343" s="143"/>
      <c r="DQ343" s="143"/>
      <c r="DR343" s="143"/>
      <c r="DS343" s="143"/>
      <c r="DT343" s="143"/>
      <c r="DU343" s="143"/>
      <c r="DV343" s="143"/>
      <c r="DW343" s="143"/>
      <c r="DX343" s="143"/>
      <c r="DY343" s="143"/>
      <c r="DZ343" s="143"/>
      <c r="EA343" s="143"/>
      <c r="EB343" s="143"/>
      <c r="EC343" s="143"/>
      <c r="ED343" s="143"/>
      <c r="EE343" s="143"/>
      <c r="EF343" s="143"/>
      <c r="EG343" s="143"/>
      <c r="EH343" s="143"/>
      <c r="EI343" s="143"/>
      <c r="EJ343" s="143"/>
      <c r="EK343" s="143"/>
      <c r="EL343" s="143"/>
      <c r="EM343" s="143"/>
      <c r="EN343" s="143"/>
      <c r="EO343" s="143"/>
      <c r="EP343" s="143"/>
      <c r="EQ343" s="143"/>
      <c r="ER343" s="143"/>
      <c r="ES343" s="143"/>
      <c r="ET343" s="143"/>
      <c r="EU343" s="143"/>
      <c r="EV343" s="143"/>
      <c r="EW343" s="143"/>
      <c r="EX343" s="143"/>
      <c r="EY343" s="143"/>
      <c r="EZ343" s="143"/>
      <c r="FA343" s="143"/>
      <c r="FB343" s="143"/>
      <c r="FC343" s="143"/>
      <c r="FD343" s="143"/>
      <c r="FE343" s="143"/>
      <c r="FF343" s="143"/>
      <c r="FG343" s="143"/>
      <c r="FH343" s="143"/>
      <c r="FI343" s="143"/>
      <c r="FJ343" s="143"/>
      <c r="FK343" s="143"/>
      <c r="FL343" s="143"/>
      <c r="FM343" s="143"/>
      <c r="FN343" s="143"/>
      <c r="FO343" s="143"/>
      <c r="FP343" s="143"/>
      <c r="FQ343" s="143"/>
      <c r="FR343" s="143"/>
      <c r="FS343" s="143"/>
      <c r="FT343" s="143"/>
      <c r="FU343" s="143"/>
      <c r="FV343" s="143"/>
      <c r="FW343" s="143"/>
      <c r="FX343" s="143"/>
      <c r="FY343" s="143"/>
      <c r="FZ343" s="143"/>
      <c r="GA343" s="143"/>
      <c r="GB343" s="143"/>
      <c r="GC343" s="143"/>
      <c r="GD343" s="143"/>
      <c r="GE343" s="143"/>
      <c r="GF343" s="143"/>
      <c r="GG343" s="143"/>
      <c r="GH343" s="143"/>
      <c r="GI343" s="143"/>
      <c r="GJ343" s="143"/>
      <c r="GK343" s="143"/>
      <c r="GL343" s="143"/>
      <c r="GM343" s="143"/>
      <c r="GN343" s="143"/>
      <c r="GO343" s="143"/>
      <c r="GP343" s="143"/>
      <c r="GQ343" s="143"/>
      <c r="GR343" s="143"/>
      <c r="GS343" s="143"/>
      <c r="GT343" s="143"/>
      <c r="GU343" s="143"/>
      <c r="GV343" s="143"/>
      <c r="GW343" s="143"/>
      <c r="GX343" s="143"/>
      <c r="GY343" s="143"/>
      <c r="GZ343" s="143"/>
      <c r="HA343" s="143"/>
      <c r="HB343" s="143"/>
      <c r="HC343" s="143"/>
      <c r="HD343" s="143"/>
      <c r="HE343" s="143"/>
      <c r="HF343" s="143"/>
      <c r="HG343" s="143"/>
      <c r="HH343" s="143"/>
      <c r="HI343" s="143"/>
      <c r="HJ343" s="143"/>
      <c r="HK343" s="143"/>
      <c r="HL343" s="143"/>
      <c r="HM343" s="143"/>
      <c r="HN343" s="143"/>
      <c r="HO343" s="143"/>
      <c r="HP343" s="143"/>
      <c r="HQ343" s="143"/>
      <c r="HR343" s="143"/>
      <c r="HS343" s="143"/>
      <c r="HT343" s="143"/>
      <c r="HU343" s="143"/>
      <c r="HV343" s="143"/>
      <c r="HW343" s="143"/>
      <c r="HX343" s="143"/>
      <c r="HY343" s="143"/>
      <c r="HZ343" s="143"/>
      <c r="IA343" s="143"/>
      <c r="IB343" s="143"/>
      <c r="IC343" s="143"/>
      <c r="ID343" s="143"/>
      <c r="IE343" s="143"/>
      <c r="IF343" s="143"/>
      <c r="IG343" s="143"/>
      <c r="IH343" s="143"/>
      <c r="II343" s="143"/>
      <c r="IJ343" s="143"/>
      <c r="IK343" s="143"/>
      <c r="IL343" s="143"/>
      <c r="IM343" s="143"/>
      <c r="IN343" s="143"/>
      <c r="IO343" s="143"/>
      <c r="IP343" s="143"/>
      <c r="IQ343" s="143"/>
      <c r="IR343" s="143"/>
      <c r="IS343" s="143"/>
      <c r="IT343" s="143"/>
      <c r="IU343" s="143"/>
      <c r="IV343" s="143"/>
      <c r="IW343" s="143"/>
      <c r="IX343" s="143"/>
      <c r="IY343" s="143"/>
      <c r="IZ343" s="143"/>
      <c r="JA343" s="143"/>
      <c r="JB343" s="143"/>
      <c r="JC343" s="143"/>
      <c r="JD343" s="143"/>
      <c r="JE343" s="143"/>
      <c r="JF343" s="143"/>
      <c r="JG343" s="143"/>
      <c r="JH343" s="143"/>
      <c r="JI343" s="143"/>
    </row>
    <row r="344" spans="1:269" hidden="1" outlineLevel="1">
      <c r="A344" s="437"/>
      <c r="C344" s="417"/>
      <c r="D344" s="417"/>
      <c r="E344" s="417"/>
      <c r="F344" s="414"/>
      <c r="G344" s="414"/>
      <c r="H344" s="414"/>
      <c r="I344" s="414"/>
      <c r="J344" s="417"/>
      <c r="K344" s="414"/>
      <c r="L344" s="414"/>
      <c r="M344" s="414"/>
      <c r="N344" s="414"/>
      <c r="O344" s="417"/>
      <c r="P344" s="414"/>
      <c r="Q344" s="414"/>
      <c r="R344" s="414"/>
      <c r="S344" s="414"/>
      <c r="T344" s="417"/>
      <c r="U344" s="414"/>
      <c r="V344" s="414"/>
      <c r="W344" s="414"/>
      <c r="X344" s="414"/>
      <c r="Y344" s="417"/>
      <c r="Z344" s="414"/>
      <c r="AA344" s="414"/>
      <c r="AB344" s="414"/>
      <c r="AC344" s="414"/>
      <c r="AD344" s="422"/>
      <c r="AE344" s="414"/>
      <c r="AF344" s="414"/>
      <c r="AG344" s="414"/>
      <c r="AH344" s="414"/>
      <c r="AI344" s="422"/>
      <c r="AJ344" s="414"/>
      <c r="AK344" s="414"/>
      <c r="AL344" s="414"/>
      <c r="AM344" s="414"/>
      <c r="AN344" s="422"/>
      <c r="AO344" s="280"/>
      <c r="AP344" s="280"/>
      <c r="AQ344" s="280"/>
      <c r="AR344" s="280"/>
      <c r="AS344" s="320"/>
      <c r="AT344" s="315"/>
      <c r="AU344" s="508"/>
      <c r="AV344" s="143"/>
      <c r="AW344" s="143"/>
      <c r="AX344" s="143"/>
      <c r="AY344" s="143"/>
      <c r="AZ344" s="143"/>
      <c r="BA344" s="143"/>
      <c r="BB344" s="143"/>
      <c r="BC344" s="143"/>
      <c r="BD344" s="143"/>
      <c r="BE344" s="143"/>
      <c r="BF344" s="143"/>
      <c r="BG344" s="143"/>
      <c r="BH344" s="143"/>
      <c r="BI344" s="143"/>
      <c r="BJ344" s="143"/>
      <c r="BK344" s="143"/>
      <c r="BL344" s="143"/>
      <c r="BM344" s="143"/>
      <c r="BN344" s="143"/>
      <c r="BO344" s="143"/>
      <c r="BP344" s="143"/>
      <c r="BQ344" s="143"/>
      <c r="BR344" s="143"/>
      <c r="BS344" s="143"/>
      <c r="BT344" s="143"/>
      <c r="BU344" s="143"/>
      <c r="BV344" s="143"/>
      <c r="BW344" s="143"/>
      <c r="BX344" s="143"/>
      <c r="BY344" s="143"/>
      <c r="BZ344" s="143"/>
      <c r="CA344" s="143"/>
      <c r="CB344" s="143"/>
      <c r="CC344" s="143"/>
      <c r="CD344" s="143"/>
      <c r="CE344" s="143"/>
      <c r="CF344" s="143"/>
      <c r="CG344" s="143"/>
      <c r="CH344" s="143"/>
      <c r="CI344" s="143"/>
      <c r="CJ344" s="143"/>
      <c r="CK344" s="143"/>
      <c r="CL344" s="143"/>
      <c r="CM344" s="143"/>
      <c r="CN344" s="143"/>
      <c r="CO344" s="143"/>
      <c r="CP344" s="143"/>
      <c r="CQ344" s="143"/>
      <c r="CR344" s="143"/>
      <c r="CS344" s="143"/>
      <c r="CT344" s="143"/>
      <c r="CU344" s="143"/>
      <c r="CV344" s="143"/>
      <c r="CW344" s="143"/>
      <c r="CX344" s="143"/>
      <c r="CY344" s="143"/>
      <c r="CZ344" s="143"/>
      <c r="DA344" s="143"/>
      <c r="DB344" s="143"/>
      <c r="DC344" s="143"/>
      <c r="DD344" s="143"/>
      <c r="DE344" s="143"/>
      <c r="DF344" s="143"/>
      <c r="DG344" s="143"/>
      <c r="DH344" s="143"/>
      <c r="DI344" s="143"/>
      <c r="DJ344" s="143"/>
      <c r="DK344" s="143"/>
      <c r="DL344" s="143"/>
      <c r="DM344" s="143"/>
      <c r="DN344" s="143"/>
      <c r="DO344" s="143"/>
      <c r="DP344" s="143"/>
      <c r="DQ344" s="143"/>
      <c r="DR344" s="143"/>
      <c r="DS344" s="143"/>
      <c r="DT344" s="143"/>
      <c r="DU344" s="143"/>
      <c r="DV344" s="143"/>
      <c r="DW344" s="143"/>
      <c r="DX344" s="143"/>
      <c r="DY344" s="143"/>
      <c r="DZ344" s="143"/>
      <c r="EA344" s="143"/>
      <c r="EB344" s="143"/>
      <c r="EC344" s="143"/>
      <c r="ED344" s="143"/>
      <c r="EE344" s="143"/>
      <c r="EF344" s="143"/>
      <c r="EG344" s="143"/>
      <c r="EH344" s="143"/>
      <c r="EI344" s="143"/>
      <c r="EJ344" s="143"/>
      <c r="EK344" s="143"/>
      <c r="EL344" s="143"/>
      <c r="EM344" s="143"/>
      <c r="EN344" s="143"/>
      <c r="EO344" s="143"/>
      <c r="EP344" s="143"/>
      <c r="EQ344" s="143"/>
      <c r="ER344" s="143"/>
      <c r="ES344" s="143"/>
      <c r="ET344" s="143"/>
      <c r="EU344" s="143"/>
      <c r="EV344" s="143"/>
      <c r="EW344" s="143"/>
      <c r="EX344" s="143"/>
      <c r="EY344" s="143"/>
      <c r="EZ344" s="143"/>
      <c r="FA344" s="143"/>
      <c r="FB344" s="143"/>
      <c r="FC344" s="143"/>
      <c r="FD344" s="143"/>
      <c r="FE344" s="143"/>
      <c r="FF344" s="143"/>
      <c r="FG344" s="143"/>
      <c r="FH344" s="143"/>
      <c r="FI344" s="143"/>
      <c r="FJ344" s="143"/>
      <c r="FK344" s="143"/>
      <c r="FL344" s="143"/>
      <c r="FM344" s="143"/>
      <c r="FN344" s="143"/>
      <c r="FO344" s="143"/>
      <c r="FP344" s="143"/>
      <c r="FQ344" s="143"/>
      <c r="FR344" s="143"/>
      <c r="FS344" s="143"/>
      <c r="FT344" s="143"/>
      <c r="FU344" s="143"/>
      <c r="FV344" s="143"/>
      <c r="FW344" s="143"/>
      <c r="FX344" s="143"/>
      <c r="FY344" s="143"/>
      <c r="FZ344" s="143"/>
      <c r="GA344" s="143"/>
      <c r="GB344" s="143"/>
      <c r="GC344" s="143"/>
      <c r="GD344" s="143"/>
      <c r="GE344" s="143"/>
      <c r="GF344" s="143"/>
      <c r="GG344" s="143"/>
      <c r="GH344" s="143"/>
      <c r="GI344" s="143"/>
      <c r="GJ344" s="143"/>
      <c r="GK344" s="143"/>
      <c r="GL344" s="143"/>
      <c r="GM344" s="143"/>
      <c r="GN344" s="143"/>
      <c r="GO344" s="143"/>
      <c r="GP344" s="143"/>
      <c r="GQ344" s="143"/>
      <c r="GR344" s="143"/>
      <c r="GS344" s="143"/>
      <c r="GT344" s="143"/>
      <c r="GU344" s="143"/>
      <c r="GV344" s="143"/>
      <c r="GW344" s="143"/>
      <c r="GX344" s="143"/>
      <c r="GY344" s="143"/>
      <c r="GZ344" s="143"/>
      <c r="HA344" s="143"/>
      <c r="HB344" s="143"/>
      <c r="HC344" s="143"/>
      <c r="HD344" s="143"/>
      <c r="HE344" s="143"/>
      <c r="HF344" s="143"/>
      <c r="HG344" s="143"/>
      <c r="HH344" s="143"/>
      <c r="HI344" s="143"/>
      <c r="HJ344" s="143"/>
      <c r="HK344" s="143"/>
      <c r="HL344" s="143"/>
      <c r="HM344" s="143"/>
      <c r="HN344" s="143"/>
      <c r="HO344" s="143"/>
      <c r="HP344" s="143"/>
      <c r="HQ344" s="143"/>
      <c r="HR344" s="143"/>
      <c r="HS344" s="143"/>
      <c r="HT344" s="143"/>
      <c r="HU344" s="143"/>
      <c r="HV344" s="143"/>
      <c r="HW344" s="143"/>
      <c r="HX344" s="143"/>
      <c r="HY344" s="143"/>
      <c r="HZ344" s="143"/>
      <c r="IA344" s="143"/>
      <c r="IB344" s="143"/>
      <c r="IC344" s="143"/>
      <c r="ID344" s="143"/>
      <c r="IE344" s="143"/>
      <c r="IF344" s="143"/>
      <c r="IG344" s="143"/>
      <c r="IH344" s="143"/>
      <c r="II344" s="143"/>
      <c r="IJ344" s="143"/>
      <c r="IK344" s="143"/>
      <c r="IL344" s="143"/>
      <c r="IM344" s="143"/>
      <c r="IN344" s="143"/>
      <c r="IO344" s="143"/>
      <c r="IP344" s="143"/>
      <c r="IQ344" s="143"/>
      <c r="IR344" s="143"/>
      <c r="IS344" s="143"/>
      <c r="IT344" s="143"/>
      <c r="IU344" s="143"/>
      <c r="IV344" s="143"/>
      <c r="IW344" s="143"/>
      <c r="IX344" s="143"/>
      <c r="IY344" s="143"/>
      <c r="IZ344" s="143"/>
      <c r="JA344" s="143"/>
      <c r="JB344" s="143"/>
      <c r="JC344" s="143"/>
      <c r="JD344" s="143"/>
      <c r="JE344" s="143"/>
      <c r="JF344" s="143"/>
      <c r="JG344" s="143"/>
      <c r="JH344" s="143"/>
      <c r="JI344" s="143"/>
    </row>
    <row r="345" spans="1:269" hidden="1" outlineLevel="1">
      <c r="A345" s="468" t="s">
        <v>235</v>
      </c>
      <c r="B345" s="143" t="s">
        <v>236</v>
      </c>
      <c r="C345" s="475" t="e">
        <f>_xll.BQL.QUERY("get(avg(px_last(start=" &amp; TEXT(#REF!, "YYYY-MM-DD") &amp; ", end=" &amp; TEXT(C$5, "YYYY-MM-DD") &amp; "))) for('"&amp;$B345&amp;"')")</f>
        <v>#REF!</v>
      </c>
      <c r="D345" s="475" t="e">
        <f>_xll.BQL.QUERY("get(avg(px_last(start=" &amp; TEXT(#REF!, "YYYY-MM-DD") &amp; ", end=" &amp; TEXT(D$5, "YYYY-MM-DD") &amp; "))) for('"&amp;$B345&amp;"')")</f>
        <v>#REF!</v>
      </c>
      <c r="E345" s="475" t="e">
        <f>_xll.BQL.QUERY("get(avg(px_last(start=" &amp; TEXT(#REF!, "YYYY-MM-DD") &amp; ", end=" &amp; TEXT(E$5, "YYYY-MM-DD") &amp; "))) for('"&amp;$B345&amp;"')")</f>
        <v>#REF!</v>
      </c>
      <c r="F345" s="335" t="e">
        <f>_xll.BQL.QUERY("get(avg(px_last(start=" &amp; TEXT(#REF!, "YYYY-MM-DD") &amp; ", end=" &amp; TEXT(F$5, "YYYY-MM-DD") &amp; "))) for('"&amp;$B345&amp;"')")</f>
        <v>#REF!</v>
      </c>
      <c r="G345" s="335">
        <f>_xll.BQL.QUERY("get(avg(px_last(start=" &amp; TEXT(F$5, "YYYY-MM-DD") &amp; ", end=" &amp; TEXT(G$5, "YYYY-MM-DD") &amp; "))) for('"&amp;$B345&amp;"')")</f>
        <v>131.63333333333333</v>
      </c>
      <c r="H345" s="335">
        <f>_xll.BQL.QUERY("get(avg(px_last(start=" &amp; TEXT(G$5, "YYYY-MM-DD") &amp; ", end=" &amp; TEXT(H$5, "YYYY-MM-DD") &amp; "))) for('"&amp;$B345&amp;"')")</f>
        <v>131.36666666666667</v>
      </c>
      <c r="I345" s="335">
        <f>_xll.BQL.QUERY("get(avg(px_last(start=" &amp; TEXT(H$5, "YYYY-MM-DD") &amp; ", end=" &amp; TEXT(I$5, "YYYY-MM-DD") &amp; "))) for('"&amp;$B345&amp;"')")</f>
        <v>132.93333333333334</v>
      </c>
      <c r="J345" s="475" t="e">
        <f>_xll.BQL.QUERY("get(avg(px_last(start=" &amp; TEXT(#REF!, "YYYY-MM-DD") &amp; ", end=" &amp; TEXT(J$5, "YYYY-MM-DD") &amp; "))) for('"&amp;$B345&amp;"')")</f>
        <v>#REF!</v>
      </c>
      <c r="K345" s="335" t="e">
        <f>_xll.BQL.QUERY("get(avg(px_last(start=" &amp; TEXT(#REF!, "YYYY-MM-DD") &amp; ", end=" &amp; TEXT(K$5, "YYYY-MM-DD") &amp; "))) for('"&amp;$B345&amp;"')")</f>
        <v>#REF!</v>
      </c>
      <c r="L345" s="335">
        <f>_xll.BQL.QUERY("get(avg(px_last(start=" &amp; TEXT(K$5, "YYYY-MM-DD") &amp; ", end=" &amp; TEXT(L$5, "YYYY-MM-DD") &amp; "))) for('"&amp;$B345&amp;"')")</f>
        <v>162.5</v>
      </c>
      <c r="M345" s="335">
        <f>_xll.BQL.QUERY("get(avg(px_last(start=" &amp; TEXT(L$5, "YYYY-MM-DD") &amp; ", end=" &amp; TEXT(M$5, "YYYY-MM-DD") &amp; "))) for('"&amp;$B345&amp;"')")</f>
        <v>164.97499999999999</v>
      </c>
      <c r="N345" s="335">
        <f>_xll.BQL.QUERY("get(avg(px_last(start=" &amp; TEXT(M$5, "YYYY-MM-DD") &amp; ", end=" &amp; TEXT(N$5, "YYYY-MM-DD") &amp; "))) for('"&amp;$B345&amp;"')")</f>
        <v>143.30000000000001</v>
      </c>
      <c r="O345" s="475" t="e">
        <f>_xll.BQL.QUERY("get(avg(px_last(start=" &amp; TEXT(#REF!, "YYYY-MM-DD") &amp; ", end=" &amp; TEXT(O$5, "YYYY-MM-DD") &amp; "))) for('"&amp;$B345&amp;"')")</f>
        <v>#REF!</v>
      </c>
      <c r="P345" s="335">
        <f>_xll.BQL.QUERY("get(avg(px_last(start=" &amp; TEXT(O$5, "YYYY-MM-DD") &amp; ", end=" &amp; TEXT(P$5, "YYYY-MM-DD") &amp; "))) for('"&amp;$B345&amp;"')")</f>
        <v>140.875</v>
      </c>
      <c r="Q345" s="335">
        <f>_xll.BQL.QUERY("get(avg(px_last(start=" &amp; TEXT(P$5, "YYYY-MM-DD") &amp; ", end=" &amp; TEXT(Q$5, "YYYY-MM-DD") &amp; "))) for('"&amp;$B345&amp;"')")</f>
        <v>150.80000000000001</v>
      </c>
      <c r="R345" s="335">
        <f>_xll.BQL.QUERY("get(avg(px_last(start=" &amp; TEXT(Q$5, "YYYY-MM-DD") &amp; ", end=" &amp; TEXT(R$5, "YYYY-MM-DD") &amp; "))) for('"&amp;$B345&amp;"')")</f>
        <v>158.05000000000001</v>
      </c>
      <c r="S345" s="335">
        <f>_xll.BQL.QUERY("get(avg(px_last(start=" &amp; TEXT(R$5, "YYYY-MM-DD") &amp; ", end=" &amp; TEXT(S$5, "YYYY-MM-DD") &amp; "))) for('"&amp;$B345&amp;"')")</f>
        <v>159.27500000000001</v>
      </c>
      <c r="T345" s="475">
        <f>_xll.BQL.QUERY("get(avg(px_last(start=" &amp; TEXT(O$5, "YYYY-MM-DD") &amp; ", end=" &amp; TEXT(T$5, "YYYY-MM-DD") &amp; "))) for('"&amp;$B345&amp;"')")</f>
        <v>152.02307692307693</v>
      </c>
      <c r="U345" s="335">
        <f>_xll.BQL.QUERY("get(avg(px_last(start=" &amp; TEXT(T$5, "YYYY-MM-DD") &amp; ", end=" &amp; TEXT(U$5, "YYYY-MM-DD") &amp; "))) for('"&amp;$B345&amp;"')")</f>
        <v>159.27499999999998</v>
      </c>
      <c r="V345" s="335">
        <f>_xll.BQL.QUERY("get(avg(px_last(start=" &amp; TEXT(U$5, "YYYY-MM-DD") &amp; ", end=" &amp; TEXT(V$5, "YYYY-MM-DD") &amp; "))) for('"&amp;$B345&amp;"')")</f>
        <v>159.47499999999999</v>
      </c>
      <c r="W345" s="335">
        <f>_xll.BQL.QUERY("get(avg(px_last(start=" &amp; TEXT(V$5, "YYYY-MM-DD") &amp; ", end=" &amp; TEXT(W$5, "YYYY-MM-DD") &amp; "))) for('"&amp;$B345&amp;"')")</f>
        <v>160.375</v>
      </c>
      <c r="X345" s="335">
        <f>_xll.BQL.QUERY("get(avg(px_last(start=" &amp; TEXT(W$5, "YYYY-MM-DD") &amp; ", end=" &amp; TEXT(X$5, "YYYY-MM-DD") &amp; "))) for('"&amp;$B345&amp;"')")</f>
        <v>161.875</v>
      </c>
      <c r="Y345" s="475">
        <f>_xll.BQL.QUERY("get(avg(px_last(start=" &amp; TEXT(T$5, "YYYY-MM-DD") &amp; ", end=" &amp; TEXT(Y$5, "YYYY-MM-DD") &amp; "))) for('"&amp;$B345&amp;"')")</f>
        <v>160.26923076923077</v>
      </c>
      <c r="Z345" s="335">
        <f>_xll.BQL.QUERY("get(avg(px_last(start=" &amp; TEXT(Y$5, "YYYY-MM-DD") &amp; ", end=" &amp; TEXT(Z$5, "YYYY-MM-DD") &amp; "))) for('"&amp;$B345&amp;"')")</f>
        <v>163.75</v>
      </c>
      <c r="AA345" s="335">
        <f>_xll.BQL.QUERY("get(avg(px_last(start=" &amp; TEXT(Z$5, "YYYY-MM-DD") &amp; ", end=" &amp; TEXT(AA$5, "YYYY-MM-DD") &amp; "))) for('"&amp;$B345&amp;"')")</f>
        <v>164.95000000000002</v>
      </c>
      <c r="AB345" s="335">
        <f>_xll.BQL.QUERY("get(avg(px_last(start=" &amp; TEXT(AA$5, "YYYY-MM-DD") &amp; ", end=" &amp; TEXT(AB$5, "YYYY-MM-DD") &amp; "))) for('"&amp;$B345&amp;"')")</f>
        <v>165.95</v>
      </c>
      <c r="AC345" s="335">
        <f>_xll.BQL.QUERY("get(avg(px_last(start=" &amp; TEXT(AB$5, "YYYY-MM-DD") &amp; ", end=" &amp; TEXT(AC$5, "YYYY-MM-DD") &amp; "))) for('"&amp;$B345&amp;"')")</f>
        <v>167.05</v>
      </c>
      <c r="AD345" s="540">
        <f>_xll.BQL.QUERY("get(avg(px_last(start=" &amp; TEXT(Y$5, "YYYY-MM-DD") &amp; ", end=" &amp; TEXT(AD$5, "YYYY-MM-DD") &amp; "))) for('"&amp;$B345&amp;"')")</f>
        <v>165.1181818181818</v>
      </c>
      <c r="AE345" s="335" t="str">
        <f>_xll.BQL.QUERY("get(avg(px_last(start=" &amp; TEXT(AD$5, "YYYY-MM-DD") &amp; ", end=" &amp; TEXT(AE$5, "YYYY-MM-DD") &amp; "))) for('"&amp;$B345&amp;"')")</f>
        <v>#N/A</v>
      </c>
      <c r="AF345" s="335" t="str">
        <f>_xll.BQL.QUERY("get(avg(px_last(start=" &amp; TEXT(AE$5, "YYYY-MM-DD") &amp; ", end=" &amp; TEXT(AF$5, "YYYY-MM-DD") &amp; "))) for('"&amp;$B345&amp;"')")</f>
        <v>#N/A</v>
      </c>
      <c r="AG345" s="335" t="str">
        <f>_xll.BQL.QUERY("get(avg(px_last(start=" &amp; TEXT(AF$5, "YYYY-MM-DD") &amp; ", end=" &amp; TEXT(AG$5, "YYYY-MM-DD") &amp; "))) for('"&amp;$B345&amp;"')")</f>
        <v>#N/A</v>
      </c>
      <c r="AH345" s="414"/>
      <c r="AI345" s="422"/>
      <c r="AJ345" s="414"/>
      <c r="AK345" s="414"/>
      <c r="AL345" s="414"/>
      <c r="AM345" s="414"/>
      <c r="AN345" s="422"/>
      <c r="AO345" s="280"/>
      <c r="AP345" s="280"/>
      <c r="AQ345" s="280"/>
      <c r="AR345" s="280"/>
      <c r="AS345" s="320"/>
      <c r="AT345" s="315"/>
      <c r="AU345" s="508"/>
      <c r="AV345" s="143"/>
      <c r="AW345" s="143"/>
      <c r="AX345" s="143"/>
      <c r="AY345" s="143"/>
      <c r="AZ345" s="143"/>
      <c r="BA345" s="143"/>
      <c r="BB345" s="143"/>
      <c r="BC345" s="143"/>
      <c r="BD345" s="143"/>
      <c r="BE345" s="143"/>
      <c r="BF345" s="143"/>
      <c r="BG345" s="143"/>
      <c r="BH345" s="143"/>
      <c r="BI345" s="143"/>
      <c r="BJ345" s="143"/>
      <c r="BK345" s="143"/>
      <c r="BL345" s="143"/>
      <c r="BM345" s="143"/>
      <c r="BN345" s="143"/>
      <c r="BO345" s="143"/>
      <c r="BP345" s="143"/>
      <c r="BQ345" s="143"/>
      <c r="BR345" s="143"/>
      <c r="BS345" s="143"/>
      <c r="BT345" s="143"/>
      <c r="BU345" s="143"/>
      <c r="BV345" s="143"/>
      <c r="BW345" s="143"/>
      <c r="BX345" s="143"/>
      <c r="BY345" s="143"/>
      <c r="BZ345" s="143"/>
      <c r="CA345" s="143"/>
      <c r="CB345" s="143"/>
      <c r="CC345" s="143"/>
      <c r="CD345" s="143"/>
      <c r="CE345" s="143"/>
      <c r="CF345" s="143"/>
      <c r="CG345" s="143"/>
      <c r="CH345" s="143"/>
      <c r="CI345" s="143"/>
      <c r="CJ345" s="143"/>
      <c r="CK345" s="143"/>
      <c r="CL345" s="143"/>
      <c r="CM345" s="143"/>
      <c r="CN345" s="143"/>
      <c r="CO345" s="143"/>
      <c r="CP345" s="143"/>
      <c r="CQ345" s="143"/>
      <c r="CR345" s="143"/>
      <c r="CS345" s="143"/>
      <c r="CT345" s="143"/>
      <c r="CU345" s="143"/>
      <c r="CV345" s="143"/>
      <c r="CW345" s="143"/>
      <c r="CX345" s="143"/>
      <c r="CY345" s="143"/>
      <c r="CZ345" s="143"/>
      <c r="DA345" s="143"/>
      <c r="DB345" s="143"/>
      <c r="DC345" s="143"/>
      <c r="DD345" s="143"/>
      <c r="DE345" s="143"/>
      <c r="DF345" s="143"/>
      <c r="DG345" s="143"/>
      <c r="DH345" s="143"/>
      <c r="DI345" s="143"/>
      <c r="DJ345" s="143"/>
      <c r="DK345" s="143"/>
      <c r="DL345" s="143"/>
      <c r="DM345" s="143"/>
      <c r="DN345" s="143"/>
      <c r="DO345" s="143"/>
      <c r="DP345" s="143"/>
      <c r="DQ345" s="143"/>
      <c r="DR345" s="143"/>
      <c r="DS345" s="143"/>
      <c r="DT345" s="143"/>
      <c r="DU345" s="143"/>
      <c r="DV345" s="143"/>
      <c r="DW345" s="143"/>
      <c r="DX345" s="143"/>
      <c r="DY345" s="143"/>
      <c r="DZ345" s="143"/>
      <c r="EA345" s="143"/>
      <c r="EB345" s="143"/>
      <c r="EC345" s="143"/>
      <c r="ED345" s="143"/>
      <c r="EE345" s="143"/>
      <c r="EF345" s="143"/>
      <c r="EG345" s="143"/>
      <c r="EH345" s="143"/>
      <c r="EI345" s="143"/>
      <c r="EJ345" s="143"/>
      <c r="EK345" s="143"/>
      <c r="EL345" s="143"/>
      <c r="EM345" s="143"/>
      <c r="EN345" s="143"/>
      <c r="EO345" s="143"/>
      <c r="EP345" s="143"/>
      <c r="EQ345" s="143"/>
      <c r="ER345" s="143"/>
      <c r="ES345" s="143"/>
      <c r="ET345" s="143"/>
      <c r="EU345" s="143"/>
      <c r="EV345" s="143"/>
      <c r="EW345" s="143"/>
      <c r="EX345" s="143"/>
      <c r="EY345" s="143"/>
      <c r="EZ345" s="143"/>
      <c r="FA345" s="143"/>
      <c r="FB345" s="143"/>
      <c r="FC345" s="143"/>
      <c r="FD345" s="143"/>
      <c r="FE345" s="143"/>
      <c r="FF345" s="143"/>
      <c r="FG345" s="143"/>
      <c r="FH345" s="143"/>
      <c r="FI345" s="143"/>
      <c r="FJ345" s="143"/>
      <c r="FK345" s="143"/>
      <c r="FL345" s="143"/>
      <c r="FM345" s="143"/>
      <c r="FN345" s="143"/>
      <c r="FO345" s="143"/>
      <c r="FP345" s="143"/>
      <c r="FQ345" s="143"/>
      <c r="FR345" s="143"/>
      <c r="FS345" s="143"/>
      <c r="FT345" s="143"/>
      <c r="FU345" s="143"/>
      <c r="FV345" s="143"/>
      <c r="FW345" s="143"/>
      <c r="FX345" s="143"/>
      <c r="FY345" s="143"/>
      <c r="FZ345" s="143"/>
      <c r="GA345" s="143"/>
      <c r="GB345" s="143"/>
      <c r="GC345" s="143"/>
      <c r="GD345" s="143"/>
      <c r="GE345" s="143"/>
      <c r="GF345" s="143"/>
      <c r="GG345" s="143"/>
      <c r="GH345" s="143"/>
      <c r="GI345" s="143"/>
      <c r="GJ345" s="143"/>
      <c r="GK345" s="143"/>
      <c r="GL345" s="143"/>
      <c r="GM345" s="143"/>
      <c r="GN345" s="143"/>
      <c r="GO345" s="143"/>
      <c r="GP345" s="143"/>
      <c r="GQ345" s="143"/>
      <c r="GR345" s="143"/>
      <c r="GS345" s="143"/>
      <c r="GT345" s="143"/>
      <c r="GU345" s="143"/>
      <c r="GV345" s="143"/>
      <c r="GW345" s="143"/>
      <c r="GX345" s="143"/>
      <c r="GY345" s="143"/>
      <c r="GZ345" s="143"/>
      <c r="HA345" s="143"/>
      <c r="HB345" s="143"/>
      <c r="HC345" s="143"/>
      <c r="HD345" s="143"/>
      <c r="HE345" s="143"/>
      <c r="HF345" s="143"/>
      <c r="HG345" s="143"/>
      <c r="HH345" s="143"/>
      <c r="HI345" s="143"/>
      <c r="HJ345" s="143"/>
      <c r="HK345" s="143"/>
      <c r="HL345" s="143"/>
      <c r="HM345" s="143"/>
      <c r="HN345" s="143"/>
      <c r="HO345" s="143"/>
      <c r="HP345" s="143"/>
      <c r="HQ345" s="143"/>
      <c r="HR345" s="143"/>
      <c r="HS345" s="143"/>
      <c r="HT345" s="143"/>
      <c r="HU345" s="143"/>
      <c r="HV345" s="143"/>
      <c r="HW345" s="143"/>
      <c r="HX345" s="143"/>
      <c r="HY345" s="143"/>
      <c r="HZ345" s="143"/>
      <c r="IA345" s="143"/>
      <c r="IB345" s="143"/>
      <c r="IC345" s="143"/>
      <c r="ID345" s="143"/>
      <c r="IE345" s="143"/>
      <c r="IF345" s="143"/>
      <c r="IG345" s="143"/>
      <c r="IH345" s="143"/>
      <c r="II345" s="143"/>
      <c r="IJ345" s="143"/>
      <c r="IK345" s="143"/>
      <c r="IL345" s="143"/>
      <c r="IM345" s="143"/>
      <c r="IN345" s="143"/>
      <c r="IO345" s="143"/>
      <c r="IP345" s="143"/>
      <c r="IQ345" s="143"/>
      <c r="IR345" s="143"/>
      <c r="IS345" s="143"/>
      <c r="IT345" s="143"/>
      <c r="IU345" s="143"/>
      <c r="IV345" s="143"/>
      <c r="IW345" s="143"/>
      <c r="IX345" s="143"/>
      <c r="IY345" s="143"/>
      <c r="IZ345" s="143"/>
      <c r="JA345" s="143"/>
      <c r="JB345" s="143"/>
      <c r="JC345" s="143"/>
      <c r="JD345" s="143"/>
      <c r="JE345" s="143"/>
      <c r="JF345" s="143"/>
      <c r="JG345" s="143"/>
      <c r="JH345" s="143"/>
      <c r="JI345" s="143"/>
    </row>
    <row r="346" spans="1:269" hidden="1" outlineLevel="1">
      <c r="A346" s="437" t="s">
        <v>208</v>
      </c>
      <c r="B346" s="143"/>
      <c r="C346" s="417" t="e">
        <f>C345/#REF!-1</f>
        <v>#REF!</v>
      </c>
      <c r="D346" s="417" t="e">
        <f>D345/#REF!-1</f>
        <v>#REF!</v>
      </c>
      <c r="E346" s="417" t="e">
        <f>E345/#REF!-1</f>
        <v>#REF!</v>
      </c>
      <c r="F346" s="414" t="e">
        <f>F345/#REF!-1</f>
        <v>#REF!</v>
      </c>
      <c r="G346" s="414" t="e">
        <f>G345/#REF!-1</f>
        <v>#REF!</v>
      </c>
      <c r="H346" s="414" t="e">
        <f>H345/#REF!-1</f>
        <v>#REF!</v>
      </c>
      <c r="I346" s="414" t="e">
        <f>I345/#REF!-1</f>
        <v>#REF!</v>
      </c>
      <c r="J346" s="417" t="e">
        <f>J345/#REF!-1</f>
        <v>#REF!</v>
      </c>
      <c r="K346" s="414" t="e">
        <f>K345/#REF!-1</f>
        <v>#REF!</v>
      </c>
      <c r="L346" s="414" t="e">
        <f>L345/#REF!-1</f>
        <v>#REF!</v>
      </c>
      <c r="M346" s="414" t="e">
        <f>M345/#REF!-1</f>
        <v>#REF!</v>
      </c>
      <c r="N346" s="414" t="e">
        <f>N345/#REF!-1</f>
        <v>#REF!</v>
      </c>
      <c r="O346" s="417" t="e">
        <f>O345/#REF!-1</f>
        <v>#REF!</v>
      </c>
      <c r="P346" s="414" t="e">
        <f t="shared" ref="P346" si="641">P345/K345-1</f>
        <v>#REF!</v>
      </c>
      <c r="Q346" s="414">
        <f t="shared" ref="Q346" si="642">Q345/L345-1</f>
        <v>-7.1999999999999953E-2</v>
      </c>
      <c r="R346" s="414">
        <f t="shared" ref="R346" si="643">R345/M345-1</f>
        <v>-4.1976056978329956E-2</v>
      </c>
      <c r="S346" s="414">
        <f t="shared" ref="S346" si="644">S345/N345-1</f>
        <v>0.11147941381716664</v>
      </c>
      <c r="T346" s="417" t="e">
        <f t="shared" ref="T346" si="645">T345/O345-1</f>
        <v>#REF!</v>
      </c>
      <c r="U346" s="414">
        <f t="shared" ref="U346" si="646">U345/P345-1</f>
        <v>0.13061224489795897</v>
      </c>
      <c r="V346" s="414">
        <f t="shared" ref="V346" si="647">V345/Q345-1</f>
        <v>5.7526525198938971E-2</v>
      </c>
      <c r="W346" s="414">
        <f t="shared" ref="W346" si="648">W345/R345-1</f>
        <v>1.4710534640936412E-2</v>
      </c>
      <c r="X346" s="414">
        <f t="shared" ref="X346" si="649">X345/S345-1</f>
        <v>1.6323967979908982E-2</v>
      </c>
      <c r="Y346" s="417">
        <f t="shared" ref="Y346" si="650">Y345/T345-1</f>
        <v>5.4242776906340051E-2</v>
      </c>
      <c r="Z346" s="414">
        <f t="shared" ref="Z346" si="651">Z345/U345-1</f>
        <v>2.8096060273112622E-2</v>
      </c>
      <c r="AA346" s="414">
        <f t="shared" ref="AA346" si="652">AA345/V345-1</f>
        <v>3.4331399905941584E-2</v>
      </c>
      <c r="AB346" s="414">
        <f t="shared" ref="AB346" si="653">AB345/W345-1</f>
        <v>3.4762275915822149E-2</v>
      </c>
      <c r="AC346" s="414">
        <f t="shared" ref="AC346" si="654">AC345/X345-1</f>
        <v>3.1969111969112118E-2</v>
      </c>
      <c r="AD346" s="422">
        <f t="shared" ref="AD346" si="655">AD345/Y345-1</f>
        <v>3.0255034142723014E-2</v>
      </c>
      <c r="AE346" s="414" t="e">
        <f t="shared" ref="AE346" si="656">AE345/Z345-1</f>
        <v>#VALUE!</v>
      </c>
      <c r="AF346" s="414" t="e">
        <f t="shared" ref="AF346" si="657">AF345/AA345-1</f>
        <v>#VALUE!</v>
      </c>
      <c r="AG346" s="414" t="e">
        <f t="shared" ref="AG346" si="658">AG345/AB345-1</f>
        <v>#VALUE!</v>
      </c>
      <c r="AH346" s="414"/>
      <c r="AI346" s="422"/>
      <c r="AJ346" s="414"/>
      <c r="AK346" s="414"/>
      <c r="AL346" s="414"/>
      <c r="AM346" s="414"/>
      <c r="AN346" s="422"/>
      <c r="AO346" s="280"/>
      <c r="AP346" s="280"/>
      <c r="AQ346" s="280"/>
      <c r="AR346" s="280"/>
      <c r="AS346" s="320"/>
      <c r="AT346" s="315"/>
      <c r="AU346" s="508"/>
      <c r="AV346" s="143"/>
      <c r="AW346" s="143"/>
      <c r="AX346" s="143"/>
      <c r="AY346" s="143"/>
      <c r="AZ346" s="143"/>
      <c r="BA346" s="143"/>
      <c r="BB346" s="143"/>
      <c r="BC346" s="143"/>
      <c r="BD346" s="143"/>
      <c r="BE346" s="143"/>
      <c r="BF346" s="143"/>
      <c r="BG346" s="143"/>
      <c r="BH346" s="143"/>
      <c r="BI346" s="143"/>
      <c r="BJ346" s="143"/>
      <c r="BK346" s="143"/>
      <c r="BL346" s="143"/>
      <c r="BM346" s="143"/>
      <c r="BN346" s="143"/>
      <c r="BO346" s="143"/>
      <c r="BP346" s="143"/>
      <c r="BQ346" s="143"/>
      <c r="BR346" s="143"/>
      <c r="BS346" s="143"/>
      <c r="BT346" s="143"/>
      <c r="BU346" s="143"/>
      <c r="BV346" s="143"/>
      <c r="BW346" s="143"/>
      <c r="BX346" s="143"/>
      <c r="BY346" s="143"/>
      <c r="BZ346" s="143"/>
      <c r="CA346" s="143"/>
      <c r="CB346" s="143"/>
      <c r="CC346" s="143"/>
      <c r="CD346" s="143"/>
      <c r="CE346" s="143"/>
      <c r="CF346" s="143"/>
      <c r="CG346" s="143"/>
      <c r="CH346" s="143"/>
      <c r="CI346" s="143"/>
      <c r="CJ346" s="143"/>
      <c r="CK346" s="143"/>
      <c r="CL346" s="143"/>
      <c r="CM346" s="143"/>
      <c r="CN346" s="143"/>
      <c r="CO346" s="143"/>
      <c r="CP346" s="143"/>
      <c r="CQ346" s="143"/>
      <c r="CR346" s="143"/>
      <c r="CS346" s="143"/>
      <c r="CT346" s="143"/>
      <c r="CU346" s="143"/>
      <c r="CV346" s="143"/>
      <c r="CW346" s="143"/>
      <c r="CX346" s="143"/>
      <c r="CY346" s="143"/>
      <c r="CZ346" s="143"/>
      <c r="DA346" s="143"/>
      <c r="DB346" s="143"/>
      <c r="DC346" s="143"/>
      <c r="DD346" s="143"/>
      <c r="DE346" s="143"/>
      <c r="DF346" s="143"/>
      <c r="DG346" s="143"/>
      <c r="DH346" s="143"/>
      <c r="DI346" s="143"/>
      <c r="DJ346" s="143"/>
      <c r="DK346" s="143"/>
      <c r="DL346" s="143"/>
      <c r="DM346" s="143"/>
      <c r="DN346" s="143"/>
      <c r="DO346" s="143"/>
      <c r="DP346" s="143"/>
      <c r="DQ346" s="143"/>
      <c r="DR346" s="143"/>
      <c r="DS346" s="143"/>
      <c r="DT346" s="143"/>
      <c r="DU346" s="143"/>
      <c r="DV346" s="143"/>
      <c r="DW346" s="143"/>
      <c r="DX346" s="143"/>
      <c r="DY346" s="143"/>
      <c r="DZ346" s="143"/>
      <c r="EA346" s="143"/>
      <c r="EB346" s="143"/>
      <c r="EC346" s="143"/>
      <c r="ED346" s="143"/>
      <c r="EE346" s="143"/>
      <c r="EF346" s="143"/>
      <c r="EG346" s="143"/>
      <c r="EH346" s="143"/>
      <c r="EI346" s="143"/>
      <c r="EJ346" s="143"/>
      <c r="EK346" s="143"/>
      <c r="EL346" s="143"/>
      <c r="EM346" s="143"/>
      <c r="EN346" s="143"/>
      <c r="EO346" s="143"/>
      <c r="EP346" s="143"/>
      <c r="EQ346" s="143"/>
      <c r="ER346" s="143"/>
      <c r="ES346" s="143"/>
      <c r="ET346" s="143"/>
      <c r="EU346" s="143"/>
      <c r="EV346" s="143"/>
      <c r="EW346" s="143"/>
      <c r="EX346" s="143"/>
      <c r="EY346" s="143"/>
      <c r="EZ346" s="143"/>
      <c r="FA346" s="143"/>
      <c r="FB346" s="143"/>
      <c r="FC346" s="143"/>
      <c r="FD346" s="143"/>
      <c r="FE346" s="143"/>
      <c r="FF346" s="143"/>
      <c r="FG346" s="143"/>
      <c r="FH346" s="143"/>
      <c r="FI346" s="143"/>
      <c r="FJ346" s="143"/>
      <c r="FK346" s="143"/>
      <c r="FL346" s="143"/>
      <c r="FM346" s="143"/>
      <c r="FN346" s="143"/>
      <c r="FO346" s="143"/>
      <c r="FP346" s="143"/>
      <c r="FQ346" s="143"/>
      <c r="FR346" s="143"/>
      <c r="FS346" s="143"/>
      <c r="FT346" s="143"/>
      <c r="FU346" s="143"/>
      <c r="FV346" s="143"/>
      <c r="FW346" s="143"/>
      <c r="FX346" s="143"/>
      <c r="FY346" s="143"/>
      <c r="FZ346" s="143"/>
      <c r="GA346" s="143"/>
      <c r="GB346" s="143"/>
      <c r="GC346" s="143"/>
      <c r="GD346" s="143"/>
      <c r="GE346" s="143"/>
      <c r="GF346" s="143"/>
      <c r="GG346" s="143"/>
      <c r="GH346" s="143"/>
      <c r="GI346" s="143"/>
      <c r="GJ346" s="143"/>
      <c r="GK346" s="143"/>
      <c r="GL346" s="143"/>
      <c r="GM346" s="143"/>
      <c r="GN346" s="143"/>
      <c r="GO346" s="143"/>
      <c r="GP346" s="143"/>
      <c r="GQ346" s="143"/>
      <c r="GR346" s="143"/>
      <c r="GS346" s="143"/>
      <c r="GT346" s="143"/>
      <c r="GU346" s="143"/>
      <c r="GV346" s="143"/>
      <c r="GW346" s="143"/>
      <c r="GX346" s="143"/>
      <c r="GY346" s="143"/>
      <c r="GZ346" s="143"/>
      <c r="HA346" s="143"/>
      <c r="HB346" s="143"/>
      <c r="HC346" s="143"/>
      <c r="HD346" s="143"/>
      <c r="HE346" s="143"/>
      <c r="HF346" s="143"/>
      <c r="HG346" s="143"/>
      <c r="HH346" s="143"/>
      <c r="HI346" s="143"/>
      <c r="HJ346" s="143"/>
      <c r="HK346" s="143"/>
      <c r="HL346" s="143"/>
      <c r="HM346" s="143"/>
      <c r="HN346" s="143"/>
      <c r="HO346" s="143"/>
      <c r="HP346" s="143"/>
      <c r="HQ346" s="143"/>
      <c r="HR346" s="143"/>
      <c r="HS346" s="143"/>
      <c r="HT346" s="143"/>
      <c r="HU346" s="143"/>
      <c r="HV346" s="143"/>
      <c r="HW346" s="143"/>
      <c r="HX346" s="143"/>
      <c r="HY346" s="143"/>
      <c r="HZ346" s="143"/>
      <c r="IA346" s="143"/>
      <c r="IB346" s="143"/>
      <c r="IC346" s="143"/>
      <c r="ID346" s="143"/>
      <c r="IE346" s="143"/>
      <c r="IF346" s="143"/>
      <c r="IG346" s="143"/>
      <c r="IH346" s="143"/>
      <c r="II346" s="143"/>
      <c r="IJ346" s="143"/>
      <c r="IK346" s="143"/>
      <c r="IL346" s="143"/>
      <c r="IM346" s="143"/>
      <c r="IN346" s="143"/>
      <c r="IO346" s="143"/>
      <c r="IP346" s="143"/>
      <c r="IQ346" s="143"/>
      <c r="IR346" s="143"/>
      <c r="IS346" s="143"/>
      <c r="IT346" s="143"/>
      <c r="IU346" s="143"/>
      <c r="IV346" s="143"/>
      <c r="IW346" s="143"/>
      <c r="IX346" s="143"/>
      <c r="IY346" s="143"/>
      <c r="IZ346" s="143"/>
      <c r="JA346" s="143"/>
      <c r="JB346" s="143"/>
      <c r="JC346" s="143"/>
      <c r="JD346" s="143"/>
      <c r="JE346" s="143"/>
      <c r="JF346" s="143"/>
      <c r="JG346" s="143"/>
      <c r="JH346" s="143"/>
      <c r="JI346" s="143"/>
    </row>
    <row r="347" spans="1:269" hidden="1" outlineLevel="1">
      <c r="A347" s="437" t="s">
        <v>207</v>
      </c>
      <c r="B347" s="143"/>
      <c r="C347" s="417" t="e">
        <f>C345/#REF!-1</f>
        <v>#REF!</v>
      </c>
      <c r="D347" s="417" t="e">
        <f>D345/#REF!-1</f>
        <v>#REF!</v>
      </c>
      <c r="E347" s="417" t="e">
        <f>E345/#REF!-1</f>
        <v>#REF!</v>
      </c>
      <c r="F347" s="414" t="e">
        <f>F345/#REF!-1</f>
        <v>#REF!</v>
      </c>
      <c r="G347" s="414" t="e">
        <f>G345/#REF!-1</f>
        <v>#REF!</v>
      </c>
      <c r="H347" s="414" t="e">
        <f>H345/#REF!-1</f>
        <v>#REF!</v>
      </c>
      <c r="I347" s="414" t="e">
        <f>I345/#REF!-1</f>
        <v>#REF!</v>
      </c>
      <c r="J347" s="417" t="e">
        <f>J345/#REF!-1</f>
        <v>#REF!</v>
      </c>
      <c r="K347" s="414" t="e">
        <f>K345/#REF!-1</f>
        <v>#REF!</v>
      </c>
      <c r="L347" s="414" t="e">
        <f>L345/#REF!-1</f>
        <v>#REF!</v>
      </c>
      <c r="M347" s="414" t="e">
        <f>M345/#REF!-1</f>
        <v>#REF!</v>
      </c>
      <c r="N347" s="414" t="e">
        <f>N345/#REF!-1</f>
        <v>#REF!</v>
      </c>
      <c r="O347" s="417" t="e">
        <f>O345/#REF!-1</f>
        <v>#REF!</v>
      </c>
      <c r="P347" s="414" t="e">
        <f>P345/#REF!-1</f>
        <v>#REF!</v>
      </c>
      <c r="Q347" s="414" t="e">
        <f>Q345/#REF!-1</f>
        <v>#REF!</v>
      </c>
      <c r="R347" s="414" t="e">
        <f>R345/#REF!-1</f>
        <v>#REF!</v>
      </c>
      <c r="S347" s="414" t="e">
        <f>S345/#REF!-1</f>
        <v>#REF!</v>
      </c>
      <c r="T347" s="417" t="e">
        <f>T345/#REF!-1</f>
        <v>#REF!</v>
      </c>
      <c r="U347" s="414" t="e">
        <f>U345/#REF!-1</f>
        <v>#REF!</v>
      </c>
      <c r="V347" s="414" t="e">
        <f>V345/#REF!-1</f>
        <v>#REF!</v>
      </c>
      <c r="W347" s="414" t="e">
        <f>W345/#REF!-1</f>
        <v>#REF!</v>
      </c>
      <c r="X347" s="414" t="e">
        <f>X345/#REF!-1</f>
        <v>#REF!</v>
      </c>
      <c r="Y347" s="417" t="e">
        <f>Y345/#REF!-1</f>
        <v>#REF!</v>
      </c>
      <c r="Z347" s="414" t="e">
        <f>Z345/#REF!-1</f>
        <v>#REF!</v>
      </c>
      <c r="AA347" s="414" t="e">
        <f>AA345/#REF!-1</f>
        <v>#REF!</v>
      </c>
      <c r="AB347" s="414" t="e">
        <f>AB345/#REF!-1</f>
        <v>#REF!</v>
      </c>
      <c r="AC347" s="414" t="e">
        <f>AC345/#REF!-1</f>
        <v>#REF!</v>
      </c>
      <c r="AD347" s="422" t="e">
        <f>AD345/#REF!-1</f>
        <v>#REF!</v>
      </c>
      <c r="AE347" s="414" t="e">
        <f>AE345/#REF!-1</f>
        <v>#VALUE!</v>
      </c>
      <c r="AF347" s="414" t="e">
        <f>AF345/#REF!-1</f>
        <v>#VALUE!</v>
      </c>
      <c r="AG347" s="414" t="e">
        <f>AG345/#REF!-1</f>
        <v>#VALUE!</v>
      </c>
      <c r="AH347" s="414"/>
      <c r="AI347" s="422"/>
      <c r="AJ347" s="414"/>
      <c r="AK347" s="414"/>
      <c r="AL347" s="414"/>
      <c r="AM347" s="414"/>
      <c r="AN347" s="422"/>
      <c r="AO347" s="280"/>
      <c r="AP347" s="280"/>
      <c r="AQ347" s="280"/>
      <c r="AR347" s="280"/>
      <c r="AS347" s="320"/>
      <c r="AT347" s="315"/>
      <c r="AU347" s="508"/>
      <c r="AV347" s="143"/>
      <c r="AW347" s="143"/>
      <c r="AX347" s="143"/>
      <c r="AY347" s="143"/>
      <c r="AZ347" s="143"/>
      <c r="BA347" s="143"/>
      <c r="BB347" s="143"/>
      <c r="BC347" s="143"/>
      <c r="BD347" s="143"/>
      <c r="BE347" s="143"/>
      <c r="BF347" s="143"/>
      <c r="BG347" s="143"/>
      <c r="BH347" s="143"/>
      <c r="BI347" s="143"/>
      <c r="BJ347" s="143"/>
      <c r="BK347" s="143"/>
      <c r="BL347" s="143"/>
      <c r="BM347" s="143"/>
      <c r="BN347" s="143"/>
      <c r="BO347" s="143"/>
      <c r="BP347" s="143"/>
      <c r="BQ347" s="143"/>
      <c r="BR347" s="143"/>
      <c r="BS347" s="143"/>
      <c r="BT347" s="143"/>
      <c r="BU347" s="143"/>
      <c r="BV347" s="143"/>
      <c r="BW347" s="143"/>
      <c r="BX347" s="143"/>
      <c r="BY347" s="143"/>
      <c r="BZ347" s="143"/>
      <c r="CA347" s="143"/>
      <c r="CB347" s="143"/>
      <c r="CC347" s="143"/>
      <c r="CD347" s="143"/>
      <c r="CE347" s="143"/>
      <c r="CF347" s="143"/>
      <c r="CG347" s="143"/>
      <c r="CH347" s="143"/>
      <c r="CI347" s="143"/>
      <c r="CJ347" s="143"/>
      <c r="CK347" s="143"/>
      <c r="CL347" s="143"/>
      <c r="CM347" s="143"/>
      <c r="CN347" s="143"/>
      <c r="CO347" s="143"/>
      <c r="CP347" s="143"/>
      <c r="CQ347" s="143"/>
      <c r="CR347" s="143"/>
      <c r="CS347" s="143"/>
      <c r="CT347" s="143"/>
      <c r="CU347" s="143"/>
      <c r="CV347" s="143"/>
      <c r="CW347" s="143"/>
      <c r="CX347" s="143"/>
      <c r="CY347" s="143"/>
      <c r="CZ347" s="143"/>
      <c r="DA347" s="143"/>
      <c r="DB347" s="143"/>
      <c r="DC347" s="143"/>
      <c r="DD347" s="143"/>
      <c r="DE347" s="143"/>
      <c r="DF347" s="143"/>
      <c r="DG347" s="143"/>
      <c r="DH347" s="143"/>
      <c r="DI347" s="143"/>
      <c r="DJ347" s="143"/>
      <c r="DK347" s="143"/>
      <c r="DL347" s="143"/>
      <c r="DM347" s="143"/>
      <c r="DN347" s="143"/>
      <c r="DO347" s="143"/>
      <c r="DP347" s="143"/>
      <c r="DQ347" s="143"/>
      <c r="DR347" s="143"/>
      <c r="DS347" s="143"/>
      <c r="DT347" s="143"/>
      <c r="DU347" s="143"/>
      <c r="DV347" s="143"/>
      <c r="DW347" s="143"/>
      <c r="DX347" s="143"/>
      <c r="DY347" s="143"/>
      <c r="DZ347" s="143"/>
      <c r="EA347" s="143"/>
      <c r="EB347" s="143"/>
      <c r="EC347" s="143"/>
      <c r="ED347" s="143"/>
      <c r="EE347" s="143"/>
      <c r="EF347" s="143"/>
      <c r="EG347" s="143"/>
      <c r="EH347" s="143"/>
      <c r="EI347" s="143"/>
      <c r="EJ347" s="143"/>
      <c r="EK347" s="143"/>
      <c r="EL347" s="143"/>
      <c r="EM347" s="143"/>
      <c r="EN347" s="143"/>
      <c r="EO347" s="143"/>
      <c r="EP347" s="143"/>
      <c r="EQ347" s="143"/>
      <c r="ER347" s="143"/>
      <c r="ES347" s="143"/>
      <c r="ET347" s="143"/>
      <c r="EU347" s="143"/>
      <c r="EV347" s="143"/>
      <c r="EW347" s="143"/>
      <c r="EX347" s="143"/>
      <c r="EY347" s="143"/>
      <c r="EZ347" s="143"/>
      <c r="FA347" s="143"/>
      <c r="FB347" s="143"/>
      <c r="FC347" s="143"/>
      <c r="FD347" s="143"/>
      <c r="FE347" s="143"/>
      <c r="FF347" s="143"/>
      <c r="FG347" s="143"/>
      <c r="FH347" s="143"/>
      <c r="FI347" s="143"/>
      <c r="FJ347" s="143"/>
      <c r="FK347" s="143"/>
      <c r="FL347" s="143"/>
      <c r="FM347" s="143"/>
      <c r="FN347" s="143"/>
      <c r="FO347" s="143"/>
      <c r="FP347" s="143"/>
      <c r="FQ347" s="143"/>
      <c r="FR347" s="143"/>
      <c r="FS347" s="143"/>
      <c r="FT347" s="143"/>
      <c r="FU347" s="143"/>
      <c r="FV347" s="143"/>
      <c r="FW347" s="143"/>
      <c r="FX347" s="143"/>
      <c r="FY347" s="143"/>
      <c r="FZ347" s="143"/>
      <c r="GA347" s="143"/>
      <c r="GB347" s="143"/>
      <c r="GC347" s="143"/>
      <c r="GD347" s="143"/>
      <c r="GE347" s="143"/>
      <c r="GF347" s="143"/>
      <c r="GG347" s="143"/>
      <c r="GH347" s="143"/>
      <c r="GI347" s="143"/>
      <c r="GJ347" s="143"/>
      <c r="GK347" s="143"/>
      <c r="GL347" s="143"/>
      <c r="GM347" s="143"/>
      <c r="GN347" s="143"/>
      <c r="GO347" s="143"/>
      <c r="GP347" s="143"/>
      <c r="GQ347" s="143"/>
      <c r="GR347" s="143"/>
      <c r="GS347" s="143"/>
      <c r="GT347" s="143"/>
      <c r="GU347" s="143"/>
      <c r="GV347" s="143"/>
      <c r="GW347" s="143"/>
      <c r="GX347" s="143"/>
      <c r="GY347" s="143"/>
      <c r="GZ347" s="143"/>
      <c r="HA347" s="143"/>
      <c r="HB347" s="143"/>
      <c r="HC347" s="143"/>
      <c r="HD347" s="143"/>
      <c r="HE347" s="143"/>
      <c r="HF347" s="143"/>
      <c r="HG347" s="143"/>
      <c r="HH347" s="143"/>
      <c r="HI347" s="143"/>
      <c r="HJ347" s="143"/>
      <c r="HK347" s="143"/>
      <c r="HL347" s="143"/>
      <c r="HM347" s="143"/>
      <c r="HN347" s="143"/>
      <c r="HO347" s="143"/>
      <c r="HP347" s="143"/>
      <c r="HQ347" s="143"/>
      <c r="HR347" s="143"/>
      <c r="HS347" s="143"/>
      <c r="HT347" s="143"/>
      <c r="HU347" s="143"/>
      <c r="HV347" s="143"/>
      <c r="HW347" s="143"/>
      <c r="HX347" s="143"/>
      <c r="HY347" s="143"/>
      <c r="HZ347" s="143"/>
      <c r="IA347" s="143"/>
      <c r="IB347" s="143"/>
      <c r="IC347" s="143"/>
      <c r="ID347" s="143"/>
      <c r="IE347" s="143"/>
      <c r="IF347" s="143"/>
      <c r="IG347" s="143"/>
      <c r="IH347" s="143"/>
      <c r="II347" s="143"/>
      <c r="IJ347" s="143"/>
      <c r="IK347" s="143"/>
      <c r="IL347" s="143"/>
      <c r="IM347" s="143"/>
      <c r="IN347" s="143"/>
      <c r="IO347" s="143"/>
      <c r="IP347" s="143"/>
      <c r="IQ347" s="143"/>
      <c r="IR347" s="143"/>
      <c r="IS347" s="143"/>
      <c r="IT347" s="143"/>
      <c r="IU347" s="143"/>
      <c r="IV347" s="143"/>
      <c r="IW347" s="143"/>
      <c r="IX347" s="143"/>
      <c r="IY347" s="143"/>
      <c r="IZ347" s="143"/>
      <c r="JA347" s="143"/>
      <c r="JB347" s="143"/>
      <c r="JC347" s="143"/>
      <c r="JD347" s="143"/>
      <c r="JE347" s="143"/>
      <c r="JF347" s="143"/>
      <c r="JG347" s="143"/>
      <c r="JH347" s="143"/>
      <c r="JI347" s="143"/>
    </row>
    <row r="348" spans="1:269" hidden="1" outlineLevel="1">
      <c r="A348" s="437"/>
      <c r="B348" s="143"/>
      <c r="C348" s="417"/>
      <c r="D348" s="417"/>
      <c r="E348" s="417"/>
      <c r="F348" s="414"/>
      <c r="G348" s="414"/>
      <c r="H348" s="414"/>
      <c r="I348" s="414"/>
      <c r="J348" s="417"/>
      <c r="K348" s="414"/>
      <c r="L348" s="414"/>
      <c r="M348" s="414"/>
      <c r="N348" s="414"/>
      <c r="O348" s="417"/>
      <c r="P348" s="414"/>
      <c r="Q348" s="414"/>
      <c r="R348" s="414"/>
      <c r="S348" s="414"/>
      <c r="T348" s="417"/>
      <c r="U348" s="414"/>
      <c r="V348" s="414"/>
      <c r="W348" s="414"/>
      <c r="X348" s="414"/>
      <c r="Y348" s="417"/>
      <c r="Z348" s="414"/>
      <c r="AA348" s="414"/>
      <c r="AB348" s="414"/>
      <c r="AC348" s="414"/>
      <c r="AD348" s="422"/>
      <c r="AE348" s="414"/>
      <c r="AF348" s="414"/>
      <c r="AG348" s="414"/>
      <c r="AH348" s="414"/>
      <c r="AI348" s="422"/>
      <c r="AJ348" s="414"/>
      <c r="AK348" s="414"/>
      <c r="AL348" s="414"/>
      <c r="AM348" s="414"/>
      <c r="AN348" s="422"/>
      <c r="AO348" s="280"/>
      <c r="AP348" s="280"/>
      <c r="AQ348" s="280"/>
      <c r="AR348" s="280"/>
      <c r="AS348" s="320"/>
      <c r="AT348" s="315"/>
      <c r="AU348" s="508"/>
      <c r="AV348" s="143"/>
      <c r="AW348" s="143"/>
      <c r="AX348" s="143"/>
      <c r="AY348" s="143"/>
      <c r="AZ348" s="143"/>
      <c r="BA348" s="143"/>
      <c r="BB348" s="143"/>
      <c r="BC348" s="143"/>
      <c r="BD348" s="143"/>
      <c r="BE348" s="143"/>
      <c r="BF348" s="143"/>
      <c r="BG348" s="143"/>
      <c r="BH348" s="143"/>
      <c r="BI348" s="143"/>
      <c r="BJ348" s="143"/>
      <c r="BK348" s="143"/>
      <c r="BL348" s="143"/>
      <c r="BM348" s="143"/>
      <c r="BN348" s="143"/>
      <c r="BO348" s="143"/>
      <c r="BP348" s="143"/>
      <c r="BQ348" s="143"/>
      <c r="BR348" s="143"/>
      <c r="BS348" s="143"/>
      <c r="BT348" s="143"/>
      <c r="BU348" s="143"/>
      <c r="BV348" s="143"/>
      <c r="BW348" s="143"/>
      <c r="BX348" s="143"/>
      <c r="BY348" s="143"/>
      <c r="BZ348" s="143"/>
      <c r="CA348" s="143"/>
      <c r="CB348" s="143"/>
      <c r="CC348" s="143"/>
      <c r="CD348" s="143"/>
      <c r="CE348" s="143"/>
      <c r="CF348" s="143"/>
      <c r="CG348" s="143"/>
      <c r="CH348" s="143"/>
      <c r="CI348" s="143"/>
      <c r="CJ348" s="143"/>
      <c r="CK348" s="143"/>
      <c r="CL348" s="143"/>
      <c r="CM348" s="143"/>
      <c r="CN348" s="143"/>
      <c r="CO348" s="143"/>
      <c r="CP348" s="143"/>
      <c r="CQ348" s="143"/>
      <c r="CR348" s="143"/>
      <c r="CS348" s="143"/>
      <c r="CT348" s="143"/>
      <c r="CU348" s="143"/>
      <c r="CV348" s="143"/>
      <c r="CW348" s="143"/>
      <c r="CX348" s="143"/>
      <c r="CY348" s="143"/>
      <c r="CZ348" s="143"/>
      <c r="DA348" s="143"/>
      <c r="DB348" s="143"/>
      <c r="DC348" s="143"/>
      <c r="DD348" s="143"/>
      <c r="DE348" s="143"/>
      <c r="DF348" s="143"/>
      <c r="DG348" s="143"/>
      <c r="DH348" s="143"/>
      <c r="DI348" s="143"/>
      <c r="DJ348" s="143"/>
      <c r="DK348" s="143"/>
      <c r="DL348" s="143"/>
      <c r="DM348" s="143"/>
      <c r="DN348" s="143"/>
      <c r="DO348" s="143"/>
      <c r="DP348" s="143"/>
      <c r="DQ348" s="143"/>
      <c r="DR348" s="143"/>
      <c r="DS348" s="143"/>
      <c r="DT348" s="143"/>
      <c r="DU348" s="143"/>
      <c r="DV348" s="143"/>
      <c r="DW348" s="143"/>
      <c r="DX348" s="143"/>
      <c r="DY348" s="143"/>
      <c r="DZ348" s="143"/>
      <c r="EA348" s="143"/>
      <c r="EB348" s="143"/>
      <c r="EC348" s="143"/>
      <c r="ED348" s="143"/>
      <c r="EE348" s="143"/>
      <c r="EF348" s="143"/>
      <c r="EG348" s="143"/>
      <c r="EH348" s="143"/>
      <c r="EI348" s="143"/>
      <c r="EJ348" s="143"/>
      <c r="EK348" s="143"/>
      <c r="EL348" s="143"/>
      <c r="EM348" s="143"/>
      <c r="EN348" s="143"/>
      <c r="EO348" s="143"/>
      <c r="EP348" s="143"/>
      <c r="EQ348" s="143"/>
      <c r="ER348" s="143"/>
      <c r="ES348" s="143"/>
      <c r="ET348" s="143"/>
      <c r="EU348" s="143"/>
      <c r="EV348" s="143"/>
      <c r="EW348" s="143"/>
      <c r="EX348" s="143"/>
      <c r="EY348" s="143"/>
      <c r="EZ348" s="143"/>
      <c r="FA348" s="143"/>
      <c r="FB348" s="143"/>
      <c r="FC348" s="143"/>
      <c r="FD348" s="143"/>
      <c r="FE348" s="143"/>
      <c r="FF348" s="143"/>
      <c r="FG348" s="143"/>
      <c r="FH348" s="143"/>
      <c r="FI348" s="143"/>
      <c r="FJ348" s="143"/>
      <c r="FK348" s="143"/>
      <c r="FL348" s="143"/>
      <c r="FM348" s="143"/>
      <c r="FN348" s="143"/>
      <c r="FO348" s="143"/>
      <c r="FP348" s="143"/>
      <c r="FQ348" s="143"/>
      <c r="FR348" s="143"/>
      <c r="FS348" s="143"/>
      <c r="FT348" s="143"/>
      <c r="FU348" s="143"/>
      <c r="FV348" s="143"/>
      <c r="FW348" s="143"/>
      <c r="FX348" s="143"/>
      <c r="FY348" s="143"/>
      <c r="FZ348" s="143"/>
      <c r="GA348" s="143"/>
      <c r="GB348" s="143"/>
      <c r="GC348" s="143"/>
      <c r="GD348" s="143"/>
      <c r="GE348" s="143"/>
      <c r="GF348" s="143"/>
      <c r="GG348" s="143"/>
      <c r="GH348" s="143"/>
      <c r="GI348" s="143"/>
      <c r="GJ348" s="143"/>
      <c r="GK348" s="143"/>
      <c r="GL348" s="143"/>
      <c r="GM348" s="143"/>
      <c r="GN348" s="143"/>
      <c r="GO348" s="143"/>
      <c r="GP348" s="143"/>
      <c r="GQ348" s="143"/>
      <c r="GR348" s="143"/>
      <c r="GS348" s="143"/>
      <c r="GT348" s="143"/>
      <c r="GU348" s="143"/>
      <c r="GV348" s="143"/>
      <c r="GW348" s="143"/>
      <c r="GX348" s="143"/>
      <c r="GY348" s="143"/>
      <c r="GZ348" s="143"/>
      <c r="HA348" s="143"/>
      <c r="HB348" s="143"/>
      <c r="HC348" s="143"/>
      <c r="HD348" s="143"/>
      <c r="HE348" s="143"/>
      <c r="HF348" s="143"/>
      <c r="HG348" s="143"/>
      <c r="HH348" s="143"/>
      <c r="HI348" s="143"/>
      <c r="HJ348" s="143"/>
      <c r="HK348" s="143"/>
      <c r="HL348" s="143"/>
      <c r="HM348" s="143"/>
      <c r="HN348" s="143"/>
      <c r="HO348" s="143"/>
      <c r="HP348" s="143"/>
      <c r="HQ348" s="143"/>
      <c r="HR348" s="143"/>
      <c r="HS348" s="143"/>
      <c r="HT348" s="143"/>
      <c r="HU348" s="143"/>
      <c r="HV348" s="143"/>
      <c r="HW348" s="143"/>
      <c r="HX348" s="143"/>
      <c r="HY348" s="143"/>
      <c r="HZ348" s="143"/>
      <c r="IA348" s="143"/>
      <c r="IB348" s="143"/>
      <c r="IC348" s="143"/>
      <c r="ID348" s="143"/>
      <c r="IE348" s="143"/>
      <c r="IF348" s="143"/>
      <c r="IG348" s="143"/>
      <c r="IH348" s="143"/>
      <c r="II348" s="143"/>
      <c r="IJ348" s="143"/>
      <c r="IK348" s="143"/>
      <c r="IL348" s="143"/>
      <c r="IM348" s="143"/>
      <c r="IN348" s="143"/>
      <c r="IO348" s="143"/>
      <c r="IP348" s="143"/>
      <c r="IQ348" s="143"/>
      <c r="IR348" s="143"/>
      <c r="IS348" s="143"/>
      <c r="IT348" s="143"/>
      <c r="IU348" s="143"/>
      <c r="IV348" s="143"/>
      <c r="IW348" s="143"/>
      <c r="IX348" s="143"/>
      <c r="IY348" s="143"/>
      <c r="IZ348" s="143"/>
      <c r="JA348" s="143"/>
      <c r="JB348" s="143"/>
      <c r="JC348" s="143"/>
      <c r="JD348" s="143"/>
      <c r="JE348" s="143"/>
      <c r="JF348" s="143"/>
      <c r="JG348" s="143"/>
      <c r="JH348" s="143"/>
      <c r="JI348" s="143"/>
    </row>
    <row r="349" spans="1:269" hidden="1" outlineLevel="1">
      <c r="A349" s="83" t="s">
        <v>231</v>
      </c>
      <c r="B349" s="143" t="s">
        <v>232</v>
      </c>
      <c r="C349" s="475" t="e">
        <f>_xll.BQL.QUERY("get(avg(px_last(start=" &amp; TEXT(#REF!, "YYYY-MM-DD") &amp; ", end=" &amp; TEXT(C$5, "YYYY-MM-DD") &amp; "))) for('"&amp;$B349&amp;"')")</f>
        <v>#REF!</v>
      </c>
      <c r="D349" s="475" t="e">
        <f>_xll.BQL.QUERY("get(avg(px_last(start=" &amp; TEXT(#REF!, "YYYY-MM-DD") &amp; ", end=" &amp; TEXT(D$5, "YYYY-MM-DD") &amp; "))) for('"&amp;$B349&amp;"')")</f>
        <v>#REF!</v>
      </c>
      <c r="E349" s="475" t="e">
        <f>_xll.BQL.QUERY("get(avg(px_last(start=" &amp; TEXT(#REF!, "YYYY-MM-DD") &amp; ", end=" &amp; TEXT(E$5, "YYYY-MM-DD") &amp; "))) for('"&amp;$B349&amp;"')")</f>
        <v>#REF!</v>
      </c>
      <c r="F349" s="335" t="e">
        <f>_xll.BQL.QUERY("get(avg(px_last(start=" &amp; TEXT(#REF!, "YYYY-MM-DD") &amp; ", end=" &amp; TEXT(F$5, "YYYY-MM-DD") &amp; "))) for('"&amp;$B349&amp;"')")</f>
        <v>#REF!</v>
      </c>
      <c r="G349" s="335">
        <f>_xll.BQL.QUERY("get(avg(px_last(start=" &amp; TEXT(F$5, "YYYY-MM-DD") &amp; ", end=" &amp; TEXT(G$5, "YYYY-MM-DD") &amp; "))) for('"&amp;$B349&amp;"')")</f>
        <v>75.8</v>
      </c>
      <c r="H349" s="335">
        <f>_xll.BQL.QUERY("get(avg(px_last(start=" &amp; TEXT(G$5, "YYYY-MM-DD") &amp; ", end=" &amp; TEXT(H$5, "YYYY-MM-DD") &amp; "))) for('"&amp;$B349&amp;"')")</f>
        <v>72.666666666666671</v>
      </c>
      <c r="I349" s="335">
        <f>_xll.BQL.QUERY("get(avg(px_last(start=" &amp; TEXT(H$5, "YYYY-MM-DD") &amp; ", end=" &amp; TEXT(I$5, "YYYY-MM-DD") &amp; "))) for('"&amp;$B349&amp;"')")</f>
        <v>69.833333333333329</v>
      </c>
      <c r="J349" s="475" t="e">
        <f>_xll.BQL.QUERY("get(avg(px_last(start=" &amp; TEXT(#REF!, "YYYY-MM-DD") &amp; ", end=" &amp; TEXT(J$5, "YYYY-MM-DD") &amp; "))) for('"&amp;$B349&amp;"')")</f>
        <v>#REF!</v>
      </c>
      <c r="K349" s="335" t="e">
        <f>_xll.BQL.QUERY("get(avg(px_last(start=" &amp; TEXT(#REF!, "YYYY-MM-DD") &amp; ", end=" &amp; TEXT(K$5, "YYYY-MM-DD") &amp; "))) for('"&amp;$B349&amp;"')")</f>
        <v>#REF!</v>
      </c>
      <c r="L349" s="335">
        <f>_xll.BQL.QUERY("get(avg(px_last(start=" &amp; TEXT(K$5, "YYYY-MM-DD") &amp; ", end=" &amp; TEXT(L$5, "YYYY-MM-DD") &amp; "))) for('"&amp;$B349&amp;"')")</f>
        <v>203.9</v>
      </c>
      <c r="M349" s="335">
        <f>_xll.BQL.QUERY("get(avg(px_last(start=" &amp; TEXT(L$5, "YYYY-MM-DD") &amp; ", end=" &amp; TEXT(M$5, "YYYY-MM-DD") &amp; "))) for('"&amp;$B349&amp;"')")</f>
        <v>178.35</v>
      </c>
      <c r="N349" s="335">
        <f>_xll.BQL.QUERY("get(avg(px_last(start=" &amp; TEXT(M$5, "YYYY-MM-DD") &amp; ", end=" &amp; TEXT(N$5, "YYYY-MM-DD") &amp; "))) for('"&amp;$B349&amp;"')")</f>
        <v>162.55000000000001</v>
      </c>
      <c r="O349" s="475" t="e">
        <f>_xll.BQL.QUERY("get(avg(px_last(start=" &amp; TEXT(#REF!, "YYYY-MM-DD") &amp; ", end=" &amp; TEXT(O$5, "YYYY-MM-DD") &amp; "))) for('"&amp;$B349&amp;"')")</f>
        <v>#REF!</v>
      </c>
      <c r="P349" s="335">
        <f>_xll.BQL.QUERY("get(avg(px_last(start=" &amp; TEXT(O$5, "YYYY-MM-DD") &amp; ", end=" &amp; TEXT(P$5, "YYYY-MM-DD") &amp; "))) for('"&amp;$B349&amp;"')")</f>
        <v>164.77500000000001</v>
      </c>
      <c r="Q349" s="335">
        <f>_xll.BQL.QUERY("get(avg(px_last(start=" &amp; TEXT(P$5, "YYYY-MM-DD") &amp; ", end=" &amp; TEXT(Q$5, "YYYY-MM-DD") &amp; "))) for('"&amp;$B349&amp;"')")</f>
        <v>181.64999999999998</v>
      </c>
      <c r="R349" s="335">
        <f>_xll.BQL.QUERY("get(avg(px_last(start=" &amp; TEXT(Q$5, "YYYY-MM-DD") &amp; ", end=" &amp; TEXT(R$5, "YYYY-MM-DD") &amp; "))) for('"&amp;$B349&amp;"')")</f>
        <v>212.97500000000002</v>
      </c>
      <c r="S349" s="335">
        <f>_xll.BQL.QUERY("get(avg(px_last(start=" &amp; TEXT(R$5, "YYYY-MM-DD") &amp; ", end=" &amp; TEXT(S$5, "YYYY-MM-DD") &amp; "))) for('"&amp;$B349&amp;"')")</f>
        <v>212.27500000000003</v>
      </c>
      <c r="T349" s="475">
        <f>_xll.BQL.QUERY("get(avg(px_last(start=" &amp; TEXT(O$5, "YYYY-MM-DD") &amp; ", end=" &amp; TEXT(T$5, "YYYY-MM-DD") &amp; "))) for('"&amp;$B349&amp;"')")</f>
        <v>191.96153846153845</v>
      </c>
      <c r="U349" s="335">
        <f>_xll.BQL.QUERY("get(avg(px_last(start=" &amp; TEXT(T$5, "YYYY-MM-DD") &amp; ", end=" &amp; TEXT(U$5, "YYYY-MM-DD") &amp; "))) for('"&amp;$B349&amp;"')")</f>
        <v>206.55</v>
      </c>
      <c r="V349" s="335">
        <f>_xll.BQL.QUERY("get(avg(px_last(start=" &amp; TEXT(U$5, "YYYY-MM-DD") &amp; ", end=" &amp; TEXT(V$5, "YYYY-MM-DD") &amp; "))) for('"&amp;$B349&amp;"')")</f>
        <v>212.60000000000002</v>
      </c>
      <c r="W349" s="335">
        <f>_xll.BQL.QUERY("get(avg(px_last(start=" &amp; TEXT(V$5, "YYYY-MM-DD") &amp; ", end=" &amp; TEXT(W$5, "YYYY-MM-DD") &amp; "))) for('"&amp;$B349&amp;"')")</f>
        <v>220.375</v>
      </c>
      <c r="X349" s="335">
        <f>_xll.BQL.QUERY("get(avg(px_last(start=" &amp; TEXT(W$5, "YYYY-MM-DD") &amp; ", end=" &amp; TEXT(X$5, "YYYY-MM-DD") &amp; "))) for('"&amp;$B349&amp;"')")</f>
        <v>236.47500000000002</v>
      </c>
      <c r="Y349" s="475">
        <f>_xll.BQL.QUERY("get(avg(px_last(start=" &amp; TEXT(T$5, "YYYY-MM-DD") &amp; ", end=" &amp; TEXT(Y$5, "YYYY-MM-DD") &amp; "))) for('"&amp;$B349&amp;"')")</f>
        <v>219.85384615384618</v>
      </c>
      <c r="Z349" s="335">
        <f>_xll.BQL.QUERY("get(avg(px_last(start=" &amp; TEXT(Y$5, "YYYY-MM-DD") &amp; ", end=" &amp; TEXT(Z$5, "YYYY-MM-DD") &amp; "))) for('"&amp;$B349&amp;"')")</f>
        <v>224.47500000000002</v>
      </c>
      <c r="AA349" s="335">
        <f>_xll.BQL.QUERY("get(avg(px_last(start=" &amp; TEXT(Z$5, "YYYY-MM-DD") &amp; ", end=" &amp; TEXT(AA$5, "YYYY-MM-DD") &amp; "))) for('"&amp;$B349&amp;"')")</f>
        <v>205.125</v>
      </c>
      <c r="AB349" s="335">
        <f>_xll.BQL.QUERY("get(avg(px_last(start=" &amp; TEXT(AA$5, "YYYY-MM-DD") &amp; ", end=" &amp; TEXT(AB$5, "YYYY-MM-DD") &amp; "))) for('"&amp;$B349&amp;"')")</f>
        <v>199.67500000000001</v>
      </c>
      <c r="AC349" s="335">
        <f>_xll.BQL.QUERY("get(avg(px_last(start=" &amp; TEXT(AB$5, "YYYY-MM-DD") &amp; ", end=" &amp; TEXT(AC$5, "YYYY-MM-DD") &amp; "))) for('"&amp;$B349&amp;"')")</f>
        <v>193.15</v>
      </c>
      <c r="AD349" s="540">
        <f>_xll.BQL.QUERY("get(avg(px_last(start=" &amp; TEXT(Y$5, "YYYY-MM-DD") &amp; ", end=" &amp; TEXT(AD$5, "YYYY-MM-DD") &amp; "))) for('"&amp;$B349&amp;"')")</f>
        <v>209.14545454545458</v>
      </c>
      <c r="AE349" s="335" t="str">
        <f>_xll.BQL.QUERY("get(avg(px_last(start=" &amp; TEXT(AD$5, "YYYY-MM-DD") &amp; ", end=" &amp; TEXT(AE$5, "YYYY-MM-DD") &amp; "))) for('"&amp;$B349&amp;"')")</f>
        <v>#N/A</v>
      </c>
      <c r="AF349" s="335" t="str">
        <f>_xll.BQL.QUERY("get(avg(px_last(start=" &amp; TEXT(AE$5, "YYYY-MM-DD") &amp; ", end=" &amp; TEXT(AF$5, "YYYY-MM-DD") &amp; "))) for('"&amp;$B349&amp;"')")</f>
        <v>#N/A</v>
      </c>
      <c r="AG349" s="335" t="str">
        <f>_xll.BQL.QUERY("get(avg(px_last(start=" &amp; TEXT(AF$5, "YYYY-MM-DD") &amp; ", end=" &amp; TEXT(AG$5, "YYYY-MM-DD") &amp; "))) for('"&amp;$B349&amp;"')")</f>
        <v>#N/A</v>
      </c>
      <c r="AH349" s="414"/>
      <c r="AI349" s="422"/>
      <c r="AJ349" s="414"/>
      <c r="AK349" s="414"/>
      <c r="AL349" s="414"/>
      <c r="AM349" s="414"/>
      <c r="AN349" s="422"/>
      <c r="AO349" s="280"/>
      <c r="AP349" s="280"/>
      <c r="AQ349" s="280"/>
      <c r="AR349" s="280"/>
      <c r="AS349" s="320"/>
      <c r="AT349" s="315"/>
      <c r="AU349" s="508"/>
      <c r="AV349" s="143"/>
      <c r="AW349" s="143"/>
      <c r="AX349" s="143"/>
      <c r="AY349" s="143"/>
      <c r="AZ349" s="143"/>
      <c r="BA349" s="143"/>
      <c r="BB349" s="143"/>
      <c r="BC349" s="143"/>
      <c r="BD349" s="143"/>
      <c r="BE349" s="143"/>
      <c r="BF349" s="143"/>
      <c r="BG349" s="143"/>
      <c r="BH349" s="143"/>
      <c r="BI349" s="143"/>
      <c r="BJ349" s="143"/>
      <c r="BK349" s="143"/>
      <c r="BL349" s="143"/>
      <c r="BM349" s="143"/>
      <c r="BN349" s="143"/>
      <c r="BO349" s="143"/>
      <c r="BP349" s="143"/>
      <c r="BQ349" s="143"/>
      <c r="BR349" s="143"/>
      <c r="BS349" s="143"/>
      <c r="BT349" s="143"/>
      <c r="BU349" s="143"/>
      <c r="BV349" s="143"/>
      <c r="BW349" s="143"/>
      <c r="BX349" s="143"/>
      <c r="BY349" s="143"/>
      <c r="BZ349" s="143"/>
      <c r="CA349" s="143"/>
      <c r="CB349" s="143"/>
      <c r="CC349" s="143"/>
      <c r="CD349" s="143"/>
      <c r="CE349" s="143"/>
      <c r="CF349" s="143"/>
      <c r="CG349" s="143"/>
      <c r="CH349" s="143"/>
      <c r="CI349" s="143"/>
      <c r="CJ349" s="143"/>
      <c r="CK349" s="143"/>
      <c r="CL349" s="143"/>
      <c r="CM349" s="143"/>
      <c r="CN349" s="143"/>
      <c r="CO349" s="143"/>
      <c r="CP349" s="143"/>
      <c r="CQ349" s="143"/>
      <c r="CR349" s="143"/>
      <c r="CS349" s="143"/>
      <c r="CT349" s="143"/>
      <c r="CU349" s="143"/>
      <c r="CV349" s="143"/>
      <c r="CW349" s="143"/>
      <c r="CX349" s="143"/>
      <c r="CY349" s="143"/>
      <c r="CZ349" s="143"/>
      <c r="DA349" s="143"/>
      <c r="DB349" s="143"/>
      <c r="DC349" s="143"/>
      <c r="DD349" s="143"/>
      <c r="DE349" s="143"/>
      <c r="DF349" s="143"/>
      <c r="DG349" s="143"/>
      <c r="DH349" s="143"/>
      <c r="DI349" s="143"/>
      <c r="DJ349" s="143"/>
      <c r="DK349" s="143"/>
      <c r="DL349" s="143"/>
      <c r="DM349" s="143"/>
      <c r="DN349" s="143"/>
      <c r="DO349" s="143"/>
      <c r="DP349" s="143"/>
      <c r="DQ349" s="143"/>
      <c r="DR349" s="143"/>
      <c r="DS349" s="143"/>
      <c r="DT349" s="143"/>
      <c r="DU349" s="143"/>
      <c r="DV349" s="143"/>
      <c r="DW349" s="143"/>
      <c r="DX349" s="143"/>
      <c r="DY349" s="143"/>
      <c r="DZ349" s="143"/>
      <c r="EA349" s="143"/>
      <c r="EB349" s="143"/>
      <c r="EC349" s="143"/>
      <c r="ED349" s="143"/>
      <c r="EE349" s="143"/>
      <c r="EF349" s="143"/>
      <c r="EG349" s="143"/>
      <c r="EH349" s="143"/>
      <c r="EI349" s="143"/>
      <c r="EJ349" s="143"/>
      <c r="EK349" s="143"/>
      <c r="EL349" s="143"/>
      <c r="EM349" s="143"/>
      <c r="EN349" s="143"/>
      <c r="EO349" s="143"/>
      <c r="EP349" s="143"/>
      <c r="EQ349" s="143"/>
      <c r="ER349" s="143"/>
      <c r="ES349" s="143"/>
      <c r="ET349" s="143"/>
      <c r="EU349" s="143"/>
      <c r="EV349" s="143"/>
      <c r="EW349" s="143"/>
      <c r="EX349" s="143"/>
      <c r="EY349" s="143"/>
      <c r="EZ349" s="143"/>
      <c r="FA349" s="143"/>
      <c r="FB349" s="143"/>
      <c r="FC349" s="143"/>
      <c r="FD349" s="143"/>
      <c r="FE349" s="143"/>
      <c r="FF349" s="143"/>
      <c r="FG349" s="143"/>
      <c r="FH349" s="143"/>
      <c r="FI349" s="143"/>
      <c r="FJ349" s="143"/>
      <c r="FK349" s="143"/>
      <c r="FL349" s="143"/>
      <c r="FM349" s="143"/>
      <c r="FN349" s="143"/>
      <c r="FO349" s="143"/>
      <c r="FP349" s="143"/>
      <c r="FQ349" s="143"/>
      <c r="FR349" s="143"/>
      <c r="FS349" s="143"/>
      <c r="FT349" s="143"/>
      <c r="FU349" s="143"/>
      <c r="FV349" s="143"/>
      <c r="FW349" s="143"/>
      <c r="FX349" s="143"/>
      <c r="FY349" s="143"/>
      <c r="FZ349" s="143"/>
      <c r="GA349" s="143"/>
      <c r="GB349" s="143"/>
      <c r="GC349" s="143"/>
      <c r="GD349" s="143"/>
      <c r="GE349" s="143"/>
      <c r="GF349" s="143"/>
      <c r="GG349" s="143"/>
      <c r="GH349" s="143"/>
      <c r="GI349" s="143"/>
      <c r="GJ349" s="143"/>
      <c r="GK349" s="143"/>
      <c r="GL349" s="143"/>
      <c r="GM349" s="143"/>
      <c r="GN349" s="143"/>
      <c r="GO349" s="143"/>
      <c r="GP349" s="143"/>
      <c r="GQ349" s="143"/>
      <c r="GR349" s="143"/>
      <c r="GS349" s="143"/>
      <c r="GT349" s="143"/>
      <c r="GU349" s="143"/>
      <c r="GV349" s="143"/>
      <c r="GW349" s="143"/>
      <c r="GX349" s="143"/>
      <c r="GY349" s="143"/>
      <c r="GZ349" s="143"/>
      <c r="HA349" s="143"/>
      <c r="HB349" s="143"/>
      <c r="HC349" s="143"/>
      <c r="HD349" s="143"/>
      <c r="HE349" s="143"/>
      <c r="HF349" s="143"/>
      <c r="HG349" s="143"/>
      <c r="HH349" s="143"/>
      <c r="HI349" s="143"/>
      <c r="HJ349" s="143"/>
      <c r="HK349" s="143"/>
      <c r="HL349" s="143"/>
      <c r="HM349" s="143"/>
      <c r="HN349" s="143"/>
      <c r="HO349" s="143"/>
      <c r="HP349" s="143"/>
      <c r="HQ349" s="143"/>
      <c r="HR349" s="143"/>
      <c r="HS349" s="143"/>
      <c r="HT349" s="143"/>
      <c r="HU349" s="143"/>
      <c r="HV349" s="143"/>
      <c r="HW349" s="143"/>
      <c r="HX349" s="143"/>
      <c r="HY349" s="143"/>
      <c r="HZ349" s="143"/>
      <c r="IA349" s="143"/>
      <c r="IB349" s="143"/>
      <c r="IC349" s="143"/>
      <c r="ID349" s="143"/>
      <c r="IE349" s="143"/>
      <c r="IF349" s="143"/>
      <c r="IG349" s="143"/>
      <c r="IH349" s="143"/>
      <c r="II349" s="143"/>
      <c r="IJ349" s="143"/>
      <c r="IK349" s="143"/>
      <c r="IL349" s="143"/>
      <c r="IM349" s="143"/>
      <c r="IN349" s="143"/>
      <c r="IO349" s="143"/>
      <c r="IP349" s="143"/>
      <c r="IQ349" s="143"/>
      <c r="IR349" s="143"/>
      <c r="IS349" s="143"/>
      <c r="IT349" s="143"/>
      <c r="IU349" s="143"/>
      <c r="IV349" s="143"/>
      <c r="IW349" s="143"/>
      <c r="IX349" s="143"/>
      <c r="IY349" s="143"/>
      <c r="IZ349" s="143"/>
      <c r="JA349" s="143"/>
      <c r="JB349" s="143"/>
      <c r="JC349" s="143"/>
      <c r="JD349" s="143"/>
      <c r="JE349" s="143"/>
      <c r="JF349" s="143"/>
      <c r="JG349" s="143"/>
      <c r="JH349" s="143"/>
      <c r="JI349" s="143"/>
    </row>
    <row r="350" spans="1:269" hidden="1" outlineLevel="1">
      <c r="A350" s="437" t="s">
        <v>208</v>
      </c>
      <c r="B350" s="143"/>
      <c r="C350" s="417" t="e">
        <f>C349/#REF!-1</f>
        <v>#REF!</v>
      </c>
      <c r="D350" s="417" t="e">
        <f>D349/#REF!-1</f>
        <v>#REF!</v>
      </c>
      <c r="E350" s="417" t="e">
        <f>E349/#REF!-1</f>
        <v>#REF!</v>
      </c>
      <c r="F350" s="414" t="e">
        <f>F349/#REF!-1</f>
        <v>#REF!</v>
      </c>
      <c r="G350" s="414" t="e">
        <f>G349/#REF!-1</f>
        <v>#REF!</v>
      </c>
      <c r="H350" s="414" t="e">
        <f>H349/#REF!-1</f>
        <v>#REF!</v>
      </c>
      <c r="I350" s="414" t="e">
        <f>I349/#REF!-1</f>
        <v>#REF!</v>
      </c>
      <c r="J350" s="417" t="e">
        <f>J349/#REF!-1</f>
        <v>#REF!</v>
      </c>
      <c r="K350" s="414" t="e">
        <f>K349/#REF!-1</f>
        <v>#REF!</v>
      </c>
      <c r="L350" s="414" t="e">
        <f>L349/#REF!-1</f>
        <v>#REF!</v>
      </c>
      <c r="M350" s="414" t="e">
        <f>M349/#REF!-1</f>
        <v>#REF!</v>
      </c>
      <c r="N350" s="414" t="e">
        <f>N349/#REF!-1</f>
        <v>#REF!</v>
      </c>
      <c r="O350" s="417" t="e">
        <f>O349/#REF!-1</f>
        <v>#REF!</v>
      </c>
      <c r="P350" s="414" t="e">
        <f t="shared" ref="P350" si="659">P349/K349-1</f>
        <v>#REF!</v>
      </c>
      <c r="Q350" s="414">
        <f t="shared" ref="Q350" si="660">Q349/L349-1</f>
        <v>-0.10912211868563038</v>
      </c>
      <c r="R350" s="414">
        <f t="shared" ref="R350" si="661">R349/M349-1</f>
        <v>0.1941407345107935</v>
      </c>
      <c r="S350" s="414">
        <f t="shared" ref="S350" si="662">S349/N349-1</f>
        <v>0.30590587511534917</v>
      </c>
      <c r="T350" s="417" t="e">
        <f t="shared" ref="T350" si="663">T349/O349-1</f>
        <v>#REF!</v>
      </c>
      <c r="U350" s="414">
        <f t="shared" ref="U350" si="664">U349/P349-1</f>
        <v>0.25352753755120627</v>
      </c>
      <c r="V350" s="414">
        <f t="shared" ref="V350" si="665">V349/Q349-1</f>
        <v>0.17038260390861582</v>
      </c>
      <c r="W350" s="414">
        <f t="shared" ref="W350" si="666">W349/R349-1</f>
        <v>3.4745862190397769E-2</v>
      </c>
      <c r="X350" s="414">
        <f t="shared" ref="X350" si="667">X349/S349-1</f>
        <v>0.11400306206571664</v>
      </c>
      <c r="Y350" s="417">
        <f t="shared" ref="Y350" si="668">Y349/T349-1</f>
        <v>0.1453015427769988</v>
      </c>
      <c r="Z350" s="414">
        <f t="shared" ref="Z350" si="669">Z349/U349-1</f>
        <v>8.6782861292665325E-2</v>
      </c>
      <c r="AA350" s="414">
        <f t="shared" ref="AA350" si="670">AA349/V349-1</f>
        <v>-3.5159924741298365E-2</v>
      </c>
      <c r="AB350" s="414">
        <f t="shared" ref="AB350" si="671">AB349/W349-1</f>
        <v>-9.3930799773113915E-2</v>
      </c>
      <c r="AC350" s="414">
        <f t="shared" ref="AC350" si="672">AC349/X349-1</f>
        <v>-0.18321175599957717</v>
      </c>
      <c r="AD350" s="422">
        <f t="shared" ref="AD350" si="673">AD349/Y349-1</f>
        <v>-4.8706865018400602E-2</v>
      </c>
      <c r="AE350" s="414" t="e">
        <f t="shared" ref="AE350" si="674">AE349/Z349-1</f>
        <v>#VALUE!</v>
      </c>
      <c r="AF350" s="414" t="e">
        <f t="shared" ref="AF350" si="675">AF349/AA349-1</f>
        <v>#VALUE!</v>
      </c>
      <c r="AG350" s="414" t="e">
        <f t="shared" ref="AG350" si="676">AG349/AB349-1</f>
        <v>#VALUE!</v>
      </c>
      <c r="AH350" s="414"/>
      <c r="AI350" s="422"/>
      <c r="AJ350" s="414"/>
      <c r="AK350" s="414"/>
      <c r="AL350" s="414"/>
      <c r="AM350" s="414"/>
      <c r="AN350" s="422"/>
      <c r="AO350" s="280"/>
      <c r="AP350" s="280"/>
      <c r="AQ350" s="280"/>
      <c r="AR350" s="280"/>
      <c r="AS350" s="320"/>
      <c r="AT350" s="315"/>
      <c r="AU350" s="508"/>
      <c r="AV350" s="143"/>
      <c r="AW350" s="143"/>
      <c r="AX350" s="143"/>
      <c r="AY350" s="143"/>
      <c r="AZ350" s="143"/>
      <c r="BA350" s="143"/>
      <c r="BB350" s="143"/>
      <c r="BC350" s="143"/>
      <c r="BD350" s="143"/>
      <c r="BE350" s="143"/>
      <c r="BF350" s="143"/>
      <c r="BG350" s="143"/>
      <c r="BH350" s="143"/>
      <c r="BI350" s="143"/>
      <c r="BJ350" s="143"/>
      <c r="BK350" s="143"/>
      <c r="BL350" s="143"/>
      <c r="BM350" s="143"/>
      <c r="BN350" s="143"/>
      <c r="BO350" s="143"/>
      <c r="BP350" s="143"/>
      <c r="BQ350" s="143"/>
      <c r="BR350" s="143"/>
      <c r="BS350" s="143"/>
      <c r="BT350" s="143"/>
      <c r="BU350" s="143"/>
      <c r="BV350" s="143"/>
      <c r="BW350" s="143"/>
      <c r="BX350" s="143"/>
      <c r="BY350" s="143"/>
      <c r="BZ350" s="143"/>
      <c r="CA350" s="143"/>
      <c r="CB350" s="143"/>
      <c r="CC350" s="143"/>
      <c r="CD350" s="143"/>
      <c r="CE350" s="143"/>
      <c r="CF350" s="143"/>
      <c r="CG350" s="143"/>
      <c r="CH350" s="143"/>
      <c r="CI350" s="143"/>
      <c r="CJ350" s="143"/>
      <c r="CK350" s="143"/>
      <c r="CL350" s="143"/>
      <c r="CM350" s="143"/>
      <c r="CN350" s="143"/>
      <c r="CO350" s="143"/>
      <c r="CP350" s="143"/>
      <c r="CQ350" s="143"/>
      <c r="CR350" s="143"/>
      <c r="CS350" s="143"/>
      <c r="CT350" s="143"/>
      <c r="CU350" s="143"/>
      <c r="CV350" s="143"/>
      <c r="CW350" s="143"/>
      <c r="CX350" s="143"/>
      <c r="CY350" s="143"/>
      <c r="CZ350" s="143"/>
      <c r="DA350" s="143"/>
      <c r="DB350" s="143"/>
      <c r="DC350" s="143"/>
      <c r="DD350" s="143"/>
      <c r="DE350" s="143"/>
      <c r="DF350" s="143"/>
      <c r="DG350" s="143"/>
      <c r="DH350" s="143"/>
      <c r="DI350" s="143"/>
      <c r="DJ350" s="143"/>
      <c r="DK350" s="143"/>
      <c r="DL350" s="143"/>
      <c r="DM350" s="143"/>
      <c r="DN350" s="143"/>
      <c r="DO350" s="143"/>
      <c r="DP350" s="143"/>
      <c r="DQ350" s="143"/>
      <c r="DR350" s="143"/>
      <c r="DS350" s="143"/>
      <c r="DT350" s="143"/>
      <c r="DU350" s="143"/>
      <c r="DV350" s="143"/>
      <c r="DW350" s="143"/>
      <c r="DX350" s="143"/>
      <c r="DY350" s="143"/>
      <c r="DZ350" s="143"/>
      <c r="EA350" s="143"/>
      <c r="EB350" s="143"/>
      <c r="EC350" s="143"/>
      <c r="ED350" s="143"/>
      <c r="EE350" s="143"/>
      <c r="EF350" s="143"/>
      <c r="EG350" s="143"/>
      <c r="EH350" s="143"/>
      <c r="EI350" s="143"/>
      <c r="EJ350" s="143"/>
      <c r="EK350" s="143"/>
      <c r="EL350" s="143"/>
      <c r="EM350" s="143"/>
      <c r="EN350" s="143"/>
      <c r="EO350" s="143"/>
      <c r="EP350" s="143"/>
      <c r="EQ350" s="143"/>
      <c r="ER350" s="143"/>
      <c r="ES350" s="143"/>
      <c r="ET350" s="143"/>
      <c r="EU350" s="143"/>
      <c r="EV350" s="143"/>
      <c r="EW350" s="143"/>
      <c r="EX350" s="143"/>
      <c r="EY350" s="143"/>
      <c r="EZ350" s="143"/>
      <c r="FA350" s="143"/>
      <c r="FB350" s="143"/>
      <c r="FC350" s="143"/>
      <c r="FD350" s="143"/>
      <c r="FE350" s="143"/>
      <c r="FF350" s="143"/>
      <c r="FG350" s="143"/>
      <c r="FH350" s="143"/>
      <c r="FI350" s="143"/>
      <c r="FJ350" s="143"/>
      <c r="FK350" s="143"/>
      <c r="FL350" s="143"/>
      <c r="FM350" s="143"/>
      <c r="FN350" s="143"/>
      <c r="FO350" s="143"/>
      <c r="FP350" s="143"/>
      <c r="FQ350" s="143"/>
      <c r="FR350" s="143"/>
      <c r="FS350" s="143"/>
      <c r="FT350" s="143"/>
      <c r="FU350" s="143"/>
      <c r="FV350" s="143"/>
      <c r="FW350" s="143"/>
      <c r="FX350" s="143"/>
      <c r="FY350" s="143"/>
      <c r="FZ350" s="143"/>
      <c r="GA350" s="143"/>
      <c r="GB350" s="143"/>
      <c r="GC350" s="143"/>
      <c r="GD350" s="143"/>
      <c r="GE350" s="143"/>
      <c r="GF350" s="143"/>
      <c r="GG350" s="143"/>
      <c r="GH350" s="143"/>
      <c r="GI350" s="143"/>
      <c r="GJ350" s="143"/>
      <c r="GK350" s="143"/>
      <c r="GL350" s="143"/>
      <c r="GM350" s="143"/>
      <c r="GN350" s="143"/>
      <c r="GO350" s="143"/>
      <c r="GP350" s="143"/>
      <c r="GQ350" s="143"/>
      <c r="GR350" s="143"/>
      <c r="GS350" s="143"/>
      <c r="GT350" s="143"/>
      <c r="GU350" s="143"/>
      <c r="GV350" s="143"/>
      <c r="GW350" s="143"/>
      <c r="GX350" s="143"/>
      <c r="GY350" s="143"/>
      <c r="GZ350" s="143"/>
      <c r="HA350" s="143"/>
      <c r="HB350" s="143"/>
      <c r="HC350" s="143"/>
      <c r="HD350" s="143"/>
      <c r="HE350" s="143"/>
      <c r="HF350" s="143"/>
      <c r="HG350" s="143"/>
      <c r="HH350" s="143"/>
      <c r="HI350" s="143"/>
      <c r="HJ350" s="143"/>
      <c r="HK350" s="143"/>
      <c r="HL350" s="143"/>
      <c r="HM350" s="143"/>
      <c r="HN350" s="143"/>
      <c r="HO350" s="143"/>
      <c r="HP350" s="143"/>
      <c r="HQ350" s="143"/>
      <c r="HR350" s="143"/>
      <c r="HS350" s="143"/>
      <c r="HT350" s="143"/>
      <c r="HU350" s="143"/>
      <c r="HV350" s="143"/>
      <c r="HW350" s="143"/>
      <c r="HX350" s="143"/>
      <c r="HY350" s="143"/>
      <c r="HZ350" s="143"/>
      <c r="IA350" s="143"/>
      <c r="IB350" s="143"/>
      <c r="IC350" s="143"/>
      <c r="ID350" s="143"/>
      <c r="IE350" s="143"/>
      <c r="IF350" s="143"/>
      <c r="IG350" s="143"/>
      <c r="IH350" s="143"/>
      <c r="II350" s="143"/>
      <c r="IJ350" s="143"/>
      <c r="IK350" s="143"/>
      <c r="IL350" s="143"/>
      <c r="IM350" s="143"/>
      <c r="IN350" s="143"/>
      <c r="IO350" s="143"/>
      <c r="IP350" s="143"/>
      <c r="IQ350" s="143"/>
      <c r="IR350" s="143"/>
      <c r="IS350" s="143"/>
      <c r="IT350" s="143"/>
      <c r="IU350" s="143"/>
      <c r="IV350" s="143"/>
      <c r="IW350" s="143"/>
      <c r="IX350" s="143"/>
      <c r="IY350" s="143"/>
      <c r="IZ350" s="143"/>
      <c r="JA350" s="143"/>
      <c r="JB350" s="143"/>
      <c r="JC350" s="143"/>
      <c r="JD350" s="143"/>
      <c r="JE350" s="143"/>
      <c r="JF350" s="143"/>
      <c r="JG350" s="143"/>
      <c r="JH350" s="143"/>
      <c r="JI350" s="143"/>
    </row>
    <row r="351" spans="1:269" hidden="1" outlineLevel="1">
      <c r="A351" s="437" t="s">
        <v>207</v>
      </c>
      <c r="B351" s="143"/>
      <c r="C351" s="417" t="e">
        <f>C349/#REF!-1</f>
        <v>#REF!</v>
      </c>
      <c r="D351" s="417" t="e">
        <f>D349/#REF!-1</f>
        <v>#REF!</v>
      </c>
      <c r="E351" s="417" t="e">
        <f>E349/#REF!-1</f>
        <v>#REF!</v>
      </c>
      <c r="F351" s="414" t="e">
        <f>F349/#REF!-1</f>
        <v>#REF!</v>
      </c>
      <c r="G351" s="414" t="e">
        <f>G349/#REF!-1</f>
        <v>#REF!</v>
      </c>
      <c r="H351" s="414" t="e">
        <f>H349/#REF!-1</f>
        <v>#REF!</v>
      </c>
      <c r="I351" s="414" t="e">
        <f>I349/#REF!-1</f>
        <v>#REF!</v>
      </c>
      <c r="J351" s="417" t="e">
        <f>J349/#REF!-1</f>
        <v>#REF!</v>
      </c>
      <c r="K351" s="414" t="e">
        <f>K349/#REF!-1</f>
        <v>#REF!</v>
      </c>
      <c r="L351" s="414" t="e">
        <f>L349/#REF!-1</f>
        <v>#REF!</v>
      </c>
      <c r="M351" s="414" t="e">
        <f>M349/#REF!-1</f>
        <v>#REF!</v>
      </c>
      <c r="N351" s="414" t="e">
        <f>N349/#REF!-1</f>
        <v>#REF!</v>
      </c>
      <c r="O351" s="417" t="e">
        <f>O349/#REF!-1</f>
        <v>#REF!</v>
      </c>
      <c r="P351" s="414" t="e">
        <f>P349/#REF!-1</f>
        <v>#REF!</v>
      </c>
      <c r="Q351" s="414" t="e">
        <f>Q349/#REF!-1</f>
        <v>#REF!</v>
      </c>
      <c r="R351" s="414" t="e">
        <f>R349/#REF!-1</f>
        <v>#REF!</v>
      </c>
      <c r="S351" s="414" t="e">
        <f>S349/#REF!-1</f>
        <v>#REF!</v>
      </c>
      <c r="T351" s="417" t="e">
        <f>T349/#REF!-1</f>
        <v>#REF!</v>
      </c>
      <c r="U351" s="414" t="e">
        <f>U349/#REF!-1</f>
        <v>#REF!</v>
      </c>
      <c r="V351" s="414" t="e">
        <f>V349/#REF!-1</f>
        <v>#REF!</v>
      </c>
      <c r="W351" s="414" t="e">
        <f>W349/#REF!-1</f>
        <v>#REF!</v>
      </c>
      <c r="X351" s="414" t="e">
        <f>X349/#REF!-1</f>
        <v>#REF!</v>
      </c>
      <c r="Y351" s="417" t="e">
        <f>Y349/#REF!-1</f>
        <v>#REF!</v>
      </c>
      <c r="Z351" s="414" t="e">
        <f>Z349/#REF!-1</f>
        <v>#REF!</v>
      </c>
      <c r="AA351" s="414" t="e">
        <f>AA349/#REF!-1</f>
        <v>#REF!</v>
      </c>
      <c r="AB351" s="414" t="e">
        <f>AB349/#REF!-1</f>
        <v>#REF!</v>
      </c>
      <c r="AC351" s="414" t="e">
        <f>AC349/#REF!-1</f>
        <v>#REF!</v>
      </c>
      <c r="AD351" s="422" t="e">
        <f>AD349/#REF!-1</f>
        <v>#REF!</v>
      </c>
      <c r="AE351" s="521" t="e">
        <f>AE349/#REF!-1</f>
        <v>#VALUE!</v>
      </c>
      <c r="AF351" s="414" t="e">
        <f>AF349/#REF!-1</f>
        <v>#VALUE!</v>
      </c>
      <c r="AG351" s="414" t="e">
        <f>AG349/#REF!-1</f>
        <v>#VALUE!</v>
      </c>
      <c r="AH351" s="414"/>
      <c r="AI351" s="422"/>
      <c r="AJ351" s="414"/>
      <c r="AK351" s="414"/>
      <c r="AL351" s="414"/>
      <c r="AM351" s="414"/>
      <c r="AN351" s="422"/>
      <c r="AO351" s="280"/>
      <c r="AP351" s="280"/>
      <c r="AQ351" s="280"/>
      <c r="AR351" s="280"/>
      <c r="AS351" s="320"/>
      <c r="AT351" s="315"/>
      <c r="AU351" s="508"/>
      <c r="AV351" s="143"/>
      <c r="AW351" s="143"/>
      <c r="AX351" s="143"/>
      <c r="AY351" s="143"/>
      <c r="AZ351" s="143"/>
      <c r="BA351" s="143"/>
      <c r="BB351" s="143"/>
      <c r="BC351" s="143"/>
      <c r="BD351" s="143"/>
      <c r="BE351" s="143"/>
      <c r="BF351" s="143"/>
      <c r="BG351" s="143"/>
      <c r="BH351" s="143"/>
      <c r="BI351" s="143"/>
      <c r="BJ351" s="143"/>
      <c r="BK351" s="143"/>
      <c r="BL351" s="143"/>
      <c r="BM351" s="143"/>
      <c r="BN351" s="143"/>
      <c r="BO351" s="143"/>
      <c r="BP351" s="143"/>
      <c r="BQ351" s="143"/>
      <c r="BR351" s="143"/>
      <c r="BS351" s="143"/>
      <c r="BT351" s="143"/>
      <c r="BU351" s="143"/>
      <c r="BV351" s="143"/>
      <c r="BW351" s="143"/>
      <c r="BX351" s="143"/>
      <c r="BY351" s="143"/>
      <c r="BZ351" s="143"/>
      <c r="CA351" s="143"/>
      <c r="CB351" s="143"/>
      <c r="CC351" s="143"/>
      <c r="CD351" s="143"/>
      <c r="CE351" s="143"/>
      <c r="CF351" s="143"/>
      <c r="CG351" s="143"/>
      <c r="CH351" s="143"/>
      <c r="CI351" s="143"/>
      <c r="CJ351" s="143"/>
      <c r="CK351" s="143"/>
      <c r="CL351" s="143"/>
      <c r="CM351" s="143"/>
      <c r="CN351" s="143"/>
      <c r="CO351" s="143"/>
      <c r="CP351" s="143"/>
      <c r="CQ351" s="143"/>
      <c r="CR351" s="143"/>
      <c r="CS351" s="143"/>
      <c r="CT351" s="143"/>
      <c r="CU351" s="143"/>
      <c r="CV351" s="143"/>
      <c r="CW351" s="143"/>
      <c r="CX351" s="143"/>
      <c r="CY351" s="143"/>
      <c r="CZ351" s="143"/>
      <c r="DA351" s="143"/>
      <c r="DB351" s="143"/>
      <c r="DC351" s="143"/>
      <c r="DD351" s="143"/>
      <c r="DE351" s="143"/>
      <c r="DF351" s="143"/>
      <c r="DG351" s="143"/>
      <c r="DH351" s="143"/>
      <c r="DI351" s="143"/>
      <c r="DJ351" s="143"/>
      <c r="DK351" s="143"/>
      <c r="DL351" s="143"/>
      <c r="DM351" s="143"/>
      <c r="DN351" s="143"/>
      <c r="DO351" s="143"/>
      <c r="DP351" s="143"/>
      <c r="DQ351" s="143"/>
      <c r="DR351" s="143"/>
      <c r="DS351" s="143"/>
      <c r="DT351" s="143"/>
      <c r="DU351" s="143"/>
      <c r="DV351" s="143"/>
      <c r="DW351" s="143"/>
      <c r="DX351" s="143"/>
      <c r="DY351" s="143"/>
      <c r="DZ351" s="143"/>
      <c r="EA351" s="143"/>
      <c r="EB351" s="143"/>
      <c r="EC351" s="143"/>
      <c r="ED351" s="143"/>
      <c r="EE351" s="143"/>
      <c r="EF351" s="143"/>
      <c r="EG351" s="143"/>
      <c r="EH351" s="143"/>
      <c r="EI351" s="143"/>
      <c r="EJ351" s="143"/>
      <c r="EK351" s="143"/>
      <c r="EL351" s="143"/>
      <c r="EM351" s="143"/>
      <c r="EN351" s="143"/>
      <c r="EO351" s="143"/>
      <c r="EP351" s="143"/>
      <c r="EQ351" s="143"/>
      <c r="ER351" s="143"/>
      <c r="ES351" s="143"/>
      <c r="ET351" s="143"/>
      <c r="EU351" s="143"/>
      <c r="EV351" s="143"/>
      <c r="EW351" s="143"/>
      <c r="EX351" s="143"/>
      <c r="EY351" s="143"/>
      <c r="EZ351" s="143"/>
      <c r="FA351" s="143"/>
      <c r="FB351" s="143"/>
      <c r="FC351" s="143"/>
      <c r="FD351" s="143"/>
      <c r="FE351" s="143"/>
      <c r="FF351" s="143"/>
      <c r="FG351" s="143"/>
      <c r="FH351" s="143"/>
      <c r="FI351" s="143"/>
      <c r="FJ351" s="143"/>
      <c r="FK351" s="143"/>
      <c r="FL351" s="143"/>
      <c r="FM351" s="143"/>
      <c r="FN351" s="143"/>
      <c r="FO351" s="143"/>
      <c r="FP351" s="143"/>
      <c r="FQ351" s="143"/>
      <c r="FR351" s="143"/>
      <c r="FS351" s="143"/>
      <c r="FT351" s="143"/>
      <c r="FU351" s="143"/>
      <c r="FV351" s="143"/>
      <c r="FW351" s="143"/>
      <c r="FX351" s="143"/>
      <c r="FY351" s="143"/>
      <c r="FZ351" s="143"/>
      <c r="GA351" s="143"/>
      <c r="GB351" s="143"/>
      <c r="GC351" s="143"/>
      <c r="GD351" s="143"/>
      <c r="GE351" s="143"/>
      <c r="GF351" s="143"/>
      <c r="GG351" s="143"/>
      <c r="GH351" s="143"/>
      <c r="GI351" s="143"/>
      <c r="GJ351" s="143"/>
      <c r="GK351" s="143"/>
      <c r="GL351" s="143"/>
      <c r="GM351" s="143"/>
      <c r="GN351" s="143"/>
      <c r="GO351" s="143"/>
      <c r="GP351" s="143"/>
      <c r="GQ351" s="143"/>
      <c r="GR351" s="143"/>
      <c r="GS351" s="143"/>
      <c r="GT351" s="143"/>
      <c r="GU351" s="143"/>
      <c r="GV351" s="143"/>
      <c r="GW351" s="143"/>
      <c r="GX351" s="143"/>
      <c r="GY351" s="143"/>
      <c r="GZ351" s="143"/>
      <c r="HA351" s="143"/>
      <c r="HB351" s="143"/>
      <c r="HC351" s="143"/>
      <c r="HD351" s="143"/>
      <c r="HE351" s="143"/>
      <c r="HF351" s="143"/>
      <c r="HG351" s="143"/>
      <c r="HH351" s="143"/>
      <c r="HI351" s="143"/>
      <c r="HJ351" s="143"/>
      <c r="HK351" s="143"/>
      <c r="HL351" s="143"/>
      <c r="HM351" s="143"/>
      <c r="HN351" s="143"/>
      <c r="HO351" s="143"/>
      <c r="HP351" s="143"/>
      <c r="HQ351" s="143"/>
      <c r="HR351" s="143"/>
      <c r="HS351" s="143"/>
      <c r="HT351" s="143"/>
      <c r="HU351" s="143"/>
      <c r="HV351" s="143"/>
      <c r="HW351" s="143"/>
      <c r="HX351" s="143"/>
      <c r="HY351" s="143"/>
      <c r="HZ351" s="143"/>
      <c r="IA351" s="143"/>
      <c r="IB351" s="143"/>
      <c r="IC351" s="143"/>
      <c r="ID351" s="143"/>
      <c r="IE351" s="143"/>
      <c r="IF351" s="143"/>
      <c r="IG351" s="143"/>
      <c r="IH351" s="143"/>
      <c r="II351" s="143"/>
      <c r="IJ351" s="143"/>
      <c r="IK351" s="143"/>
      <c r="IL351" s="143"/>
      <c r="IM351" s="143"/>
      <c r="IN351" s="143"/>
      <c r="IO351" s="143"/>
      <c r="IP351" s="143"/>
      <c r="IQ351" s="143"/>
      <c r="IR351" s="143"/>
      <c r="IS351" s="143"/>
      <c r="IT351" s="143"/>
      <c r="IU351" s="143"/>
      <c r="IV351" s="143"/>
      <c r="IW351" s="143"/>
      <c r="IX351" s="143"/>
      <c r="IY351" s="143"/>
      <c r="IZ351" s="143"/>
      <c r="JA351" s="143"/>
      <c r="JB351" s="143"/>
      <c r="JC351" s="143"/>
      <c r="JD351" s="143"/>
      <c r="JE351" s="143"/>
      <c r="JF351" s="143"/>
      <c r="JG351" s="143"/>
      <c r="JH351" s="143"/>
      <c r="JI351" s="143"/>
    </row>
    <row r="352" spans="1:269" hidden="1" outlineLevel="1">
      <c r="A352" s="437"/>
      <c r="B352" s="143"/>
      <c r="C352" s="417"/>
      <c r="D352" s="417"/>
      <c r="E352" s="417"/>
      <c r="F352" s="414"/>
      <c r="G352" s="414"/>
      <c r="H352" s="414"/>
      <c r="I352" s="414"/>
      <c r="J352" s="417"/>
      <c r="K352" s="414"/>
      <c r="L352" s="414"/>
      <c r="M352" s="414"/>
      <c r="N352" s="414"/>
      <c r="O352" s="417"/>
      <c r="P352" s="414"/>
      <c r="Q352" s="414"/>
      <c r="R352" s="414"/>
      <c r="S352" s="414"/>
      <c r="T352" s="417"/>
      <c r="U352" s="414"/>
      <c r="V352" s="414"/>
      <c r="W352" s="414"/>
      <c r="X352" s="414"/>
      <c r="Y352" s="417"/>
      <c r="Z352" s="414"/>
      <c r="AA352" s="414"/>
      <c r="AB352" s="414"/>
      <c r="AC352" s="414"/>
      <c r="AD352" s="422"/>
      <c r="AE352" s="414"/>
      <c r="AF352" s="414"/>
      <c r="AG352" s="414"/>
      <c r="AH352" s="414"/>
      <c r="AI352" s="422"/>
      <c r="AJ352" s="414"/>
      <c r="AK352" s="414"/>
      <c r="AL352" s="414"/>
      <c r="AM352" s="414"/>
      <c r="AN352" s="422"/>
      <c r="AO352" s="280"/>
      <c r="AP352" s="280"/>
      <c r="AQ352" s="280"/>
      <c r="AR352" s="280"/>
      <c r="AS352" s="320"/>
      <c r="AT352" s="315"/>
      <c r="AU352" s="508"/>
      <c r="AV352" s="143"/>
      <c r="AW352" s="143"/>
      <c r="AX352" s="143"/>
      <c r="AY352" s="143"/>
      <c r="AZ352" s="143"/>
      <c r="BA352" s="143"/>
      <c r="BB352" s="143"/>
      <c r="BC352" s="143"/>
      <c r="BD352" s="143"/>
      <c r="BE352" s="143"/>
      <c r="BF352" s="143"/>
      <c r="BG352" s="143"/>
      <c r="BH352" s="143"/>
      <c r="BI352" s="143"/>
      <c r="BJ352" s="143"/>
      <c r="BK352" s="143"/>
      <c r="BL352" s="143"/>
      <c r="BM352" s="143"/>
      <c r="BN352" s="143"/>
      <c r="BO352" s="143"/>
      <c r="BP352" s="143"/>
      <c r="BQ352" s="143"/>
      <c r="BR352" s="143"/>
      <c r="BS352" s="143"/>
      <c r="BT352" s="143"/>
      <c r="BU352" s="143"/>
      <c r="BV352" s="143"/>
      <c r="BW352" s="143"/>
      <c r="BX352" s="143"/>
      <c r="BY352" s="143"/>
      <c r="BZ352" s="143"/>
      <c r="CA352" s="143"/>
      <c r="CB352" s="143"/>
      <c r="CC352" s="143"/>
      <c r="CD352" s="143"/>
      <c r="CE352" s="143"/>
      <c r="CF352" s="143"/>
      <c r="CG352" s="143"/>
      <c r="CH352" s="143"/>
      <c r="CI352" s="143"/>
      <c r="CJ352" s="143"/>
      <c r="CK352" s="143"/>
      <c r="CL352" s="143"/>
      <c r="CM352" s="143"/>
      <c r="CN352" s="143"/>
      <c r="CO352" s="143"/>
      <c r="CP352" s="143"/>
      <c r="CQ352" s="143"/>
      <c r="CR352" s="143"/>
      <c r="CS352" s="143"/>
      <c r="CT352" s="143"/>
      <c r="CU352" s="143"/>
      <c r="CV352" s="143"/>
      <c r="CW352" s="143"/>
      <c r="CX352" s="143"/>
      <c r="CY352" s="143"/>
      <c r="CZ352" s="143"/>
      <c r="DA352" s="143"/>
      <c r="DB352" s="143"/>
      <c r="DC352" s="143"/>
      <c r="DD352" s="143"/>
      <c r="DE352" s="143"/>
      <c r="DF352" s="143"/>
      <c r="DG352" s="143"/>
      <c r="DH352" s="143"/>
      <c r="DI352" s="143"/>
      <c r="DJ352" s="143"/>
      <c r="DK352" s="143"/>
      <c r="DL352" s="143"/>
      <c r="DM352" s="143"/>
      <c r="DN352" s="143"/>
      <c r="DO352" s="143"/>
      <c r="DP352" s="143"/>
      <c r="DQ352" s="143"/>
      <c r="DR352" s="143"/>
      <c r="DS352" s="143"/>
      <c r="DT352" s="143"/>
      <c r="DU352" s="143"/>
      <c r="DV352" s="143"/>
      <c r="DW352" s="143"/>
      <c r="DX352" s="143"/>
      <c r="DY352" s="143"/>
      <c r="DZ352" s="143"/>
      <c r="EA352" s="143"/>
      <c r="EB352" s="143"/>
      <c r="EC352" s="143"/>
      <c r="ED352" s="143"/>
      <c r="EE352" s="143"/>
      <c r="EF352" s="143"/>
      <c r="EG352" s="143"/>
      <c r="EH352" s="143"/>
      <c r="EI352" s="143"/>
      <c r="EJ352" s="143"/>
      <c r="EK352" s="143"/>
      <c r="EL352" s="143"/>
      <c r="EM352" s="143"/>
      <c r="EN352" s="143"/>
      <c r="EO352" s="143"/>
      <c r="EP352" s="143"/>
      <c r="EQ352" s="143"/>
      <c r="ER352" s="143"/>
      <c r="ES352" s="143"/>
      <c r="ET352" s="143"/>
      <c r="EU352" s="143"/>
      <c r="EV352" s="143"/>
      <c r="EW352" s="143"/>
      <c r="EX352" s="143"/>
      <c r="EY352" s="143"/>
      <c r="EZ352" s="143"/>
      <c r="FA352" s="143"/>
      <c r="FB352" s="143"/>
      <c r="FC352" s="143"/>
      <c r="FD352" s="143"/>
      <c r="FE352" s="143"/>
      <c r="FF352" s="143"/>
      <c r="FG352" s="143"/>
      <c r="FH352" s="143"/>
      <c r="FI352" s="143"/>
      <c r="FJ352" s="143"/>
      <c r="FK352" s="143"/>
      <c r="FL352" s="143"/>
      <c r="FM352" s="143"/>
      <c r="FN352" s="143"/>
      <c r="FO352" s="143"/>
      <c r="FP352" s="143"/>
      <c r="FQ352" s="143"/>
      <c r="FR352" s="143"/>
      <c r="FS352" s="143"/>
      <c r="FT352" s="143"/>
      <c r="FU352" s="143"/>
      <c r="FV352" s="143"/>
      <c r="FW352" s="143"/>
      <c r="FX352" s="143"/>
      <c r="FY352" s="143"/>
      <c r="FZ352" s="143"/>
      <c r="GA352" s="143"/>
      <c r="GB352" s="143"/>
      <c r="GC352" s="143"/>
      <c r="GD352" s="143"/>
      <c r="GE352" s="143"/>
      <c r="GF352" s="143"/>
      <c r="GG352" s="143"/>
      <c r="GH352" s="143"/>
      <c r="GI352" s="143"/>
      <c r="GJ352" s="143"/>
      <c r="GK352" s="143"/>
      <c r="GL352" s="143"/>
      <c r="GM352" s="143"/>
      <c r="GN352" s="143"/>
      <c r="GO352" s="143"/>
      <c r="GP352" s="143"/>
      <c r="GQ352" s="143"/>
      <c r="GR352" s="143"/>
      <c r="GS352" s="143"/>
      <c r="GT352" s="143"/>
      <c r="GU352" s="143"/>
      <c r="GV352" s="143"/>
      <c r="GW352" s="143"/>
      <c r="GX352" s="143"/>
      <c r="GY352" s="143"/>
      <c r="GZ352" s="143"/>
      <c r="HA352" s="143"/>
      <c r="HB352" s="143"/>
      <c r="HC352" s="143"/>
      <c r="HD352" s="143"/>
      <c r="HE352" s="143"/>
      <c r="HF352" s="143"/>
      <c r="HG352" s="143"/>
      <c r="HH352" s="143"/>
      <c r="HI352" s="143"/>
      <c r="HJ352" s="143"/>
      <c r="HK352" s="143"/>
      <c r="HL352" s="143"/>
      <c r="HM352" s="143"/>
      <c r="HN352" s="143"/>
      <c r="HO352" s="143"/>
      <c r="HP352" s="143"/>
      <c r="HQ352" s="143"/>
      <c r="HR352" s="143"/>
      <c r="HS352" s="143"/>
      <c r="HT352" s="143"/>
      <c r="HU352" s="143"/>
      <c r="HV352" s="143"/>
      <c r="HW352" s="143"/>
      <c r="HX352" s="143"/>
      <c r="HY352" s="143"/>
      <c r="HZ352" s="143"/>
      <c r="IA352" s="143"/>
      <c r="IB352" s="143"/>
      <c r="IC352" s="143"/>
      <c r="ID352" s="143"/>
      <c r="IE352" s="143"/>
      <c r="IF352" s="143"/>
      <c r="IG352" s="143"/>
      <c r="IH352" s="143"/>
      <c r="II352" s="143"/>
      <c r="IJ352" s="143"/>
      <c r="IK352" s="143"/>
      <c r="IL352" s="143"/>
      <c r="IM352" s="143"/>
      <c r="IN352" s="143"/>
      <c r="IO352" s="143"/>
      <c r="IP352" s="143"/>
      <c r="IQ352" s="143"/>
      <c r="IR352" s="143"/>
      <c r="IS352" s="143"/>
      <c r="IT352" s="143"/>
      <c r="IU352" s="143"/>
      <c r="IV352" s="143"/>
      <c r="IW352" s="143"/>
      <c r="IX352" s="143"/>
      <c r="IY352" s="143"/>
      <c r="IZ352" s="143"/>
      <c r="JA352" s="143"/>
      <c r="JB352" s="143"/>
      <c r="JC352" s="143"/>
      <c r="JD352" s="143"/>
      <c r="JE352" s="143"/>
      <c r="JF352" s="143"/>
      <c r="JG352" s="143"/>
      <c r="JH352" s="143"/>
      <c r="JI352" s="143"/>
    </row>
    <row r="353" spans="1:269" hidden="1" outlineLevel="1">
      <c r="A353" s="468" t="s">
        <v>229</v>
      </c>
      <c r="B353" s="143" t="s">
        <v>233</v>
      </c>
      <c r="C353" s="475" t="e">
        <f>_xll.BQL.QUERY("get(avg(px_last(start=" &amp; TEXT(#REF!, "YYYY-MM-DD") &amp; ", end=" &amp; TEXT(C$5, "YYYY-MM-DD") &amp; "))) for('"&amp;$B353&amp;"')")</f>
        <v>#REF!</v>
      </c>
      <c r="D353" s="475" t="e">
        <f>_xll.BQL.QUERY("get(avg(px_last(start=" &amp; TEXT(#REF!, "YYYY-MM-DD") &amp; ", end=" &amp; TEXT(D$5, "YYYY-MM-DD") &amp; "))) for('"&amp;$B353&amp;"')")</f>
        <v>#REF!</v>
      </c>
      <c r="E353" s="475" t="e">
        <f>_xll.BQL.QUERY("get(avg(px_last(start=" &amp; TEXT(#REF!, "YYYY-MM-DD") &amp; ", end=" &amp; TEXT(E$5, "YYYY-MM-DD") &amp; "))) for('"&amp;$B353&amp;"')")</f>
        <v>#REF!</v>
      </c>
      <c r="F353" s="335" t="e">
        <f>_xll.BQL.QUERY("get(avg(px_last(start=" &amp; TEXT(#REF!, "YYYY-MM-DD") &amp; ", end=" &amp; TEXT(F$5, "YYYY-MM-DD") &amp; "))) for('"&amp;$B353&amp;"')")</f>
        <v>#REF!</v>
      </c>
      <c r="G353" s="335">
        <f>_xll.BQL.QUERY("get(avg(px_last(start=" &amp; TEXT(F$5, "YYYY-MM-DD") &amp; ", end=" &amp; TEXT(G$5, "YYYY-MM-DD") &amp; "))) for('"&amp;$B353&amp;"')")</f>
        <v>145.66666666666666</v>
      </c>
      <c r="H353" s="335">
        <f>_xll.BQL.QUERY("get(avg(px_last(start=" &amp; TEXT(G$5, "YYYY-MM-DD") &amp; ", end=" &amp; TEXT(H$5, "YYYY-MM-DD") &amp; "))) for('"&amp;$B353&amp;"')")</f>
        <v>145.73333333333335</v>
      </c>
      <c r="I353" s="335">
        <f>_xll.BQL.QUERY("get(avg(px_last(start=" &amp; TEXT(H$5, "YYYY-MM-DD") &amp; ", end=" &amp; TEXT(I$5, "YYYY-MM-DD") &amp; "))) for('"&amp;$B353&amp;"')")</f>
        <v>145.6</v>
      </c>
      <c r="J353" s="475" t="e">
        <f>_xll.BQL.QUERY("get(avg(px_last(start=" &amp; TEXT(#REF!, "YYYY-MM-DD") &amp; ", end=" &amp; TEXT(J$5, "YYYY-MM-DD") &amp; "))) for('"&amp;$B353&amp;"')")</f>
        <v>#REF!</v>
      </c>
      <c r="K353" s="335" t="e">
        <f>_xll.BQL.QUERY("get(avg(px_last(start=" &amp; TEXT(#REF!, "YYYY-MM-DD") &amp; ", end=" &amp; TEXT(K$5, "YYYY-MM-DD") &amp; "))) for('"&amp;$B353&amp;"')")</f>
        <v>#REF!</v>
      </c>
      <c r="L353" s="335">
        <f>_xll.BQL.QUERY("get(avg(px_last(start=" &amp; TEXT(K$5, "YYYY-MM-DD") &amp; ", end=" &amp; TEXT(L$5, "YYYY-MM-DD") &amp; "))) for('"&amp;$B353&amp;"')")</f>
        <v>143</v>
      </c>
      <c r="M353" s="335">
        <f>_xll.BQL.QUERY("get(avg(px_last(start=" &amp; TEXT(L$5, "YYYY-MM-DD") &amp; ", end=" &amp; TEXT(M$5, "YYYY-MM-DD") &amp; "))) for('"&amp;$B353&amp;"')")</f>
        <v>145.57500000000002</v>
      </c>
      <c r="N353" s="335">
        <f>_xll.BQL.QUERY("get(avg(px_last(start=" &amp; TEXT(M$5, "YYYY-MM-DD") &amp; ", end=" &amp; TEXT(N$5, "YYYY-MM-DD") &amp; "))) for('"&amp;$B353&amp;"')")</f>
        <v>149.875</v>
      </c>
      <c r="O353" s="475" t="e">
        <f>_xll.BQL.QUERY("get(avg(px_last(start=" &amp; TEXT(#REF!, "YYYY-MM-DD") &amp; ", end=" &amp; TEXT(O$5, "YYYY-MM-DD") &amp; "))) for('"&amp;$B353&amp;"')")</f>
        <v>#REF!</v>
      </c>
      <c r="P353" s="335">
        <f>_xll.BQL.QUERY("get(avg(px_last(start=" &amp; TEXT(O$5, "YYYY-MM-DD") &amp; ", end=" &amp; TEXT(P$5, "YYYY-MM-DD") &amp; "))) for('"&amp;$B353&amp;"')")</f>
        <v>149.625</v>
      </c>
      <c r="Q353" s="335">
        <f>_xll.BQL.QUERY("get(avg(px_last(start=" &amp; TEXT(P$5, "YYYY-MM-DD") &amp; ", end=" &amp; TEXT(Q$5, "YYYY-MM-DD") &amp; "))) for('"&amp;$B353&amp;"')")</f>
        <v>150.4</v>
      </c>
      <c r="R353" s="335">
        <f>_xll.BQL.QUERY("get(avg(px_last(start=" &amp; TEXT(Q$5, "YYYY-MM-DD") &amp; ", end=" &amp; TEXT(R$5, "YYYY-MM-DD") &amp; "))) for('"&amp;$B353&amp;"')")</f>
        <v>150.375</v>
      </c>
      <c r="S353" s="335">
        <f>_xll.BQL.QUERY("get(avg(px_last(start=" &amp; TEXT(R$5, "YYYY-MM-DD") &amp; ", end=" &amp; TEXT(S$5, "YYYY-MM-DD") &amp; "))) for('"&amp;$B353&amp;"')")</f>
        <v>151.47499999999999</v>
      </c>
      <c r="T353" s="475">
        <f>_xll.BQL.QUERY("get(avg(px_last(start=" &amp; TEXT(O$5, "YYYY-MM-DD") &amp; ", end=" &amp; TEXT(T$5, "YYYY-MM-DD") &amp; "))) for('"&amp;$B353&amp;"')")</f>
        <v>150.4153846153846</v>
      </c>
      <c r="U353" s="335">
        <f>_xll.BQL.QUERY("get(avg(px_last(start=" &amp; TEXT(T$5, "YYYY-MM-DD") &amp; ", end=" &amp; TEXT(U$5, "YYYY-MM-DD") &amp; "))) for('"&amp;$B353&amp;"')")</f>
        <v>153.22499999999999</v>
      </c>
      <c r="V353" s="335">
        <f>_xll.BQL.QUERY("get(avg(px_last(start=" &amp; TEXT(U$5, "YYYY-MM-DD") &amp; ", end=" &amp; TEXT(V$5, "YYYY-MM-DD") &amp; "))) for('"&amp;$B353&amp;"')")</f>
        <v>155.57499999999999</v>
      </c>
      <c r="W353" s="335">
        <f>_xll.BQL.QUERY("get(avg(px_last(start=" &amp; TEXT(V$5, "YYYY-MM-DD") &amp; ", end=" &amp; TEXT(W$5, "YYYY-MM-DD") &amp; "))) for('"&amp;$B353&amp;"')")</f>
        <v>156.17500000000001</v>
      </c>
      <c r="X353" s="335">
        <f>_xll.BQL.QUERY("get(avg(px_last(start=" &amp; TEXT(W$5, "YYYY-MM-DD") &amp; ", end=" &amp; TEXT(X$5, "YYYY-MM-DD") &amp; "))) for('"&amp;$B353&amp;"')")</f>
        <v>157.07499999999999</v>
      </c>
      <c r="Y353" s="475">
        <f>_xll.BQL.QUERY("get(avg(px_last(start=" &amp; TEXT(T$5, "YYYY-MM-DD") &amp; ", end=" &amp; TEXT(Y$5, "YYYY-MM-DD") &amp; "))) for('"&amp;$B353&amp;"')")</f>
        <v>155.40000000000003</v>
      </c>
      <c r="Z353" s="335">
        <f>_xll.BQL.QUERY("get(avg(px_last(start=" &amp; TEXT(Y$5, "YYYY-MM-DD") &amp; ", end=" &amp; TEXT(Z$5, "YYYY-MM-DD") &amp; "))) for('"&amp;$B353&amp;"')")</f>
        <v>156.77499999999998</v>
      </c>
      <c r="AA353" s="335">
        <f>_xll.BQL.QUERY("get(avg(px_last(start=" &amp; TEXT(Z$5, "YYYY-MM-DD") &amp; ", end=" &amp; TEXT(AA$5, "YYYY-MM-DD") &amp; "))) for('"&amp;$B353&amp;"')")</f>
        <v>156.85000000000002</v>
      </c>
      <c r="AB353" s="335">
        <f>_xll.BQL.QUERY("get(avg(px_last(start=" &amp; TEXT(AA$5, "YYYY-MM-DD") &amp; ", end=" &amp; TEXT(AB$5, "YYYY-MM-DD") &amp; "))) for('"&amp;$B353&amp;"')")</f>
        <v>156.94999999999999</v>
      </c>
      <c r="AC353" s="335">
        <f>_xll.BQL.QUERY("get(avg(px_last(start=" &amp; TEXT(AB$5, "YYYY-MM-DD") &amp; ", end=" &amp; TEXT(AC$5, "YYYY-MM-DD") &amp; "))) for('"&amp;$B353&amp;"')")</f>
        <v>157.35000000000002</v>
      </c>
      <c r="AD353" s="540">
        <f>_xll.BQL.QUERY("get(avg(px_last(start=" &amp; TEXT(Y$5, "YYYY-MM-DD") &amp; ", end=" &amp; TEXT(AD$5, "YYYY-MM-DD") &amp; "))) for('"&amp;$B353&amp;"')")</f>
        <v>156.91818181818181</v>
      </c>
      <c r="AE353" s="335" t="str">
        <f>_xll.BQL.QUERY("get(avg(px_last(start=" &amp; TEXT(AD$5, "YYYY-MM-DD") &amp; ", end=" &amp; TEXT(AE$5, "YYYY-MM-DD") &amp; "))) for('"&amp;$B353&amp;"')")</f>
        <v>#N/A</v>
      </c>
      <c r="AF353" s="335" t="str">
        <f>_xll.BQL.QUERY("get(avg(px_last(start=" &amp; TEXT(AE$5, "YYYY-MM-DD") &amp; ", end=" &amp; TEXT(AF$5, "YYYY-MM-DD") &amp; "))) for('"&amp;$B353&amp;"')")</f>
        <v>#N/A</v>
      </c>
      <c r="AG353" s="335" t="str">
        <f>_xll.BQL.QUERY("get(avg(px_last(start=" &amp; TEXT(AF$5, "YYYY-MM-DD") &amp; ", end=" &amp; TEXT(AG$5, "YYYY-MM-DD") &amp; "))) for('"&amp;$B353&amp;"')")</f>
        <v>#N/A</v>
      </c>
      <c r="AH353" s="414"/>
      <c r="AI353" s="422"/>
      <c r="AJ353" s="414"/>
      <c r="AK353" s="414"/>
      <c r="AL353" s="414"/>
      <c r="AM353" s="414"/>
      <c r="AN353" s="422"/>
      <c r="AO353" s="280"/>
      <c r="AP353" s="280"/>
      <c r="AQ353" s="280"/>
      <c r="AR353" s="280"/>
      <c r="AS353" s="320"/>
      <c r="AT353" s="315"/>
      <c r="AU353" s="508"/>
      <c r="AV353" s="143"/>
      <c r="AW353" s="143"/>
      <c r="AX353" s="143"/>
      <c r="AY353" s="143"/>
      <c r="AZ353" s="143"/>
      <c r="BA353" s="143"/>
      <c r="BB353" s="143"/>
      <c r="BC353" s="143"/>
      <c r="BD353" s="143"/>
      <c r="BE353" s="143"/>
      <c r="BF353" s="143"/>
      <c r="BG353" s="143"/>
      <c r="BH353" s="143"/>
      <c r="BI353" s="143"/>
      <c r="BJ353" s="143"/>
      <c r="BK353" s="143"/>
      <c r="BL353" s="143"/>
      <c r="BM353" s="143"/>
      <c r="BN353" s="143"/>
      <c r="BO353" s="143"/>
      <c r="BP353" s="143"/>
      <c r="BQ353" s="143"/>
      <c r="BR353" s="143"/>
      <c r="BS353" s="143"/>
      <c r="BT353" s="143"/>
      <c r="BU353" s="143"/>
      <c r="BV353" s="143"/>
      <c r="BW353" s="143"/>
      <c r="BX353" s="143"/>
      <c r="BY353" s="143"/>
      <c r="BZ353" s="143"/>
      <c r="CA353" s="143"/>
      <c r="CB353" s="143"/>
      <c r="CC353" s="143"/>
      <c r="CD353" s="143"/>
      <c r="CE353" s="143"/>
      <c r="CF353" s="143"/>
      <c r="CG353" s="143"/>
      <c r="CH353" s="143"/>
      <c r="CI353" s="143"/>
      <c r="CJ353" s="143"/>
      <c r="CK353" s="143"/>
      <c r="CL353" s="143"/>
      <c r="CM353" s="143"/>
      <c r="CN353" s="143"/>
      <c r="CO353" s="143"/>
      <c r="CP353" s="143"/>
      <c r="CQ353" s="143"/>
      <c r="CR353" s="143"/>
      <c r="CS353" s="143"/>
      <c r="CT353" s="143"/>
      <c r="CU353" s="143"/>
      <c r="CV353" s="143"/>
      <c r="CW353" s="143"/>
      <c r="CX353" s="143"/>
      <c r="CY353" s="143"/>
      <c r="CZ353" s="143"/>
      <c r="DA353" s="143"/>
      <c r="DB353" s="143"/>
      <c r="DC353" s="143"/>
      <c r="DD353" s="143"/>
      <c r="DE353" s="143"/>
      <c r="DF353" s="143"/>
      <c r="DG353" s="143"/>
      <c r="DH353" s="143"/>
      <c r="DI353" s="143"/>
      <c r="DJ353" s="143"/>
      <c r="DK353" s="143"/>
      <c r="DL353" s="143"/>
      <c r="DM353" s="143"/>
      <c r="DN353" s="143"/>
      <c r="DO353" s="143"/>
      <c r="DP353" s="143"/>
      <c r="DQ353" s="143"/>
      <c r="DR353" s="143"/>
      <c r="DS353" s="143"/>
      <c r="DT353" s="143"/>
      <c r="DU353" s="143"/>
      <c r="DV353" s="143"/>
      <c r="DW353" s="143"/>
      <c r="DX353" s="143"/>
      <c r="DY353" s="143"/>
      <c r="DZ353" s="143"/>
      <c r="EA353" s="143"/>
      <c r="EB353" s="143"/>
      <c r="EC353" s="143"/>
      <c r="ED353" s="143"/>
      <c r="EE353" s="143"/>
      <c r="EF353" s="143"/>
      <c r="EG353" s="143"/>
      <c r="EH353" s="143"/>
      <c r="EI353" s="143"/>
      <c r="EJ353" s="143"/>
      <c r="EK353" s="143"/>
      <c r="EL353" s="143"/>
      <c r="EM353" s="143"/>
      <c r="EN353" s="143"/>
      <c r="EO353" s="143"/>
      <c r="EP353" s="143"/>
      <c r="EQ353" s="143"/>
      <c r="ER353" s="143"/>
      <c r="ES353" s="143"/>
      <c r="ET353" s="143"/>
      <c r="EU353" s="143"/>
      <c r="EV353" s="143"/>
      <c r="EW353" s="143"/>
      <c r="EX353" s="143"/>
      <c r="EY353" s="143"/>
      <c r="EZ353" s="143"/>
      <c r="FA353" s="143"/>
      <c r="FB353" s="143"/>
      <c r="FC353" s="143"/>
      <c r="FD353" s="143"/>
      <c r="FE353" s="143"/>
      <c r="FF353" s="143"/>
      <c r="FG353" s="143"/>
      <c r="FH353" s="143"/>
      <c r="FI353" s="143"/>
      <c r="FJ353" s="143"/>
      <c r="FK353" s="143"/>
      <c r="FL353" s="143"/>
      <c r="FM353" s="143"/>
      <c r="FN353" s="143"/>
      <c r="FO353" s="143"/>
      <c r="FP353" s="143"/>
      <c r="FQ353" s="143"/>
      <c r="FR353" s="143"/>
      <c r="FS353" s="143"/>
      <c r="FT353" s="143"/>
      <c r="FU353" s="143"/>
      <c r="FV353" s="143"/>
      <c r="FW353" s="143"/>
      <c r="FX353" s="143"/>
      <c r="FY353" s="143"/>
      <c r="FZ353" s="143"/>
      <c r="GA353" s="143"/>
      <c r="GB353" s="143"/>
      <c r="GC353" s="143"/>
      <c r="GD353" s="143"/>
      <c r="GE353" s="143"/>
      <c r="GF353" s="143"/>
      <c r="GG353" s="143"/>
      <c r="GH353" s="143"/>
      <c r="GI353" s="143"/>
      <c r="GJ353" s="143"/>
      <c r="GK353" s="143"/>
      <c r="GL353" s="143"/>
      <c r="GM353" s="143"/>
      <c r="GN353" s="143"/>
      <c r="GO353" s="143"/>
      <c r="GP353" s="143"/>
      <c r="GQ353" s="143"/>
      <c r="GR353" s="143"/>
      <c r="GS353" s="143"/>
      <c r="GT353" s="143"/>
      <c r="GU353" s="143"/>
      <c r="GV353" s="143"/>
      <c r="GW353" s="143"/>
      <c r="GX353" s="143"/>
      <c r="GY353" s="143"/>
      <c r="GZ353" s="143"/>
      <c r="HA353" s="143"/>
      <c r="HB353" s="143"/>
      <c r="HC353" s="143"/>
      <c r="HD353" s="143"/>
      <c r="HE353" s="143"/>
      <c r="HF353" s="143"/>
      <c r="HG353" s="143"/>
      <c r="HH353" s="143"/>
      <c r="HI353" s="143"/>
      <c r="HJ353" s="143"/>
      <c r="HK353" s="143"/>
      <c r="HL353" s="143"/>
      <c r="HM353" s="143"/>
      <c r="HN353" s="143"/>
      <c r="HO353" s="143"/>
      <c r="HP353" s="143"/>
      <c r="HQ353" s="143"/>
      <c r="HR353" s="143"/>
      <c r="HS353" s="143"/>
      <c r="HT353" s="143"/>
      <c r="HU353" s="143"/>
      <c r="HV353" s="143"/>
      <c r="HW353" s="143"/>
      <c r="HX353" s="143"/>
      <c r="HY353" s="143"/>
      <c r="HZ353" s="143"/>
      <c r="IA353" s="143"/>
      <c r="IB353" s="143"/>
      <c r="IC353" s="143"/>
      <c r="ID353" s="143"/>
      <c r="IE353" s="143"/>
      <c r="IF353" s="143"/>
      <c r="IG353" s="143"/>
      <c r="IH353" s="143"/>
      <c r="II353" s="143"/>
      <c r="IJ353" s="143"/>
      <c r="IK353" s="143"/>
      <c r="IL353" s="143"/>
      <c r="IM353" s="143"/>
      <c r="IN353" s="143"/>
      <c r="IO353" s="143"/>
      <c r="IP353" s="143"/>
      <c r="IQ353" s="143"/>
      <c r="IR353" s="143"/>
      <c r="IS353" s="143"/>
      <c r="IT353" s="143"/>
      <c r="IU353" s="143"/>
      <c r="IV353" s="143"/>
      <c r="IW353" s="143"/>
      <c r="IX353" s="143"/>
      <c r="IY353" s="143"/>
      <c r="IZ353" s="143"/>
      <c r="JA353" s="143"/>
      <c r="JB353" s="143"/>
      <c r="JC353" s="143"/>
      <c r="JD353" s="143"/>
      <c r="JE353" s="143"/>
      <c r="JF353" s="143"/>
      <c r="JG353" s="143"/>
      <c r="JH353" s="143"/>
      <c r="JI353" s="143"/>
    </row>
    <row r="354" spans="1:269" hidden="1" outlineLevel="1">
      <c r="A354" s="437" t="s">
        <v>208</v>
      </c>
      <c r="B354" s="143"/>
      <c r="C354" s="417" t="e">
        <f>C353/#REF!-1</f>
        <v>#REF!</v>
      </c>
      <c r="D354" s="417" t="e">
        <f>D353/#REF!-1</f>
        <v>#REF!</v>
      </c>
      <c r="E354" s="417" t="e">
        <f>E353/#REF!-1</f>
        <v>#REF!</v>
      </c>
      <c r="F354" s="414" t="e">
        <f>F353/#REF!-1</f>
        <v>#REF!</v>
      </c>
      <c r="G354" s="414" t="e">
        <f>G353/#REF!-1</f>
        <v>#REF!</v>
      </c>
      <c r="H354" s="414" t="e">
        <f>H353/#REF!-1</f>
        <v>#REF!</v>
      </c>
      <c r="I354" s="414" t="e">
        <f>I353/#REF!-1</f>
        <v>#REF!</v>
      </c>
      <c r="J354" s="417" t="e">
        <f>J353/#REF!-1</f>
        <v>#REF!</v>
      </c>
      <c r="K354" s="414" t="e">
        <f>K353/#REF!-1</f>
        <v>#REF!</v>
      </c>
      <c r="L354" s="414" t="e">
        <f>L353/#REF!-1</f>
        <v>#REF!</v>
      </c>
      <c r="M354" s="414" t="e">
        <f>M353/#REF!-1</f>
        <v>#REF!</v>
      </c>
      <c r="N354" s="414" t="e">
        <f>N353/#REF!-1</f>
        <v>#REF!</v>
      </c>
      <c r="O354" s="417" t="e">
        <f>O353/#REF!-1</f>
        <v>#REF!</v>
      </c>
      <c r="P354" s="414" t="e">
        <f t="shared" ref="P354" si="677">P353/K353-1</f>
        <v>#REF!</v>
      </c>
      <c r="Q354" s="414">
        <f t="shared" ref="Q354" si="678">Q353/L353-1</f>
        <v>5.1748251748251706E-2</v>
      </c>
      <c r="R354" s="414">
        <f t="shared" ref="R354" si="679">R353/M353-1</f>
        <v>3.2972694487377607E-2</v>
      </c>
      <c r="S354" s="414">
        <f t="shared" ref="S354" si="680">S353/N353-1</f>
        <v>1.067556296914085E-2</v>
      </c>
      <c r="T354" s="417" t="e">
        <f t="shared" ref="T354" si="681">T353/O353-1</f>
        <v>#REF!</v>
      </c>
      <c r="U354" s="414">
        <f t="shared" ref="U354" si="682">U353/P353-1</f>
        <v>2.4060150375939893E-2</v>
      </c>
      <c r="V354" s="414">
        <f t="shared" ref="V354" si="683">V353/Q353-1</f>
        <v>3.4408244680850908E-2</v>
      </c>
      <c r="W354" s="414">
        <f t="shared" ref="W354" si="684">W353/R353-1</f>
        <v>3.8570241064006749E-2</v>
      </c>
      <c r="X354" s="414">
        <f t="shared" ref="X354" si="685">X353/S353-1</f>
        <v>3.6969796996203952E-2</v>
      </c>
      <c r="Y354" s="417">
        <f t="shared" ref="Y354" si="686">Y353/T353-1</f>
        <v>3.31389996931577E-2</v>
      </c>
      <c r="Z354" s="414">
        <f t="shared" ref="Z354" si="687">Z353/U353-1</f>
        <v>2.3168542992331398E-2</v>
      </c>
      <c r="AA354" s="414">
        <f t="shared" ref="AA354" si="688">AA353/V353-1</f>
        <v>8.1954041459104676E-3</v>
      </c>
      <c r="AB354" s="414">
        <f t="shared" ref="AB354" si="689">AB353/W353-1</f>
        <v>4.9623819433326499E-3</v>
      </c>
      <c r="AC354" s="414">
        <f t="shared" ref="AC354" si="690">AC353/X353-1</f>
        <v>1.7507560082765661E-3</v>
      </c>
      <c r="AD354" s="422">
        <f t="shared" ref="AD354" si="691">AD353/Y353-1</f>
        <v>9.7695097695094102E-3</v>
      </c>
      <c r="AE354" s="414" t="e">
        <f t="shared" ref="AE354" si="692">AE353/Z353-1</f>
        <v>#VALUE!</v>
      </c>
      <c r="AF354" s="414" t="e">
        <f t="shared" ref="AF354" si="693">AF353/AA353-1</f>
        <v>#VALUE!</v>
      </c>
      <c r="AG354" s="414" t="e">
        <f t="shared" ref="AG354" si="694">AG353/AB353-1</f>
        <v>#VALUE!</v>
      </c>
      <c r="AH354" s="414"/>
      <c r="AI354" s="422"/>
      <c r="AJ354" s="414"/>
      <c r="AK354" s="414"/>
      <c r="AL354" s="414"/>
      <c r="AM354" s="414"/>
      <c r="AN354" s="422"/>
      <c r="AO354" s="280"/>
      <c r="AP354" s="280"/>
      <c r="AQ354" s="280"/>
      <c r="AR354" s="280"/>
      <c r="AS354" s="320"/>
      <c r="AT354" s="315"/>
      <c r="AU354" s="508"/>
      <c r="AV354" s="143"/>
      <c r="AW354" s="143"/>
      <c r="AX354" s="143"/>
      <c r="AY354" s="143"/>
      <c r="AZ354" s="143"/>
      <c r="BA354" s="143"/>
      <c r="BB354" s="143"/>
      <c r="BC354" s="143"/>
      <c r="BD354" s="143"/>
      <c r="BE354" s="143"/>
      <c r="BF354" s="143"/>
      <c r="BG354" s="143"/>
      <c r="BH354" s="143"/>
      <c r="BI354" s="143"/>
      <c r="BJ354" s="143"/>
      <c r="BK354" s="143"/>
      <c r="BL354" s="143"/>
      <c r="BM354" s="143"/>
      <c r="BN354" s="143"/>
      <c r="BO354" s="143"/>
      <c r="BP354" s="143"/>
      <c r="BQ354" s="143"/>
      <c r="BR354" s="143"/>
      <c r="BS354" s="143"/>
      <c r="BT354" s="143"/>
      <c r="BU354" s="143"/>
      <c r="BV354" s="143"/>
      <c r="BW354" s="143"/>
      <c r="BX354" s="143"/>
      <c r="BY354" s="143"/>
      <c r="BZ354" s="143"/>
      <c r="CA354" s="143"/>
      <c r="CB354" s="143"/>
      <c r="CC354" s="143"/>
      <c r="CD354" s="143"/>
      <c r="CE354" s="143"/>
      <c r="CF354" s="143"/>
      <c r="CG354" s="143"/>
      <c r="CH354" s="143"/>
      <c r="CI354" s="143"/>
      <c r="CJ354" s="143"/>
      <c r="CK354" s="143"/>
      <c r="CL354" s="143"/>
      <c r="CM354" s="143"/>
      <c r="CN354" s="143"/>
      <c r="CO354" s="143"/>
      <c r="CP354" s="143"/>
      <c r="CQ354" s="143"/>
      <c r="CR354" s="143"/>
      <c r="CS354" s="143"/>
      <c r="CT354" s="143"/>
      <c r="CU354" s="143"/>
      <c r="CV354" s="143"/>
      <c r="CW354" s="143"/>
      <c r="CX354" s="143"/>
      <c r="CY354" s="143"/>
      <c r="CZ354" s="143"/>
      <c r="DA354" s="143"/>
      <c r="DB354" s="143"/>
      <c r="DC354" s="143"/>
      <c r="DD354" s="143"/>
      <c r="DE354" s="143"/>
      <c r="DF354" s="143"/>
      <c r="DG354" s="143"/>
      <c r="DH354" s="143"/>
      <c r="DI354" s="143"/>
      <c r="DJ354" s="143"/>
      <c r="DK354" s="143"/>
      <c r="DL354" s="143"/>
      <c r="DM354" s="143"/>
      <c r="DN354" s="143"/>
      <c r="DO354" s="143"/>
      <c r="DP354" s="143"/>
      <c r="DQ354" s="143"/>
      <c r="DR354" s="143"/>
      <c r="DS354" s="143"/>
      <c r="DT354" s="143"/>
      <c r="DU354" s="143"/>
      <c r="DV354" s="143"/>
      <c r="DW354" s="143"/>
      <c r="DX354" s="143"/>
      <c r="DY354" s="143"/>
      <c r="DZ354" s="143"/>
      <c r="EA354" s="143"/>
      <c r="EB354" s="143"/>
      <c r="EC354" s="143"/>
      <c r="ED354" s="143"/>
      <c r="EE354" s="143"/>
      <c r="EF354" s="143"/>
      <c r="EG354" s="143"/>
      <c r="EH354" s="143"/>
      <c r="EI354" s="143"/>
      <c r="EJ354" s="143"/>
      <c r="EK354" s="143"/>
      <c r="EL354" s="143"/>
      <c r="EM354" s="143"/>
      <c r="EN354" s="143"/>
      <c r="EO354" s="143"/>
      <c r="EP354" s="143"/>
      <c r="EQ354" s="143"/>
      <c r="ER354" s="143"/>
      <c r="ES354" s="143"/>
      <c r="ET354" s="143"/>
      <c r="EU354" s="143"/>
      <c r="EV354" s="143"/>
      <c r="EW354" s="143"/>
      <c r="EX354" s="143"/>
      <c r="EY354" s="143"/>
      <c r="EZ354" s="143"/>
      <c r="FA354" s="143"/>
      <c r="FB354" s="143"/>
      <c r="FC354" s="143"/>
      <c r="FD354" s="143"/>
      <c r="FE354" s="143"/>
      <c r="FF354" s="143"/>
      <c r="FG354" s="143"/>
      <c r="FH354" s="143"/>
      <c r="FI354" s="143"/>
      <c r="FJ354" s="143"/>
      <c r="FK354" s="143"/>
      <c r="FL354" s="143"/>
      <c r="FM354" s="143"/>
      <c r="FN354" s="143"/>
      <c r="FO354" s="143"/>
      <c r="FP354" s="143"/>
      <c r="FQ354" s="143"/>
      <c r="FR354" s="143"/>
      <c r="FS354" s="143"/>
      <c r="FT354" s="143"/>
      <c r="FU354" s="143"/>
      <c r="FV354" s="143"/>
      <c r="FW354" s="143"/>
      <c r="FX354" s="143"/>
      <c r="FY354" s="143"/>
      <c r="FZ354" s="143"/>
      <c r="GA354" s="143"/>
      <c r="GB354" s="143"/>
      <c r="GC354" s="143"/>
      <c r="GD354" s="143"/>
      <c r="GE354" s="143"/>
      <c r="GF354" s="143"/>
      <c r="GG354" s="143"/>
      <c r="GH354" s="143"/>
      <c r="GI354" s="143"/>
      <c r="GJ354" s="143"/>
      <c r="GK354" s="143"/>
      <c r="GL354" s="143"/>
      <c r="GM354" s="143"/>
      <c r="GN354" s="143"/>
      <c r="GO354" s="143"/>
      <c r="GP354" s="143"/>
      <c r="GQ354" s="143"/>
      <c r="GR354" s="143"/>
      <c r="GS354" s="143"/>
      <c r="GT354" s="143"/>
      <c r="GU354" s="143"/>
      <c r="GV354" s="143"/>
      <c r="GW354" s="143"/>
      <c r="GX354" s="143"/>
      <c r="GY354" s="143"/>
      <c r="GZ354" s="143"/>
      <c r="HA354" s="143"/>
      <c r="HB354" s="143"/>
      <c r="HC354" s="143"/>
      <c r="HD354" s="143"/>
      <c r="HE354" s="143"/>
      <c r="HF354" s="143"/>
      <c r="HG354" s="143"/>
      <c r="HH354" s="143"/>
      <c r="HI354" s="143"/>
      <c r="HJ354" s="143"/>
      <c r="HK354" s="143"/>
      <c r="HL354" s="143"/>
      <c r="HM354" s="143"/>
      <c r="HN354" s="143"/>
      <c r="HO354" s="143"/>
      <c r="HP354" s="143"/>
      <c r="HQ354" s="143"/>
      <c r="HR354" s="143"/>
      <c r="HS354" s="143"/>
      <c r="HT354" s="143"/>
      <c r="HU354" s="143"/>
      <c r="HV354" s="143"/>
      <c r="HW354" s="143"/>
      <c r="HX354" s="143"/>
      <c r="HY354" s="143"/>
      <c r="HZ354" s="143"/>
      <c r="IA354" s="143"/>
      <c r="IB354" s="143"/>
      <c r="IC354" s="143"/>
      <c r="ID354" s="143"/>
      <c r="IE354" s="143"/>
      <c r="IF354" s="143"/>
      <c r="IG354" s="143"/>
      <c r="IH354" s="143"/>
      <c r="II354" s="143"/>
      <c r="IJ354" s="143"/>
      <c r="IK354" s="143"/>
      <c r="IL354" s="143"/>
      <c r="IM354" s="143"/>
      <c r="IN354" s="143"/>
      <c r="IO354" s="143"/>
      <c r="IP354" s="143"/>
      <c r="IQ354" s="143"/>
      <c r="IR354" s="143"/>
      <c r="IS354" s="143"/>
      <c r="IT354" s="143"/>
      <c r="IU354" s="143"/>
      <c r="IV354" s="143"/>
      <c r="IW354" s="143"/>
      <c r="IX354" s="143"/>
      <c r="IY354" s="143"/>
      <c r="IZ354" s="143"/>
      <c r="JA354" s="143"/>
      <c r="JB354" s="143"/>
      <c r="JC354" s="143"/>
      <c r="JD354" s="143"/>
      <c r="JE354" s="143"/>
      <c r="JF354" s="143"/>
      <c r="JG354" s="143"/>
      <c r="JH354" s="143"/>
      <c r="JI354" s="143"/>
    </row>
    <row r="355" spans="1:269" hidden="1" outlineLevel="1">
      <c r="A355" s="437" t="s">
        <v>207</v>
      </c>
      <c r="B355" s="143"/>
      <c r="C355" s="417" t="e">
        <f>C353/#REF!-1</f>
        <v>#REF!</v>
      </c>
      <c r="D355" s="417" t="e">
        <f>D353/#REF!-1</f>
        <v>#REF!</v>
      </c>
      <c r="E355" s="417" t="e">
        <f>E353/#REF!-1</f>
        <v>#REF!</v>
      </c>
      <c r="F355" s="414" t="e">
        <f>F353/#REF!-1</f>
        <v>#REF!</v>
      </c>
      <c r="G355" s="414" t="e">
        <f>G353/#REF!-1</f>
        <v>#REF!</v>
      </c>
      <c r="H355" s="414" t="e">
        <f>H353/#REF!-1</f>
        <v>#REF!</v>
      </c>
      <c r="I355" s="414" t="e">
        <f>I353/#REF!-1</f>
        <v>#REF!</v>
      </c>
      <c r="J355" s="417" t="e">
        <f>J353/#REF!-1</f>
        <v>#REF!</v>
      </c>
      <c r="K355" s="414" t="e">
        <f>K353/#REF!-1</f>
        <v>#REF!</v>
      </c>
      <c r="L355" s="414" t="e">
        <f>L353/#REF!-1</f>
        <v>#REF!</v>
      </c>
      <c r="M355" s="414" t="e">
        <f>M353/#REF!-1</f>
        <v>#REF!</v>
      </c>
      <c r="N355" s="414" t="e">
        <f>N353/#REF!-1</f>
        <v>#REF!</v>
      </c>
      <c r="O355" s="417" t="e">
        <f>O353/#REF!-1</f>
        <v>#REF!</v>
      </c>
      <c r="P355" s="414" t="e">
        <f>P353/#REF!-1</f>
        <v>#REF!</v>
      </c>
      <c r="Q355" s="414" t="e">
        <f>Q353/#REF!-1</f>
        <v>#REF!</v>
      </c>
      <c r="R355" s="414" t="e">
        <f>R353/#REF!-1</f>
        <v>#REF!</v>
      </c>
      <c r="S355" s="414" t="e">
        <f>S353/#REF!-1</f>
        <v>#REF!</v>
      </c>
      <c r="T355" s="417" t="e">
        <f>T353/#REF!-1</f>
        <v>#REF!</v>
      </c>
      <c r="U355" s="414" t="e">
        <f>U353/#REF!-1</f>
        <v>#REF!</v>
      </c>
      <c r="V355" s="414" t="e">
        <f>V353/#REF!-1</f>
        <v>#REF!</v>
      </c>
      <c r="W355" s="414" t="e">
        <f>W353/#REF!-1</f>
        <v>#REF!</v>
      </c>
      <c r="X355" s="414" t="e">
        <f>X353/#REF!-1</f>
        <v>#REF!</v>
      </c>
      <c r="Y355" s="417" t="e">
        <f>Y353/#REF!-1</f>
        <v>#REF!</v>
      </c>
      <c r="Z355" s="414" t="e">
        <f>Z353/#REF!-1</f>
        <v>#REF!</v>
      </c>
      <c r="AA355" s="414" t="e">
        <f>AA353/#REF!-1</f>
        <v>#REF!</v>
      </c>
      <c r="AB355" s="414" t="e">
        <f>AB353/#REF!-1</f>
        <v>#REF!</v>
      </c>
      <c r="AC355" s="414" t="e">
        <f>AC353/#REF!-1</f>
        <v>#REF!</v>
      </c>
      <c r="AD355" s="422" t="e">
        <f>AD353/#REF!-1</f>
        <v>#REF!</v>
      </c>
      <c r="AE355" s="414" t="e">
        <f>AE353/#REF!-1</f>
        <v>#VALUE!</v>
      </c>
      <c r="AF355" s="414" t="e">
        <f>AF353/#REF!-1</f>
        <v>#VALUE!</v>
      </c>
      <c r="AG355" s="414" t="e">
        <f>AG353/#REF!-1</f>
        <v>#VALUE!</v>
      </c>
      <c r="AH355" s="414"/>
      <c r="AI355" s="422"/>
      <c r="AJ355" s="414"/>
      <c r="AK355" s="414"/>
      <c r="AL355" s="414"/>
      <c r="AM355" s="414"/>
      <c r="AN355" s="422"/>
      <c r="AO355" s="280"/>
      <c r="AP355" s="280"/>
      <c r="AQ355" s="280"/>
      <c r="AR355" s="280"/>
      <c r="AS355" s="320"/>
      <c r="AT355" s="315"/>
      <c r="AU355" s="508"/>
      <c r="AV355" s="143"/>
      <c r="AW355" s="143"/>
      <c r="AX355" s="143"/>
      <c r="AY355" s="143"/>
      <c r="AZ355" s="143"/>
      <c r="BA355" s="143"/>
      <c r="BB355" s="143"/>
      <c r="BC355" s="143"/>
      <c r="BD355" s="143"/>
      <c r="BE355" s="143"/>
      <c r="BF355" s="143"/>
      <c r="BG355" s="143"/>
      <c r="BH355" s="143"/>
      <c r="BI355" s="143"/>
      <c r="BJ355" s="143"/>
      <c r="BK355" s="143"/>
      <c r="BL355" s="143"/>
      <c r="BM355" s="143"/>
      <c r="BN355" s="143"/>
      <c r="BO355" s="143"/>
      <c r="BP355" s="143"/>
      <c r="BQ355" s="143"/>
      <c r="BR355" s="143"/>
      <c r="BS355" s="143"/>
      <c r="BT355" s="143"/>
      <c r="BU355" s="143"/>
      <c r="BV355" s="143"/>
      <c r="BW355" s="143"/>
      <c r="BX355" s="143"/>
      <c r="BY355" s="143"/>
      <c r="BZ355" s="143"/>
      <c r="CA355" s="143"/>
      <c r="CB355" s="143"/>
      <c r="CC355" s="143"/>
      <c r="CD355" s="143"/>
      <c r="CE355" s="143"/>
      <c r="CF355" s="143"/>
      <c r="CG355" s="143"/>
      <c r="CH355" s="143"/>
      <c r="CI355" s="143"/>
      <c r="CJ355" s="143"/>
      <c r="CK355" s="143"/>
      <c r="CL355" s="143"/>
      <c r="CM355" s="143"/>
      <c r="CN355" s="143"/>
      <c r="CO355" s="143"/>
      <c r="CP355" s="143"/>
      <c r="CQ355" s="143"/>
      <c r="CR355" s="143"/>
      <c r="CS355" s="143"/>
      <c r="CT355" s="143"/>
      <c r="CU355" s="143"/>
      <c r="CV355" s="143"/>
      <c r="CW355" s="143"/>
      <c r="CX355" s="143"/>
      <c r="CY355" s="143"/>
      <c r="CZ355" s="143"/>
      <c r="DA355" s="143"/>
      <c r="DB355" s="143"/>
      <c r="DC355" s="143"/>
      <c r="DD355" s="143"/>
      <c r="DE355" s="143"/>
      <c r="DF355" s="143"/>
      <c r="DG355" s="143"/>
      <c r="DH355" s="143"/>
      <c r="DI355" s="143"/>
      <c r="DJ355" s="143"/>
      <c r="DK355" s="143"/>
      <c r="DL355" s="143"/>
      <c r="DM355" s="143"/>
      <c r="DN355" s="143"/>
      <c r="DO355" s="143"/>
      <c r="DP355" s="143"/>
      <c r="DQ355" s="143"/>
      <c r="DR355" s="143"/>
      <c r="DS355" s="143"/>
      <c r="DT355" s="143"/>
      <c r="DU355" s="143"/>
      <c r="DV355" s="143"/>
      <c r="DW355" s="143"/>
      <c r="DX355" s="143"/>
      <c r="DY355" s="143"/>
      <c r="DZ355" s="143"/>
      <c r="EA355" s="143"/>
      <c r="EB355" s="143"/>
      <c r="EC355" s="143"/>
      <c r="ED355" s="143"/>
      <c r="EE355" s="143"/>
      <c r="EF355" s="143"/>
      <c r="EG355" s="143"/>
      <c r="EH355" s="143"/>
      <c r="EI355" s="143"/>
      <c r="EJ355" s="143"/>
      <c r="EK355" s="143"/>
      <c r="EL355" s="143"/>
      <c r="EM355" s="143"/>
      <c r="EN355" s="143"/>
      <c r="EO355" s="143"/>
      <c r="EP355" s="143"/>
      <c r="EQ355" s="143"/>
      <c r="ER355" s="143"/>
      <c r="ES355" s="143"/>
      <c r="ET355" s="143"/>
      <c r="EU355" s="143"/>
      <c r="EV355" s="143"/>
      <c r="EW355" s="143"/>
      <c r="EX355" s="143"/>
      <c r="EY355" s="143"/>
      <c r="EZ355" s="143"/>
      <c r="FA355" s="143"/>
      <c r="FB355" s="143"/>
      <c r="FC355" s="143"/>
      <c r="FD355" s="143"/>
      <c r="FE355" s="143"/>
      <c r="FF355" s="143"/>
      <c r="FG355" s="143"/>
      <c r="FH355" s="143"/>
      <c r="FI355" s="143"/>
      <c r="FJ355" s="143"/>
      <c r="FK355" s="143"/>
      <c r="FL355" s="143"/>
      <c r="FM355" s="143"/>
      <c r="FN355" s="143"/>
      <c r="FO355" s="143"/>
      <c r="FP355" s="143"/>
      <c r="FQ355" s="143"/>
      <c r="FR355" s="143"/>
      <c r="FS355" s="143"/>
      <c r="FT355" s="143"/>
      <c r="FU355" s="143"/>
      <c r="FV355" s="143"/>
      <c r="FW355" s="143"/>
      <c r="FX355" s="143"/>
      <c r="FY355" s="143"/>
      <c r="FZ355" s="143"/>
      <c r="GA355" s="143"/>
      <c r="GB355" s="143"/>
      <c r="GC355" s="143"/>
      <c r="GD355" s="143"/>
      <c r="GE355" s="143"/>
      <c r="GF355" s="143"/>
      <c r="GG355" s="143"/>
      <c r="GH355" s="143"/>
      <c r="GI355" s="143"/>
      <c r="GJ355" s="143"/>
      <c r="GK355" s="143"/>
      <c r="GL355" s="143"/>
      <c r="GM355" s="143"/>
      <c r="GN355" s="143"/>
      <c r="GO355" s="143"/>
      <c r="GP355" s="143"/>
      <c r="GQ355" s="143"/>
      <c r="GR355" s="143"/>
      <c r="GS355" s="143"/>
      <c r="GT355" s="143"/>
      <c r="GU355" s="143"/>
      <c r="GV355" s="143"/>
      <c r="GW355" s="143"/>
      <c r="GX355" s="143"/>
      <c r="GY355" s="143"/>
      <c r="GZ355" s="143"/>
      <c r="HA355" s="143"/>
      <c r="HB355" s="143"/>
      <c r="HC355" s="143"/>
      <c r="HD355" s="143"/>
      <c r="HE355" s="143"/>
      <c r="HF355" s="143"/>
      <c r="HG355" s="143"/>
      <c r="HH355" s="143"/>
      <c r="HI355" s="143"/>
      <c r="HJ355" s="143"/>
      <c r="HK355" s="143"/>
      <c r="HL355" s="143"/>
      <c r="HM355" s="143"/>
      <c r="HN355" s="143"/>
      <c r="HO355" s="143"/>
      <c r="HP355" s="143"/>
      <c r="HQ355" s="143"/>
      <c r="HR355" s="143"/>
      <c r="HS355" s="143"/>
      <c r="HT355" s="143"/>
      <c r="HU355" s="143"/>
      <c r="HV355" s="143"/>
      <c r="HW355" s="143"/>
      <c r="HX355" s="143"/>
      <c r="HY355" s="143"/>
      <c r="HZ355" s="143"/>
      <c r="IA355" s="143"/>
      <c r="IB355" s="143"/>
      <c r="IC355" s="143"/>
      <c r="ID355" s="143"/>
      <c r="IE355" s="143"/>
      <c r="IF355" s="143"/>
      <c r="IG355" s="143"/>
      <c r="IH355" s="143"/>
      <c r="II355" s="143"/>
      <c r="IJ355" s="143"/>
      <c r="IK355" s="143"/>
      <c r="IL355" s="143"/>
      <c r="IM355" s="143"/>
      <c r="IN355" s="143"/>
      <c r="IO355" s="143"/>
      <c r="IP355" s="143"/>
      <c r="IQ355" s="143"/>
      <c r="IR355" s="143"/>
      <c r="IS355" s="143"/>
      <c r="IT355" s="143"/>
      <c r="IU355" s="143"/>
      <c r="IV355" s="143"/>
      <c r="IW355" s="143"/>
      <c r="IX355" s="143"/>
      <c r="IY355" s="143"/>
      <c r="IZ355" s="143"/>
      <c r="JA355" s="143"/>
      <c r="JB355" s="143"/>
      <c r="JC355" s="143"/>
      <c r="JD355" s="143"/>
      <c r="JE355" s="143"/>
      <c r="JF355" s="143"/>
      <c r="JG355" s="143"/>
      <c r="JH355" s="143"/>
      <c r="JI355" s="143"/>
    </row>
    <row r="356" spans="1:269" hidden="1" outlineLevel="1">
      <c r="A356" s="437"/>
      <c r="B356" s="143"/>
      <c r="C356" s="417"/>
      <c r="D356" s="417"/>
      <c r="E356" s="417"/>
      <c r="F356" s="414"/>
      <c r="G356" s="414"/>
      <c r="H356" s="414"/>
      <c r="I356" s="414"/>
      <c r="J356" s="417"/>
      <c r="K356" s="414"/>
      <c r="L356" s="414"/>
      <c r="M356" s="414"/>
      <c r="N356" s="414"/>
      <c r="O356" s="417"/>
      <c r="P356" s="414"/>
      <c r="Q356" s="414"/>
      <c r="R356" s="414"/>
      <c r="S356" s="414"/>
      <c r="T356" s="417"/>
      <c r="U356" s="414"/>
      <c r="V356" s="414"/>
      <c r="W356" s="414"/>
      <c r="X356" s="414"/>
      <c r="Y356" s="417"/>
      <c r="Z356" s="414"/>
      <c r="AA356" s="414"/>
      <c r="AB356" s="414"/>
      <c r="AC356" s="414"/>
      <c r="AD356" s="422"/>
      <c r="AE356" s="414"/>
      <c r="AF356" s="414"/>
      <c r="AG356" s="414"/>
      <c r="AH356" s="414"/>
      <c r="AI356" s="422"/>
      <c r="AJ356" s="414"/>
      <c r="AK356" s="414"/>
      <c r="AL356" s="414"/>
      <c r="AM356" s="414"/>
      <c r="AN356" s="422"/>
      <c r="AO356" s="280"/>
      <c r="AP356" s="280"/>
      <c r="AQ356" s="280"/>
      <c r="AR356" s="280"/>
      <c r="AS356" s="320"/>
      <c r="AT356" s="315"/>
      <c r="AU356" s="508"/>
      <c r="AV356" s="143"/>
      <c r="AW356" s="143"/>
      <c r="AX356" s="143"/>
      <c r="AY356" s="143"/>
      <c r="AZ356" s="143"/>
      <c r="BA356" s="143"/>
      <c r="BB356" s="143"/>
      <c r="BC356" s="143"/>
      <c r="BD356" s="143"/>
      <c r="BE356" s="143"/>
      <c r="BF356" s="143"/>
      <c r="BG356" s="143"/>
      <c r="BH356" s="143"/>
      <c r="BI356" s="143"/>
      <c r="BJ356" s="143"/>
      <c r="BK356" s="143"/>
      <c r="BL356" s="143"/>
      <c r="BM356" s="143"/>
      <c r="BN356" s="143"/>
      <c r="BO356" s="143"/>
      <c r="BP356" s="143"/>
      <c r="BQ356" s="143"/>
      <c r="BR356" s="143"/>
      <c r="BS356" s="143"/>
      <c r="BT356" s="143"/>
      <c r="BU356" s="143"/>
      <c r="BV356" s="143"/>
      <c r="BW356" s="143"/>
      <c r="BX356" s="143"/>
      <c r="BY356" s="143"/>
      <c r="BZ356" s="143"/>
      <c r="CA356" s="143"/>
      <c r="CB356" s="143"/>
      <c r="CC356" s="143"/>
      <c r="CD356" s="143"/>
      <c r="CE356" s="143"/>
      <c r="CF356" s="143"/>
      <c r="CG356" s="143"/>
      <c r="CH356" s="143"/>
      <c r="CI356" s="143"/>
      <c r="CJ356" s="143"/>
      <c r="CK356" s="143"/>
      <c r="CL356" s="143"/>
      <c r="CM356" s="143"/>
      <c r="CN356" s="143"/>
      <c r="CO356" s="143"/>
      <c r="CP356" s="143"/>
      <c r="CQ356" s="143"/>
      <c r="CR356" s="143"/>
      <c r="CS356" s="143"/>
      <c r="CT356" s="143"/>
      <c r="CU356" s="143"/>
      <c r="CV356" s="143"/>
      <c r="CW356" s="143"/>
      <c r="CX356" s="143"/>
      <c r="CY356" s="143"/>
      <c r="CZ356" s="143"/>
      <c r="DA356" s="143"/>
      <c r="DB356" s="143"/>
      <c r="DC356" s="143"/>
      <c r="DD356" s="143"/>
      <c r="DE356" s="143"/>
      <c r="DF356" s="143"/>
      <c r="DG356" s="143"/>
      <c r="DH356" s="143"/>
      <c r="DI356" s="143"/>
      <c r="DJ356" s="143"/>
      <c r="DK356" s="143"/>
      <c r="DL356" s="143"/>
      <c r="DM356" s="143"/>
      <c r="DN356" s="143"/>
      <c r="DO356" s="143"/>
      <c r="DP356" s="143"/>
      <c r="DQ356" s="143"/>
      <c r="DR356" s="143"/>
      <c r="DS356" s="143"/>
      <c r="DT356" s="143"/>
      <c r="DU356" s="143"/>
      <c r="DV356" s="143"/>
      <c r="DW356" s="143"/>
      <c r="DX356" s="143"/>
      <c r="DY356" s="143"/>
      <c r="DZ356" s="143"/>
      <c r="EA356" s="143"/>
      <c r="EB356" s="143"/>
      <c r="EC356" s="143"/>
      <c r="ED356" s="143"/>
      <c r="EE356" s="143"/>
      <c r="EF356" s="143"/>
      <c r="EG356" s="143"/>
      <c r="EH356" s="143"/>
      <c r="EI356" s="143"/>
      <c r="EJ356" s="143"/>
      <c r="EK356" s="143"/>
      <c r="EL356" s="143"/>
      <c r="EM356" s="143"/>
      <c r="EN356" s="143"/>
      <c r="EO356" s="143"/>
      <c r="EP356" s="143"/>
      <c r="EQ356" s="143"/>
      <c r="ER356" s="143"/>
      <c r="ES356" s="143"/>
      <c r="ET356" s="143"/>
      <c r="EU356" s="143"/>
      <c r="EV356" s="143"/>
      <c r="EW356" s="143"/>
      <c r="EX356" s="143"/>
      <c r="EY356" s="143"/>
      <c r="EZ356" s="143"/>
      <c r="FA356" s="143"/>
      <c r="FB356" s="143"/>
      <c r="FC356" s="143"/>
      <c r="FD356" s="143"/>
      <c r="FE356" s="143"/>
      <c r="FF356" s="143"/>
      <c r="FG356" s="143"/>
      <c r="FH356" s="143"/>
      <c r="FI356" s="143"/>
      <c r="FJ356" s="143"/>
      <c r="FK356" s="143"/>
      <c r="FL356" s="143"/>
      <c r="FM356" s="143"/>
      <c r="FN356" s="143"/>
      <c r="FO356" s="143"/>
      <c r="FP356" s="143"/>
      <c r="FQ356" s="143"/>
      <c r="FR356" s="143"/>
      <c r="FS356" s="143"/>
      <c r="FT356" s="143"/>
      <c r="FU356" s="143"/>
      <c r="FV356" s="143"/>
      <c r="FW356" s="143"/>
      <c r="FX356" s="143"/>
      <c r="FY356" s="143"/>
      <c r="FZ356" s="143"/>
      <c r="GA356" s="143"/>
      <c r="GB356" s="143"/>
      <c r="GC356" s="143"/>
      <c r="GD356" s="143"/>
      <c r="GE356" s="143"/>
      <c r="GF356" s="143"/>
      <c r="GG356" s="143"/>
      <c r="GH356" s="143"/>
      <c r="GI356" s="143"/>
      <c r="GJ356" s="143"/>
      <c r="GK356" s="143"/>
      <c r="GL356" s="143"/>
      <c r="GM356" s="143"/>
      <c r="GN356" s="143"/>
      <c r="GO356" s="143"/>
      <c r="GP356" s="143"/>
      <c r="GQ356" s="143"/>
      <c r="GR356" s="143"/>
      <c r="GS356" s="143"/>
      <c r="GT356" s="143"/>
      <c r="GU356" s="143"/>
      <c r="GV356" s="143"/>
      <c r="GW356" s="143"/>
      <c r="GX356" s="143"/>
      <c r="GY356" s="143"/>
      <c r="GZ356" s="143"/>
      <c r="HA356" s="143"/>
      <c r="HB356" s="143"/>
      <c r="HC356" s="143"/>
      <c r="HD356" s="143"/>
      <c r="HE356" s="143"/>
      <c r="HF356" s="143"/>
      <c r="HG356" s="143"/>
      <c r="HH356" s="143"/>
      <c r="HI356" s="143"/>
      <c r="HJ356" s="143"/>
      <c r="HK356" s="143"/>
      <c r="HL356" s="143"/>
      <c r="HM356" s="143"/>
      <c r="HN356" s="143"/>
      <c r="HO356" s="143"/>
      <c r="HP356" s="143"/>
      <c r="HQ356" s="143"/>
      <c r="HR356" s="143"/>
      <c r="HS356" s="143"/>
      <c r="HT356" s="143"/>
      <c r="HU356" s="143"/>
      <c r="HV356" s="143"/>
      <c r="HW356" s="143"/>
      <c r="HX356" s="143"/>
      <c r="HY356" s="143"/>
      <c r="HZ356" s="143"/>
      <c r="IA356" s="143"/>
      <c r="IB356" s="143"/>
      <c r="IC356" s="143"/>
      <c r="ID356" s="143"/>
      <c r="IE356" s="143"/>
      <c r="IF356" s="143"/>
      <c r="IG356" s="143"/>
      <c r="IH356" s="143"/>
      <c r="II356" s="143"/>
      <c r="IJ356" s="143"/>
      <c r="IK356" s="143"/>
      <c r="IL356" s="143"/>
      <c r="IM356" s="143"/>
      <c r="IN356" s="143"/>
      <c r="IO356" s="143"/>
      <c r="IP356" s="143"/>
      <c r="IQ356" s="143"/>
      <c r="IR356" s="143"/>
      <c r="IS356" s="143"/>
      <c r="IT356" s="143"/>
      <c r="IU356" s="143"/>
      <c r="IV356" s="143"/>
      <c r="IW356" s="143"/>
      <c r="IX356" s="143"/>
      <c r="IY356" s="143"/>
      <c r="IZ356" s="143"/>
      <c r="JA356" s="143"/>
      <c r="JB356" s="143"/>
      <c r="JC356" s="143"/>
      <c r="JD356" s="143"/>
      <c r="JE356" s="143"/>
      <c r="JF356" s="143"/>
      <c r="JG356" s="143"/>
      <c r="JH356" s="143"/>
      <c r="JI356" s="143"/>
    </row>
    <row r="357" spans="1:269" hidden="1" outlineLevel="1">
      <c r="A357" s="468" t="s">
        <v>230</v>
      </c>
      <c r="B357" s="315" t="s">
        <v>234</v>
      </c>
      <c r="C357" s="475" t="e">
        <f>_xll.BQL.QUERY("get(avg(px_last(start=" &amp; TEXT(#REF!, "YYYY-MM-DD") &amp; ", end=" &amp; TEXT(C$5, "YYYY-MM-DD") &amp; "))) for('"&amp;$B357&amp;"')")</f>
        <v>#REF!</v>
      </c>
      <c r="D357" s="475" t="e">
        <f>_xll.BQL.QUERY("get(avg(px_last(start=" &amp; TEXT(#REF!, "YYYY-MM-DD") &amp; ", end=" &amp; TEXT(D$5, "YYYY-MM-DD") &amp; "))) for('"&amp;$B357&amp;"')")</f>
        <v>#REF!</v>
      </c>
      <c r="E357" s="475" t="e">
        <f>_xll.BQL.QUERY("get(avg(px_last(start=" &amp; TEXT(#REF!, "YYYY-MM-DD") &amp; ", end=" &amp; TEXT(E$5, "YYYY-MM-DD") &amp; "))) for('"&amp;$B357&amp;"')")</f>
        <v>#REF!</v>
      </c>
      <c r="F357" s="335" t="e">
        <f>_xll.BQL.QUERY("get(avg(px_last(start=" &amp; TEXT(#REF!, "YYYY-MM-DD") &amp; ", end=" &amp; TEXT(F$5, "YYYY-MM-DD") &amp; "))) for('"&amp;$B357&amp;"')")</f>
        <v>#REF!</v>
      </c>
      <c r="G357" s="335">
        <f>_xll.BQL.QUERY("get(avg(px_last(start=" &amp; TEXT(F$5, "YYYY-MM-DD") &amp; ", end=" &amp; TEXT(G$5, "YYYY-MM-DD") &amp; "))) for('"&amp;$B357&amp;"')")</f>
        <v>151.20000000000002</v>
      </c>
      <c r="H357" s="335">
        <f>_xll.BQL.QUERY("get(avg(px_last(start=" &amp; TEXT(G$5, "YYYY-MM-DD") &amp; ", end=" &amp; TEXT(H$5, "YYYY-MM-DD") &amp; "))) for('"&amp;$B357&amp;"')")</f>
        <v>151.93333333333331</v>
      </c>
      <c r="I357" s="335">
        <f>_xll.BQL.QUERY("get(avg(px_last(start=" &amp; TEXT(H$5, "YYYY-MM-DD") &amp; ", end=" &amp; TEXT(I$5, "YYYY-MM-DD") &amp; "))) for('"&amp;$B357&amp;"')")</f>
        <v>152.6</v>
      </c>
      <c r="J357" s="475" t="e">
        <f>_xll.BQL.QUERY("get(avg(px_last(start=" &amp; TEXT(#REF!, "YYYY-MM-DD") &amp; ", end=" &amp; TEXT(J$5, "YYYY-MM-DD") &amp; "))) for('"&amp;$B357&amp;"')")</f>
        <v>#REF!</v>
      </c>
      <c r="K357" s="335" t="e">
        <f>_xll.BQL.QUERY("get(avg(px_last(start=" &amp; TEXT(#REF!, "YYYY-MM-DD") &amp; ", end=" &amp; TEXT(K$5, "YYYY-MM-DD") &amp; "))) for('"&amp;$B357&amp;"')")</f>
        <v>#REF!</v>
      </c>
      <c r="L357" s="335">
        <f>_xll.BQL.QUERY("get(avg(px_last(start=" &amp; TEXT(K$5, "YYYY-MM-DD") &amp; ", end=" &amp; TEXT(L$5, "YYYY-MM-DD") &amp; "))) for('"&amp;$B357&amp;"')")</f>
        <v>163.19999999999999</v>
      </c>
      <c r="M357" s="335">
        <f>_xll.BQL.QUERY("get(avg(px_last(start=" &amp; TEXT(L$5, "YYYY-MM-DD") &amp; ", end=" &amp; TEXT(M$5, "YYYY-MM-DD") &amp; "))) for('"&amp;$B357&amp;"')")</f>
        <v>166.82499999999999</v>
      </c>
      <c r="N357" s="335">
        <f>_xll.BQL.QUERY("get(avg(px_last(start=" &amp; TEXT(M$5, "YYYY-MM-DD") &amp; ", end=" &amp; TEXT(N$5, "YYYY-MM-DD") &amp; "))) for('"&amp;$B357&amp;"')")</f>
        <v>170.9</v>
      </c>
      <c r="O357" s="475" t="e">
        <f>_xll.BQL.QUERY("get(avg(px_last(start=" &amp; TEXT(#REF!, "YYYY-MM-DD") &amp; ", end=" &amp; TEXT(O$5, "YYYY-MM-DD") &amp; "))) for('"&amp;$B357&amp;"')")</f>
        <v>#REF!</v>
      </c>
      <c r="P357" s="335">
        <f>_xll.BQL.QUERY("get(avg(px_last(start=" &amp; TEXT(O$5, "YYYY-MM-DD") &amp; ", end=" &amp; TEXT(P$5, "YYYY-MM-DD") &amp; "))) for('"&amp;$B357&amp;"')")</f>
        <v>172.8</v>
      </c>
      <c r="Q357" s="335">
        <f>_xll.BQL.QUERY("get(avg(px_last(start=" &amp; TEXT(P$5, "YYYY-MM-DD") &amp; ", end=" &amp; TEXT(Q$5, "YYYY-MM-DD") &amp; "))) for('"&amp;$B357&amp;"')")</f>
        <v>174.82499999999999</v>
      </c>
      <c r="R357" s="335">
        <f>_xll.BQL.QUERY("get(avg(px_last(start=" &amp; TEXT(Q$5, "YYYY-MM-DD") &amp; ", end=" &amp; TEXT(R$5, "YYYY-MM-DD") &amp; "))) for('"&amp;$B357&amp;"')")</f>
        <v>177.07499999999999</v>
      </c>
      <c r="S357" s="335">
        <f>_xll.BQL.QUERY("get(avg(px_last(start=" &amp; TEXT(R$5, "YYYY-MM-DD") &amp; ", end=" &amp; TEXT(S$5, "YYYY-MM-DD") &amp; "))) for('"&amp;$B357&amp;"')")</f>
        <v>179.32499999999999</v>
      </c>
      <c r="T357" s="475">
        <f>_xll.BQL.QUERY("get(avg(px_last(start=" &amp; TEXT(O$5, "YYYY-MM-DD") &amp; ", end=" &amp; TEXT(T$5, "YYYY-MM-DD") &amp; "))) for('"&amp;$B357&amp;"')")</f>
        <v>176.1076923076923</v>
      </c>
      <c r="U357" s="335">
        <f>_xll.BQL.QUERY("get(avg(px_last(start=" &amp; TEXT(T$5, "YYYY-MM-DD") &amp; ", end=" &amp; TEXT(U$5, "YYYY-MM-DD") &amp; "))) for('"&amp;$B357&amp;"')")</f>
        <v>180.54999999999998</v>
      </c>
      <c r="V357" s="335">
        <f>_xll.BQL.QUERY("get(avg(px_last(start=" &amp; TEXT(U$5, "YYYY-MM-DD") &amp; ", end=" &amp; TEXT(V$5, "YYYY-MM-DD") &amp; "))) for('"&amp;$B357&amp;"')")</f>
        <v>185.32499999999999</v>
      </c>
      <c r="W357" s="335">
        <f>_xll.BQL.QUERY("get(avg(px_last(start=" &amp; TEXT(V$5, "YYYY-MM-DD") &amp; ", end=" &amp; TEXT(W$5, "YYYY-MM-DD") &amp; "))) for('"&amp;$B357&amp;"')")</f>
        <v>190.375</v>
      </c>
      <c r="X357" s="335">
        <f>_xll.BQL.QUERY("get(avg(px_last(start=" &amp; TEXT(W$5, "YYYY-MM-DD") &amp; ", end=" &amp; TEXT(X$5, "YYYY-MM-DD") &amp; "))) for('"&amp;$B357&amp;"')")</f>
        <v>192.02500000000001</v>
      </c>
      <c r="Y357" s="475">
        <f>_xll.BQL.QUERY("get(avg(px_last(start=" &amp; TEXT(T$5, "YYYY-MM-DD") &amp; ", end=" &amp; TEXT(Y$5, "YYYY-MM-DD") &amp; "))) for('"&amp;$B357&amp;"')")</f>
        <v>187.05384615384614</v>
      </c>
      <c r="Z357" s="335">
        <f>_xll.BQL.QUERY("get(avg(px_last(start=" &amp; TEXT(Y$5, "YYYY-MM-DD") &amp; ", end=" &amp; TEXT(Z$5, "YYYY-MM-DD") &amp; "))) for('"&amp;$B357&amp;"')")</f>
        <v>192.97499999999999</v>
      </c>
      <c r="AA357" s="335">
        <f>_xll.BQL.QUERY("get(avg(px_last(start=" &amp; TEXT(Z$5, "YYYY-MM-DD") &amp; ", end=" &amp; TEXT(AA$5, "YYYY-MM-DD") &amp; "))) for('"&amp;$B357&amp;"')")</f>
        <v>193.95</v>
      </c>
      <c r="AB357" s="335">
        <f>_xll.BQL.QUERY("get(avg(px_last(start=" &amp; TEXT(AA$5, "YYYY-MM-DD") &amp; ", end=" &amp; TEXT(AB$5, "YYYY-MM-DD") &amp; "))) for('"&amp;$B357&amp;"')")</f>
        <v>195.1</v>
      </c>
      <c r="AC357" s="335">
        <f>_xll.BQL.QUERY("get(avg(px_last(start=" &amp; TEXT(AB$5, "YYYY-MM-DD") &amp; ", end=" &amp; TEXT(AC$5, "YYYY-MM-DD") &amp; "))) for('"&amp;$B357&amp;"')")</f>
        <v>195.85000000000002</v>
      </c>
      <c r="AD357" s="540">
        <f>_xll.BQL.QUERY("get(avg(px_last(start=" &amp; TEXT(Y$5, "YYYY-MM-DD") &amp; ", end=" &amp; TEXT(AD$5, "YYYY-MM-DD") &amp; "))) for('"&amp;$B357&amp;"')")</f>
        <v>194.19090909090909</v>
      </c>
      <c r="AE357" s="335" t="str">
        <f>_xll.BQL.QUERY("get(avg(px_last(start=" &amp; TEXT(AD$5, "YYYY-MM-DD") &amp; ", end=" &amp; TEXT(AE$5, "YYYY-MM-DD") &amp; "))) for('"&amp;$B357&amp;"')")</f>
        <v>#N/A</v>
      </c>
      <c r="AF357" s="335" t="str">
        <f>_xll.BQL.QUERY("get(avg(px_last(start=" &amp; TEXT(AE$5, "YYYY-MM-DD") &amp; ", end=" &amp; TEXT(AF$5, "YYYY-MM-DD") &amp; "))) for('"&amp;$B357&amp;"')")</f>
        <v>#N/A</v>
      </c>
      <c r="AG357" s="335" t="str">
        <f>_xll.BQL.QUERY("get(avg(px_last(start=" &amp; TEXT(AF$5, "YYYY-MM-DD") &amp; ", end=" &amp; TEXT(AG$5, "YYYY-MM-DD") &amp; "))) for('"&amp;$B357&amp;"')")</f>
        <v>#N/A</v>
      </c>
      <c r="AH357" s="414"/>
      <c r="AI357" s="422"/>
      <c r="AJ357" s="414"/>
      <c r="AK357" s="414"/>
      <c r="AL357" s="414"/>
      <c r="AM357" s="414"/>
      <c r="AN357" s="422"/>
      <c r="AO357" s="280"/>
      <c r="AP357" s="280"/>
      <c r="AQ357" s="280"/>
      <c r="AR357" s="280"/>
      <c r="AS357" s="320"/>
      <c r="AT357" s="315"/>
      <c r="AU357" s="508"/>
      <c r="AV357" s="143"/>
      <c r="AW357" s="143"/>
      <c r="AX357" s="143"/>
      <c r="AY357" s="143"/>
      <c r="AZ357" s="143"/>
      <c r="BA357" s="143"/>
      <c r="BB357" s="143"/>
      <c r="BC357" s="143"/>
      <c r="BD357" s="143"/>
      <c r="BE357" s="143"/>
      <c r="BF357" s="143"/>
      <c r="BG357" s="143"/>
      <c r="BH357" s="143"/>
      <c r="BI357" s="143"/>
      <c r="BJ357" s="143"/>
      <c r="BK357" s="143"/>
      <c r="BL357" s="143"/>
      <c r="BM357" s="143"/>
      <c r="BN357" s="143"/>
      <c r="BO357" s="143"/>
      <c r="BP357" s="143"/>
      <c r="BQ357" s="143"/>
      <c r="BR357" s="143"/>
      <c r="BS357" s="143"/>
      <c r="BT357" s="143"/>
      <c r="BU357" s="143"/>
      <c r="BV357" s="143"/>
      <c r="BW357" s="143"/>
      <c r="BX357" s="143"/>
      <c r="BY357" s="143"/>
      <c r="BZ357" s="143"/>
      <c r="CA357" s="143"/>
      <c r="CB357" s="143"/>
      <c r="CC357" s="143"/>
      <c r="CD357" s="143"/>
      <c r="CE357" s="143"/>
      <c r="CF357" s="143"/>
      <c r="CG357" s="143"/>
      <c r="CH357" s="143"/>
      <c r="CI357" s="143"/>
      <c r="CJ357" s="143"/>
      <c r="CK357" s="143"/>
      <c r="CL357" s="143"/>
      <c r="CM357" s="143"/>
      <c r="CN357" s="143"/>
      <c r="CO357" s="143"/>
      <c r="CP357" s="143"/>
      <c r="CQ357" s="143"/>
      <c r="CR357" s="143"/>
      <c r="CS357" s="143"/>
      <c r="CT357" s="143"/>
      <c r="CU357" s="143"/>
      <c r="CV357" s="143"/>
      <c r="CW357" s="143"/>
      <c r="CX357" s="143"/>
      <c r="CY357" s="143"/>
      <c r="CZ357" s="143"/>
      <c r="DA357" s="143"/>
      <c r="DB357" s="143"/>
      <c r="DC357" s="143"/>
      <c r="DD357" s="143"/>
      <c r="DE357" s="143"/>
      <c r="DF357" s="143"/>
      <c r="DG357" s="143"/>
      <c r="DH357" s="143"/>
      <c r="DI357" s="143"/>
      <c r="DJ357" s="143"/>
      <c r="DK357" s="143"/>
      <c r="DL357" s="143"/>
      <c r="DM357" s="143"/>
      <c r="DN357" s="143"/>
      <c r="DO357" s="143"/>
      <c r="DP357" s="143"/>
      <c r="DQ357" s="143"/>
      <c r="DR357" s="143"/>
      <c r="DS357" s="143"/>
      <c r="DT357" s="143"/>
      <c r="DU357" s="143"/>
      <c r="DV357" s="143"/>
      <c r="DW357" s="143"/>
      <c r="DX357" s="143"/>
      <c r="DY357" s="143"/>
      <c r="DZ357" s="143"/>
      <c r="EA357" s="143"/>
      <c r="EB357" s="143"/>
      <c r="EC357" s="143"/>
      <c r="ED357" s="143"/>
      <c r="EE357" s="143"/>
      <c r="EF357" s="143"/>
      <c r="EG357" s="143"/>
      <c r="EH357" s="143"/>
      <c r="EI357" s="143"/>
      <c r="EJ357" s="143"/>
      <c r="EK357" s="143"/>
      <c r="EL357" s="143"/>
      <c r="EM357" s="143"/>
      <c r="EN357" s="143"/>
      <c r="EO357" s="143"/>
      <c r="EP357" s="143"/>
      <c r="EQ357" s="143"/>
      <c r="ER357" s="143"/>
      <c r="ES357" s="143"/>
      <c r="ET357" s="143"/>
      <c r="EU357" s="143"/>
      <c r="EV357" s="143"/>
      <c r="EW357" s="143"/>
      <c r="EX357" s="143"/>
      <c r="EY357" s="143"/>
      <c r="EZ357" s="143"/>
      <c r="FA357" s="143"/>
      <c r="FB357" s="143"/>
      <c r="FC357" s="143"/>
      <c r="FD357" s="143"/>
      <c r="FE357" s="143"/>
      <c r="FF357" s="143"/>
      <c r="FG357" s="143"/>
      <c r="FH357" s="143"/>
      <c r="FI357" s="143"/>
      <c r="FJ357" s="143"/>
      <c r="FK357" s="143"/>
      <c r="FL357" s="143"/>
      <c r="FM357" s="143"/>
      <c r="FN357" s="143"/>
      <c r="FO357" s="143"/>
      <c r="FP357" s="143"/>
      <c r="FQ357" s="143"/>
      <c r="FR357" s="143"/>
      <c r="FS357" s="143"/>
      <c r="FT357" s="143"/>
      <c r="FU357" s="143"/>
      <c r="FV357" s="143"/>
      <c r="FW357" s="143"/>
      <c r="FX357" s="143"/>
      <c r="FY357" s="143"/>
      <c r="FZ357" s="143"/>
      <c r="GA357" s="143"/>
      <c r="GB357" s="143"/>
      <c r="GC357" s="143"/>
      <c r="GD357" s="143"/>
      <c r="GE357" s="143"/>
      <c r="GF357" s="143"/>
      <c r="GG357" s="143"/>
      <c r="GH357" s="143"/>
      <c r="GI357" s="143"/>
      <c r="GJ357" s="143"/>
      <c r="GK357" s="143"/>
      <c r="GL357" s="143"/>
      <c r="GM357" s="143"/>
      <c r="GN357" s="143"/>
      <c r="GO357" s="143"/>
      <c r="GP357" s="143"/>
      <c r="GQ357" s="143"/>
      <c r="GR357" s="143"/>
      <c r="GS357" s="143"/>
      <c r="GT357" s="143"/>
      <c r="GU357" s="143"/>
      <c r="GV357" s="143"/>
      <c r="GW357" s="143"/>
      <c r="GX357" s="143"/>
      <c r="GY357" s="143"/>
      <c r="GZ357" s="143"/>
      <c r="HA357" s="143"/>
      <c r="HB357" s="143"/>
      <c r="HC357" s="143"/>
      <c r="HD357" s="143"/>
      <c r="HE357" s="143"/>
      <c r="HF357" s="143"/>
      <c r="HG357" s="143"/>
      <c r="HH357" s="143"/>
      <c r="HI357" s="143"/>
      <c r="HJ357" s="143"/>
      <c r="HK357" s="143"/>
      <c r="HL357" s="143"/>
      <c r="HM357" s="143"/>
      <c r="HN357" s="143"/>
      <c r="HO357" s="143"/>
      <c r="HP357" s="143"/>
      <c r="HQ357" s="143"/>
      <c r="HR357" s="143"/>
      <c r="HS357" s="143"/>
      <c r="HT357" s="143"/>
      <c r="HU357" s="143"/>
      <c r="HV357" s="143"/>
      <c r="HW357" s="143"/>
      <c r="HX357" s="143"/>
      <c r="HY357" s="143"/>
      <c r="HZ357" s="143"/>
      <c r="IA357" s="143"/>
      <c r="IB357" s="143"/>
      <c r="IC357" s="143"/>
      <c r="ID357" s="143"/>
      <c r="IE357" s="143"/>
      <c r="IF357" s="143"/>
      <c r="IG357" s="143"/>
      <c r="IH357" s="143"/>
      <c r="II357" s="143"/>
      <c r="IJ357" s="143"/>
      <c r="IK357" s="143"/>
      <c r="IL357" s="143"/>
      <c r="IM357" s="143"/>
      <c r="IN357" s="143"/>
      <c r="IO357" s="143"/>
      <c r="IP357" s="143"/>
      <c r="IQ357" s="143"/>
      <c r="IR357" s="143"/>
      <c r="IS357" s="143"/>
      <c r="IT357" s="143"/>
      <c r="IU357" s="143"/>
      <c r="IV357" s="143"/>
      <c r="IW357" s="143"/>
      <c r="IX357" s="143"/>
      <c r="IY357" s="143"/>
      <c r="IZ357" s="143"/>
      <c r="JA357" s="143"/>
      <c r="JB357" s="143"/>
      <c r="JC357" s="143"/>
      <c r="JD357" s="143"/>
      <c r="JE357" s="143"/>
      <c r="JF357" s="143"/>
      <c r="JG357" s="143"/>
      <c r="JH357" s="143"/>
      <c r="JI357" s="143"/>
    </row>
    <row r="358" spans="1:269" hidden="1" outlineLevel="1">
      <c r="A358" s="437" t="s">
        <v>208</v>
      </c>
      <c r="B358" s="143"/>
      <c r="C358" s="417" t="e">
        <f>C357/#REF!-1</f>
        <v>#REF!</v>
      </c>
      <c r="D358" s="417" t="e">
        <f>D357/#REF!-1</f>
        <v>#REF!</v>
      </c>
      <c r="E358" s="417" t="e">
        <f>E357/#REF!-1</f>
        <v>#REF!</v>
      </c>
      <c r="F358" s="414" t="e">
        <f>F357/#REF!-1</f>
        <v>#REF!</v>
      </c>
      <c r="G358" s="414" t="e">
        <f>G357/#REF!-1</f>
        <v>#REF!</v>
      </c>
      <c r="H358" s="414" t="e">
        <f>H357/#REF!-1</f>
        <v>#REF!</v>
      </c>
      <c r="I358" s="414" t="e">
        <f>I357/#REF!-1</f>
        <v>#REF!</v>
      </c>
      <c r="J358" s="417" t="e">
        <f>J357/#REF!-1</f>
        <v>#REF!</v>
      </c>
      <c r="K358" s="414" t="e">
        <f>K357/#REF!-1</f>
        <v>#REF!</v>
      </c>
      <c r="L358" s="414" t="e">
        <f>L357/#REF!-1</f>
        <v>#REF!</v>
      </c>
      <c r="M358" s="414" t="e">
        <f>M357/#REF!-1</f>
        <v>#REF!</v>
      </c>
      <c r="N358" s="414" t="e">
        <f>N357/#REF!-1</f>
        <v>#REF!</v>
      </c>
      <c r="O358" s="417" t="e">
        <f>O357/#REF!-1</f>
        <v>#REF!</v>
      </c>
      <c r="P358" s="414" t="e">
        <f t="shared" ref="P358" si="695">P357/K357-1</f>
        <v>#REF!</v>
      </c>
      <c r="Q358" s="414">
        <f t="shared" ref="Q358" si="696">Q357/L357-1</f>
        <v>7.1231617647058876E-2</v>
      </c>
      <c r="R358" s="414">
        <f t="shared" ref="R358" si="697">R357/M357-1</f>
        <v>6.1441630451071427E-2</v>
      </c>
      <c r="S358" s="414">
        <f t="shared" ref="S358" si="698">S357/N357-1</f>
        <v>4.9297834991222755E-2</v>
      </c>
      <c r="T358" s="417" t="e">
        <f t="shared" ref="T358" si="699">T357/O357-1</f>
        <v>#REF!</v>
      </c>
      <c r="U358" s="414">
        <f t="shared" ref="U358" si="700">U357/P357-1</f>
        <v>4.4849537037036979E-2</v>
      </c>
      <c r="V358" s="414">
        <f t="shared" ref="V358" si="701">V357/Q357-1</f>
        <v>6.0060060060060039E-2</v>
      </c>
      <c r="W358" s="414">
        <f t="shared" ref="W358" si="702">W357/R357-1</f>
        <v>7.5109416913737181E-2</v>
      </c>
      <c r="X358" s="414">
        <f t="shared" ref="X358" si="703">X357/S357-1</f>
        <v>7.0821134811097197E-2</v>
      </c>
      <c r="Y358" s="417">
        <f t="shared" ref="Y358" si="704">Y357/T357-1</f>
        <v>6.2156023412247574E-2</v>
      </c>
      <c r="Z358" s="414">
        <f t="shared" ref="Z358" si="705">Z357/U357-1</f>
        <v>6.8817502076987003E-2</v>
      </c>
      <c r="AA358" s="414">
        <f t="shared" ref="AA358" si="706">AA357/V357-1</f>
        <v>4.6539862403885079E-2</v>
      </c>
      <c r="AB358" s="414">
        <f t="shared" ref="AB358" si="707">AB357/W357-1</f>
        <v>2.4819435325016403E-2</v>
      </c>
      <c r="AC358" s="414">
        <f t="shared" ref="AC358" si="708">AC357/X357-1</f>
        <v>1.9919281343575124E-2</v>
      </c>
      <c r="AD358" s="422">
        <f t="shared" ref="AD358" si="709">AD357/Y357-1</f>
        <v>3.8155125295808778E-2</v>
      </c>
      <c r="AE358" s="414" t="e">
        <f t="shared" ref="AE358" si="710">AE357/Z357-1</f>
        <v>#VALUE!</v>
      </c>
      <c r="AF358" s="414" t="e">
        <f t="shared" ref="AF358" si="711">AF357/AA357-1</f>
        <v>#VALUE!</v>
      </c>
      <c r="AG358" s="414" t="e">
        <f t="shared" ref="AG358" si="712">AG357/AB357-1</f>
        <v>#VALUE!</v>
      </c>
      <c r="AH358" s="414"/>
      <c r="AI358" s="422"/>
      <c r="AJ358" s="414"/>
      <c r="AK358" s="414"/>
      <c r="AL358" s="414"/>
      <c r="AM358" s="414"/>
      <c r="AN358" s="422"/>
      <c r="AO358" s="280"/>
      <c r="AP358" s="280"/>
      <c r="AQ358" s="280"/>
      <c r="AR358" s="280"/>
      <c r="AS358" s="320"/>
      <c r="AT358" s="315"/>
      <c r="AU358" s="508"/>
      <c r="AV358" s="143"/>
      <c r="AW358" s="143"/>
      <c r="AX358" s="143"/>
      <c r="AY358" s="143"/>
      <c r="AZ358" s="143"/>
      <c r="BA358" s="143"/>
      <c r="BB358" s="143"/>
      <c r="BC358" s="143"/>
      <c r="BD358" s="143"/>
      <c r="BE358" s="143"/>
      <c r="BF358" s="143"/>
      <c r="BG358" s="143"/>
      <c r="BH358" s="143"/>
      <c r="BI358" s="143"/>
      <c r="BJ358" s="143"/>
      <c r="BK358" s="143"/>
      <c r="BL358" s="143"/>
      <c r="BM358" s="143"/>
      <c r="BN358" s="143"/>
      <c r="BO358" s="143"/>
      <c r="BP358" s="143"/>
      <c r="BQ358" s="143"/>
      <c r="BR358" s="143"/>
      <c r="BS358" s="143"/>
      <c r="BT358" s="143"/>
      <c r="BU358" s="143"/>
      <c r="BV358" s="143"/>
      <c r="BW358" s="143"/>
      <c r="BX358" s="143"/>
      <c r="BY358" s="143"/>
      <c r="BZ358" s="143"/>
      <c r="CA358" s="143"/>
      <c r="CB358" s="143"/>
      <c r="CC358" s="143"/>
      <c r="CD358" s="143"/>
      <c r="CE358" s="143"/>
      <c r="CF358" s="143"/>
      <c r="CG358" s="143"/>
      <c r="CH358" s="143"/>
      <c r="CI358" s="143"/>
      <c r="CJ358" s="143"/>
      <c r="CK358" s="143"/>
      <c r="CL358" s="143"/>
      <c r="CM358" s="143"/>
      <c r="CN358" s="143"/>
      <c r="CO358" s="143"/>
      <c r="CP358" s="143"/>
      <c r="CQ358" s="143"/>
      <c r="CR358" s="143"/>
      <c r="CS358" s="143"/>
      <c r="CT358" s="143"/>
      <c r="CU358" s="143"/>
      <c r="CV358" s="143"/>
      <c r="CW358" s="143"/>
      <c r="CX358" s="143"/>
      <c r="CY358" s="143"/>
      <c r="CZ358" s="143"/>
      <c r="DA358" s="143"/>
      <c r="DB358" s="143"/>
      <c r="DC358" s="143"/>
      <c r="DD358" s="143"/>
      <c r="DE358" s="143"/>
      <c r="DF358" s="143"/>
      <c r="DG358" s="143"/>
      <c r="DH358" s="143"/>
      <c r="DI358" s="143"/>
      <c r="DJ358" s="143"/>
      <c r="DK358" s="143"/>
      <c r="DL358" s="143"/>
      <c r="DM358" s="143"/>
      <c r="DN358" s="143"/>
      <c r="DO358" s="143"/>
      <c r="DP358" s="143"/>
      <c r="DQ358" s="143"/>
      <c r="DR358" s="143"/>
      <c r="DS358" s="143"/>
      <c r="DT358" s="143"/>
      <c r="DU358" s="143"/>
      <c r="DV358" s="143"/>
      <c r="DW358" s="143"/>
      <c r="DX358" s="143"/>
      <c r="DY358" s="143"/>
      <c r="DZ358" s="143"/>
      <c r="EA358" s="143"/>
      <c r="EB358" s="143"/>
      <c r="EC358" s="143"/>
      <c r="ED358" s="143"/>
      <c r="EE358" s="143"/>
      <c r="EF358" s="143"/>
      <c r="EG358" s="143"/>
      <c r="EH358" s="143"/>
      <c r="EI358" s="143"/>
      <c r="EJ358" s="143"/>
      <c r="EK358" s="143"/>
      <c r="EL358" s="143"/>
      <c r="EM358" s="143"/>
      <c r="EN358" s="143"/>
      <c r="EO358" s="143"/>
      <c r="EP358" s="143"/>
      <c r="EQ358" s="143"/>
      <c r="ER358" s="143"/>
      <c r="ES358" s="143"/>
      <c r="ET358" s="143"/>
      <c r="EU358" s="143"/>
      <c r="EV358" s="143"/>
      <c r="EW358" s="143"/>
      <c r="EX358" s="143"/>
      <c r="EY358" s="143"/>
      <c r="EZ358" s="143"/>
      <c r="FA358" s="143"/>
      <c r="FB358" s="143"/>
      <c r="FC358" s="143"/>
      <c r="FD358" s="143"/>
      <c r="FE358" s="143"/>
      <c r="FF358" s="143"/>
      <c r="FG358" s="143"/>
      <c r="FH358" s="143"/>
      <c r="FI358" s="143"/>
      <c r="FJ358" s="143"/>
      <c r="FK358" s="143"/>
      <c r="FL358" s="143"/>
      <c r="FM358" s="143"/>
      <c r="FN358" s="143"/>
      <c r="FO358" s="143"/>
      <c r="FP358" s="143"/>
      <c r="FQ358" s="143"/>
      <c r="FR358" s="143"/>
      <c r="FS358" s="143"/>
      <c r="FT358" s="143"/>
      <c r="FU358" s="143"/>
      <c r="FV358" s="143"/>
      <c r="FW358" s="143"/>
      <c r="FX358" s="143"/>
      <c r="FY358" s="143"/>
      <c r="FZ358" s="143"/>
      <c r="GA358" s="143"/>
      <c r="GB358" s="143"/>
      <c r="GC358" s="143"/>
      <c r="GD358" s="143"/>
      <c r="GE358" s="143"/>
      <c r="GF358" s="143"/>
      <c r="GG358" s="143"/>
      <c r="GH358" s="143"/>
      <c r="GI358" s="143"/>
      <c r="GJ358" s="143"/>
      <c r="GK358" s="143"/>
      <c r="GL358" s="143"/>
      <c r="GM358" s="143"/>
      <c r="GN358" s="143"/>
      <c r="GO358" s="143"/>
      <c r="GP358" s="143"/>
      <c r="GQ358" s="143"/>
      <c r="GR358" s="143"/>
      <c r="GS358" s="143"/>
      <c r="GT358" s="143"/>
      <c r="GU358" s="143"/>
      <c r="GV358" s="143"/>
      <c r="GW358" s="143"/>
      <c r="GX358" s="143"/>
      <c r="GY358" s="143"/>
      <c r="GZ358" s="143"/>
      <c r="HA358" s="143"/>
      <c r="HB358" s="143"/>
      <c r="HC358" s="143"/>
      <c r="HD358" s="143"/>
      <c r="HE358" s="143"/>
      <c r="HF358" s="143"/>
      <c r="HG358" s="143"/>
      <c r="HH358" s="143"/>
      <c r="HI358" s="143"/>
      <c r="HJ358" s="143"/>
      <c r="HK358" s="143"/>
      <c r="HL358" s="143"/>
      <c r="HM358" s="143"/>
      <c r="HN358" s="143"/>
      <c r="HO358" s="143"/>
      <c r="HP358" s="143"/>
      <c r="HQ358" s="143"/>
      <c r="HR358" s="143"/>
      <c r="HS358" s="143"/>
      <c r="HT358" s="143"/>
      <c r="HU358" s="143"/>
      <c r="HV358" s="143"/>
      <c r="HW358" s="143"/>
      <c r="HX358" s="143"/>
      <c r="HY358" s="143"/>
      <c r="HZ358" s="143"/>
      <c r="IA358" s="143"/>
      <c r="IB358" s="143"/>
      <c r="IC358" s="143"/>
      <c r="ID358" s="143"/>
      <c r="IE358" s="143"/>
      <c r="IF358" s="143"/>
      <c r="IG358" s="143"/>
      <c r="IH358" s="143"/>
      <c r="II358" s="143"/>
      <c r="IJ358" s="143"/>
      <c r="IK358" s="143"/>
      <c r="IL358" s="143"/>
      <c r="IM358" s="143"/>
      <c r="IN358" s="143"/>
      <c r="IO358" s="143"/>
      <c r="IP358" s="143"/>
      <c r="IQ358" s="143"/>
      <c r="IR358" s="143"/>
      <c r="IS358" s="143"/>
      <c r="IT358" s="143"/>
      <c r="IU358" s="143"/>
      <c r="IV358" s="143"/>
      <c r="IW358" s="143"/>
      <c r="IX358" s="143"/>
      <c r="IY358" s="143"/>
      <c r="IZ358" s="143"/>
      <c r="JA358" s="143"/>
      <c r="JB358" s="143"/>
      <c r="JC358" s="143"/>
      <c r="JD358" s="143"/>
      <c r="JE358" s="143"/>
      <c r="JF358" s="143"/>
      <c r="JG358" s="143"/>
      <c r="JH358" s="143"/>
      <c r="JI358" s="143"/>
    </row>
    <row r="359" spans="1:269" hidden="1" outlineLevel="1">
      <c r="A359" s="437" t="s">
        <v>207</v>
      </c>
      <c r="B359" s="143"/>
      <c r="C359" s="417" t="e">
        <f>C357/#REF!-1</f>
        <v>#REF!</v>
      </c>
      <c r="D359" s="417" t="e">
        <f>D357/#REF!-1</f>
        <v>#REF!</v>
      </c>
      <c r="E359" s="417" t="e">
        <f>E357/#REF!-1</f>
        <v>#REF!</v>
      </c>
      <c r="F359" s="414" t="e">
        <f>F357/#REF!-1</f>
        <v>#REF!</v>
      </c>
      <c r="G359" s="414" t="e">
        <f>G357/#REF!-1</f>
        <v>#REF!</v>
      </c>
      <c r="H359" s="414" t="e">
        <f>H357/#REF!-1</f>
        <v>#REF!</v>
      </c>
      <c r="I359" s="414" t="e">
        <f>I357/#REF!-1</f>
        <v>#REF!</v>
      </c>
      <c r="J359" s="417" t="e">
        <f>J357/#REF!-1</f>
        <v>#REF!</v>
      </c>
      <c r="K359" s="414" t="e">
        <f>K357/#REF!-1</f>
        <v>#REF!</v>
      </c>
      <c r="L359" s="414" t="e">
        <f>L357/#REF!-1</f>
        <v>#REF!</v>
      </c>
      <c r="M359" s="414" t="e">
        <f>M357/#REF!-1</f>
        <v>#REF!</v>
      </c>
      <c r="N359" s="414" t="e">
        <f>N357/#REF!-1</f>
        <v>#REF!</v>
      </c>
      <c r="O359" s="417" t="e">
        <f>O357/#REF!-1</f>
        <v>#REF!</v>
      </c>
      <c r="P359" s="414" t="e">
        <f>P357/#REF!-1</f>
        <v>#REF!</v>
      </c>
      <c r="Q359" s="414" t="e">
        <f>Q357/#REF!-1</f>
        <v>#REF!</v>
      </c>
      <c r="R359" s="414" t="e">
        <f>R357/#REF!-1</f>
        <v>#REF!</v>
      </c>
      <c r="S359" s="414" t="e">
        <f>S357/#REF!-1</f>
        <v>#REF!</v>
      </c>
      <c r="T359" s="417" t="e">
        <f>T357/#REF!-1</f>
        <v>#REF!</v>
      </c>
      <c r="U359" s="414" t="e">
        <f>U357/#REF!-1</f>
        <v>#REF!</v>
      </c>
      <c r="V359" s="414" t="e">
        <f>V357/#REF!-1</f>
        <v>#REF!</v>
      </c>
      <c r="W359" s="414" t="e">
        <f>W357/#REF!-1</f>
        <v>#REF!</v>
      </c>
      <c r="X359" s="414" t="e">
        <f>X357/#REF!-1</f>
        <v>#REF!</v>
      </c>
      <c r="Y359" s="417" t="e">
        <f>Y357/#REF!-1</f>
        <v>#REF!</v>
      </c>
      <c r="Z359" s="414" t="e">
        <f>Z357/#REF!-1</f>
        <v>#REF!</v>
      </c>
      <c r="AA359" s="414" t="e">
        <f>AA357/#REF!-1</f>
        <v>#REF!</v>
      </c>
      <c r="AB359" s="414" t="e">
        <f>AB357/#REF!-1</f>
        <v>#REF!</v>
      </c>
      <c r="AC359" s="414" t="e">
        <f>AC357/#REF!-1</f>
        <v>#REF!</v>
      </c>
      <c r="AD359" s="422" t="e">
        <f>AD357/#REF!-1</f>
        <v>#REF!</v>
      </c>
      <c r="AE359" s="521" t="e">
        <f>AE357/#REF!-1</f>
        <v>#VALUE!</v>
      </c>
      <c r="AF359" s="414" t="e">
        <f>AF357/#REF!-1</f>
        <v>#VALUE!</v>
      </c>
      <c r="AG359" s="414" t="e">
        <f>AG357/#REF!-1</f>
        <v>#VALUE!</v>
      </c>
      <c r="AH359" s="280"/>
      <c r="AI359" s="320"/>
      <c r="AJ359" s="280"/>
      <c r="AK359" s="280"/>
      <c r="AL359" s="280"/>
      <c r="AM359" s="280"/>
      <c r="AN359" s="320"/>
      <c r="AO359" s="280"/>
      <c r="AP359" s="280"/>
      <c r="AQ359" s="280"/>
      <c r="AR359" s="280"/>
      <c r="AS359" s="320"/>
      <c r="AT359" s="315"/>
      <c r="AU359" s="508"/>
      <c r="AV359" s="143"/>
      <c r="AW359" s="143"/>
      <c r="AX359" s="143"/>
      <c r="AY359" s="143"/>
      <c r="AZ359" s="143"/>
      <c r="BA359" s="143"/>
      <c r="BB359" s="143"/>
      <c r="BC359" s="143"/>
      <c r="BD359" s="143"/>
      <c r="BE359" s="143"/>
      <c r="BF359" s="143"/>
      <c r="BG359" s="143"/>
      <c r="BH359" s="143"/>
      <c r="BI359" s="143"/>
      <c r="BJ359" s="143"/>
      <c r="BK359" s="143"/>
      <c r="BL359" s="143"/>
      <c r="BM359" s="143"/>
      <c r="BN359" s="143"/>
      <c r="BO359" s="143"/>
      <c r="BP359" s="143"/>
      <c r="BQ359" s="143"/>
      <c r="BR359" s="143"/>
      <c r="BS359" s="143"/>
      <c r="BT359" s="143"/>
      <c r="BU359" s="143"/>
      <c r="BV359" s="143"/>
      <c r="BW359" s="143"/>
      <c r="BX359" s="143"/>
      <c r="BY359" s="143"/>
      <c r="BZ359" s="143"/>
      <c r="CA359" s="143"/>
      <c r="CB359" s="143"/>
      <c r="CC359" s="143"/>
      <c r="CD359" s="143"/>
      <c r="CE359" s="143"/>
      <c r="CF359" s="143"/>
      <c r="CG359" s="143"/>
      <c r="CH359" s="143"/>
      <c r="CI359" s="143"/>
      <c r="CJ359" s="143"/>
      <c r="CK359" s="143"/>
      <c r="CL359" s="143"/>
      <c r="CM359" s="143"/>
      <c r="CN359" s="143"/>
      <c r="CO359" s="143"/>
      <c r="CP359" s="143"/>
      <c r="CQ359" s="143"/>
      <c r="CR359" s="143"/>
      <c r="CS359" s="143"/>
      <c r="CT359" s="143"/>
      <c r="CU359" s="143"/>
      <c r="CV359" s="143"/>
      <c r="CW359" s="143"/>
      <c r="CX359" s="143"/>
      <c r="CY359" s="143"/>
      <c r="CZ359" s="143"/>
      <c r="DA359" s="143"/>
      <c r="DB359" s="143"/>
      <c r="DC359" s="143"/>
      <c r="DD359" s="143"/>
      <c r="DE359" s="143"/>
      <c r="DF359" s="143"/>
      <c r="DG359" s="143"/>
      <c r="DH359" s="143"/>
      <c r="DI359" s="143"/>
      <c r="DJ359" s="143"/>
      <c r="DK359" s="143"/>
      <c r="DL359" s="143"/>
      <c r="DM359" s="143"/>
      <c r="DN359" s="143"/>
      <c r="DO359" s="143"/>
      <c r="DP359" s="143"/>
      <c r="DQ359" s="143"/>
      <c r="DR359" s="143"/>
      <c r="DS359" s="143"/>
      <c r="DT359" s="143"/>
      <c r="DU359" s="143"/>
      <c r="DV359" s="143"/>
      <c r="DW359" s="143"/>
      <c r="DX359" s="143"/>
      <c r="DY359" s="143"/>
      <c r="DZ359" s="143"/>
      <c r="EA359" s="143"/>
      <c r="EB359" s="143"/>
      <c r="EC359" s="143"/>
      <c r="ED359" s="143"/>
      <c r="EE359" s="143"/>
      <c r="EF359" s="143"/>
      <c r="EG359" s="143"/>
      <c r="EH359" s="143"/>
      <c r="EI359" s="143"/>
      <c r="EJ359" s="143"/>
      <c r="EK359" s="143"/>
      <c r="EL359" s="143"/>
      <c r="EM359" s="143"/>
      <c r="EN359" s="143"/>
      <c r="EO359" s="143"/>
      <c r="EP359" s="143"/>
      <c r="EQ359" s="143"/>
      <c r="ER359" s="143"/>
      <c r="ES359" s="143"/>
      <c r="ET359" s="143"/>
      <c r="EU359" s="143"/>
      <c r="EV359" s="143"/>
      <c r="EW359" s="143"/>
      <c r="EX359" s="143"/>
      <c r="EY359" s="143"/>
      <c r="EZ359" s="143"/>
      <c r="FA359" s="143"/>
      <c r="FB359" s="143"/>
      <c r="FC359" s="143"/>
      <c r="FD359" s="143"/>
      <c r="FE359" s="143"/>
      <c r="FF359" s="143"/>
      <c r="FG359" s="143"/>
      <c r="FH359" s="143"/>
      <c r="FI359" s="143"/>
      <c r="FJ359" s="143"/>
      <c r="FK359" s="143"/>
      <c r="FL359" s="143"/>
      <c r="FM359" s="143"/>
      <c r="FN359" s="143"/>
      <c r="FO359" s="143"/>
      <c r="FP359" s="143"/>
      <c r="FQ359" s="143"/>
      <c r="FR359" s="143"/>
      <c r="FS359" s="143"/>
      <c r="FT359" s="143"/>
      <c r="FU359" s="143"/>
      <c r="FV359" s="143"/>
      <c r="FW359" s="143"/>
      <c r="FX359" s="143"/>
      <c r="FY359" s="143"/>
      <c r="FZ359" s="143"/>
      <c r="GA359" s="143"/>
      <c r="GB359" s="143"/>
      <c r="GC359" s="143"/>
      <c r="GD359" s="143"/>
      <c r="GE359" s="143"/>
      <c r="GF359" s="143"/>
      <c r="GG359" s="143"/>
      <c r="GH359" s="143"/>
      <c r="GI359" s="143"/>
      <c r="GJ359" s="143"/>
      <c r="GK359" s="143"/>
      <c r="GL359" s="143"/>
      <c r="GM359" s="143"/>
      <c r="GN359" s="143"/>
      <c r="GO359" s="143"/>
      <c r="GP359" s="143"/>
      <c r="GQ359" s="143"/>
      <c r="GR359" s="143"/>
      <c r="GS359" s="143"/>
      <c r="GT359" s="143"/>
      <c r="GU359" s="143"/>
      <c r="GV359" s="143"/>
      <c r="GW359" s="143"/>
      <c r="GX359" s="143"/>
      <c r="GY359" s="143"/>
      <c r="GZ359" s="143"/>
      <c r="HA359" s="143"/>
      <c r="HB359" s="143"/>
      <c r="HC359" s="143"/>
      <c r="HD359" s="143"/>
      <c r="HE359" s="143"/>
      <c r="HF359" s="143"/>
      <c r="HG359" s="143"/>
      <c r="HH359" s="143"/>
      <c r="HI359" s="143"/>
      <c r="HJ359" s="143"/>
      <c r="HK359" s="143"/>
      <c r="HL359" s="143"/>
      <c r="HM359" s="143"/>
      <c r="HN359" s="143"/>
      <c r="HO359" s="143"/>
      <c r="HP359" s="143"/>
      <c r="HQ359" s="143"/>
      <c r="HR359" s="143"/>
      <c r="HS359" s="143"/>
      <c r="HT359" s="143"/>
      <c r="HU359" s="143"/>
      <c r="HV359" s="143"/>
      <c r="HW359" s="143"/>
      <c r="HX359" s="143"/>
      <c r="HY359" s="143"/>
      <c r="HZ359" s="143"/>
      <c r="IA359" s="143"/>
      <c r="IB359" s="143"/>
      <c r="IC359" s="143"/>
      <c r="ID359" s="143"/>
      <c r="IE359" s="143"/>
      <c r="IF359" s="143"/>
      <c r="IG359" s="143"/>
      <c r="IH359" s="143"/>
      <c r="II359" s="143"/>
      <c r="IJ359" s="143"/>
      <c r="IK359" s="143"/>
      <c r="IL359" s="143"/>
      <c r="IM359" s="143"/>
      <c r="IN359" s="143"/>
      <c r="IO359" s="143"/>
      <c r="IP359" s="143"/>
      <c r="IQ359" s="143"/>
      <c r="IR359" s="143"/>
      <c r="IS359" s="143"/>
      <c r="IT359" s="143"/>
      <c r="IU359" s="143"/>
      <c r="IV359" s="143"/>
      <c r="IW359" s="143"/>
      <c r="IX359" s="143"/>
      <c r="IY359" s="143"/>
      <c r="IZ359" s="143"/>
      <c r="JA359" s="143"/>
      <c r="JB359" s="143"/>
      <c r="JC359" s="143"/>
      <c r="JD359" s="143"/>
      <c r="JE359" s="143"/>
      <c r="JF359" s="143"/>
      <c r="JG359" s="143"/>
      <c r="JH359" s="143"/>
      <c r="JI359" s="143"/>
    </row>
    <row r="360" spans="1:269" hidden="1" outlineLevel="1">
      <c r="A360" s="437"/>
      <c r="B360" s="143"/>
      <c r="C360" s="417"/>
      <c r="D360" s="417"/>
      <c r="E360" s="417"/>
      <c r="F360" s="414"/>
      <c r="G360" s="414"/>
      <c r="H360" s="414"/>
      <c r="I360" s="414"/>
      <c r="J360" s="417"/>
      <c r="K360" s="414"/>
      <c r="L360" s="414"/>
      <c r="M360" s="414"/>
      <c r="N360" s="414"/>
      <c r="O360" s="417"/>
      <c r="P360" s="414"/>
      <c r="Q360" s="414"/>
      <c r="R360" s="414"/>
      <c r="S360" s="414"/>
      <c r="T360" s="417"/>
      <c r="U360" s="414"/>
      <c r="V360" s="414"/>
      <c r="W360" s="414"/>
      <c r="X360" s="414"/>
      <c r="Y360" s="417"/>
      <c r="Z360" s="414"/>
      <c r="AA360" s="414"/>
      <c r="AB360" s="414"/>
      <c r="AC360" s="414"/>
      <c r="AD360" s="422"/>
      <c r="AE360" s="414"/>
      <c r="AF360" s="414"/>
      <c r="AG360" s="414"/>
      <c r="AH360" s="280"/>
      <c r="AI360" s="320"/>
      <c r="AJ360" s="280"/>
      <c r="AK360" s="280"/>
      <c r="AL360" s="280"/>
      <c r="AM360" s="280"/>
      <c r="AN360" s="320"/>
      <c r="AO360" s="280"/>
      <c r="AP360" s="280"/>
      <c r="AQ360" s="280"/>
      <c r="AR360" s="280"/>
      <c r="AS360" s="320"/>
      <c r="AT360" s="315"/>
      <c r="AU360" s="508"/>
      <c r="AV360" s="143"/>
      <c r="AW360" s="143"/>
      <c r="AX360" s="143"/>
      <c r="AY360" s="143"/>
      <c r="AZ360" s="143"/>
      <c r="BA360" s="143"/>
      <c r="BB360" s="143"/>
      <c r="BC360" s="143"/>
      <c r="BD360" s="143"/>
      <c r="BE360" s="143"/>
      <c r="BF360" s="143"/>
      <c r="BG360" s="143"/>
      <c r="BH360" s="143"/>
      <c r="BI360" s="143"/>
      <c r="BJ360" s="143"/>
      <c r="BK360" s="143"/>
      <c r="BL360" s="143"/>
      <c r="BM360" s="143"/>
      <c r="BN360" s="143"/>
      <c r="BO360" s="143"/>
      <c r="BP360" s="143"/>
      <c r="BQ360" s="143"/>
      <c r="BR360" s="143"/>
      <c r="BS360" s="143"/>
      <c r="BT360" s="143"/>
      <c r="BU360" s="143"/>
      <c r="BV360" s="143"/>
      <c r="BW360" s="143"/>
      <c r="BX360" s="143"/>
      <c r="BY360" s="143"/>
      <c r="BZ360" s="143"/>
      <c r="CA360" s="143"/>
      <c r="CB360" s="143"/>
      <c r="CC360" s="143"/>
      <c r="CD360" s="143"/>
      <c r="CE360" s="143"/>
      <c r="CF360" s="143"/>
      <c r="CG360" s="143"/>
      <c r="CH360" s="143"/>
      <c r="CI360" s="143"/>
      <c r="CJ360" s="143"/>
      <c r="CK360" s="143"/>
      <c r="CL360" s="143"/>
      <c r="CM360" s="143"/>
      <c r="CN360" s="143"/>
      <c r="CO360" s="143"/>
      <c r="CP360" s="143"/>
      <c r="CQ360" s="143"/>
      <c r="CR360" s="143"/>
      <c r="CS360" s="143"/>
      <c r="CT360" s="143"/>
      <c r="CU360" s="143"/>
      <c r="CV360" s="143"/>
      <c r="CW360" s="143"/>
      <c r="CX360" s="143"/>
      <c r="CY360" s="143"/>
      <c r="CZ360" s="143"/>
      <c r="DA360" s="143"/>
      <c r="DB360" s="143"/>
      <c r="DC360" s="143"/>
      <c r="DD360" s="143"/>
      <c r="DE360" s="143"/>
      <c r="DF360" s="143"/>
      <c r="DG360" s="143"/>
      <c r="DH360" s="143"/>
      <c r="DI360" s="143"/>
      <c r="DJ360" s="143"/>
      <c r="DK360" s="143"/>
      <c r="DL360" s="143"/>
      <c r="DM360" s="143"/>
      <c r="DN360" s="143"/>
      <c r="DO360" s="143"/>
      <c r="DP360" s="143"/>
      <c r="DQ360" s="143"/>
      <c r="DR360" s="143"/>
      <c r="DS360" s="143"/>
      <c r="DT360" s="143"/>
      <c r="DU360" s="143"/>
      <c r="DV360" s="143"/>
      <c r="DW360" s="143"/>
      <c r="DX360" s="143"/>
      <c r="DY360" s="143"/>
      <c r="DZ360" s="143"/>
      <c r="EA360" s="143"/>
      <c r="EB360" s="143"/>
      <c r="EC360" s="143"/>
      <c r="ED360" s="143"/>
      <c r="EE360" s="143"/>
      <c r="EF360" s="143"/>
      <c r="EG360" s="143"/>
      <c r="EH360" s="143"/>
      <c r="EI360" s="143"/>
      <c r="EJ360" s="143"/>
      <c r="EK360" s="143"/>
      <c r="EL360" s="143"/>
      <c r="EM360" s="143"/>
      <c r="EN360" s="143"/>
      <c r="EO360" s="143"/>
      <c r="EP360" s="143"/>
      <c r="EQ360" s="143"/>
      <c r="ER360" s="143"/>
      <c r="ES360" s="143"/>
      <c r="ET360" s="143"/>
      <c r="EU360" s="143"/>
      <c r="EV360" s="143"/>
      <c r="EW360" s="143"/>
      <c r="EX360" s="143"/>
      <c r="EY360" s="143"/>
      <c r="EZ360" s="143"/>
      <c r="FA360" s="143"/>
      <c r="FB360" s="143"/>
      <c r="FC360" s="143"/>
      <c r="FD360" s="143"/>
      <c r="FE360" s="143"/>
      <c r="FF360" s="143"/>
      <c r="FG360" s="143"/>
      <c r="FH360" s="143"/>
      <c r="FI360" s="143"/>
      <c r="FJ360" s="143"/>
      <c r="FK360" s="143"/>
      <c r="FL360" s="143"/>
      <c r="FM360" s="143"/>
      <c r="FN360" s="143"/>
      <c r="FO360" s="143"/>
      <c r="FP360" s="143"/>
      <c r="FQ360" s="143"/>
      <c r="FR360" s="143"/>
      <c r="FS360" s="143"/>
      <c r="FT360" s="143"/>
      <c r="FU360" s="143"/>
      <c r="FV360" s="143"/>
      <c r="FW360" s="143"/>
      <c r="FX360" s="143"/>
      <c r="FY360" s="143"/>
      <c r="FZ360" s="143"/>
      <c r="GA360" s="143"/>
      <c r="GB360" s="143"/>
      <c r="GC360" s="143"/>
      <c r="GD360" s="143"/>
      <c r="GE360" s="143"/>
      <c r="GF360" s="143"/>
      <c r="GG360" s="143"/>
      <c r="GH360" s="143"/>
      <c r="GI360" s="143"/>
      <c r="GJ360" s="143"/>
      <c r="GK360" s="143"/>
      <c r="GL360" s="143"/>
      <c r="GM360" s="143"/>
      <c r="GN360" s="143"/>
      <c r="GO360" s="143"/>
      <c r="GP360" s="143"/>
      <c r="GQ360" s="143"/>
      <c r="GR360" s="143"/>
      <c r="GS360" s="143"/>
      <c r="GT360" s="143"/>
      <c r="GU360" s="143"/>
      <c r="GV360" s="143"/>
      <c r="GW360" s="143"/>
      <c r="GX360" s="143"/>
      <c r="GY360" s="143"/>
      <c r="GZ360" s="143"/>
      <c r="HA360" s="143"/>
      <c r="HB360" s="143"/>
      <c r="HC360" s="143"/>
      <c r="HD360" s="143"/>
      <c r="HE360" s="143"/>
      <c r="HF360" s="143"/>
      <c r="HG360" s="143"/>
      <c r="HH360" s="143"/>
      <c r="HI360" s="143"/>
      <c r="HJ360" s="143"/>
      <c r="HK360" s="143"/>
      <c r="HL360" s="143"/>
      <c r="HM360" s="143"/>
      <c r="HN360" s="143"/>
      <c r="HO360" s="143"/>
      <c r="HP360" s="143"/>
      <c r="HQ360" s="143"/>
      <c r="HR360" s="143"/>
      <c r="HS360" s="143"/>
      <c r="HT360" s="143"/>
      <c r="HU360" s="143"/>
      <c r="HV360" s="143"/>
      <c r="HW360" s="143"/>
      <c r="HX360" s="143"/>
      <c r="HY360" s="143"/>
      <c r="HZ360" s="143"/>
      <c r="IA360" s="143"/>
      <c r="IB360" s="143"/>
      <c r="IC360" s="143"/>
      <c r="ID360" s="143"/>
      <c r="IE360" s="143"/>
      <c r="IF360" s="143"/>
      <c r="IG360" s="143"/>
      <c r="IH360" s="143"/>
      <c r="II360" s="143"/>
      <c r="IJ360" s="143"/>
      <c r="IK360" s="143"/>
      <c r="IL360" s="143"/>
      <c r="IM360" s="143"/>
      <c r="IN360" s="143"/>
      <c r="IO360" s="143"/>
      <c r="IP360" s="143"/>
      <c r="IQ360" s="143"/>
      <c r="IR360" s="143"/>
      <c r="IS360" s="143"/>
      <c r="IT360" s="143"/>
      <c r="IU360" s="143"/>
      <c r="IV360" s="143"/>
      <c r="IW360" s="143"/>
      <c r="IX360" s="143"/>
      <c r="IY360" s="143"/>
      <c r="IZ360" s="143"/>
      <c r="JA360" s="143"/>
      <c r="JB360" s="143"/>
      <c r="JC360" s="143"/>
      <c r="JD360" s="143"/>
      <c r="JE360" s="143"/>
      <c r="JF360" s="143"/>
      <c r="JG360" s="143"/>
      <c r="JH360" s="143"/>
      <c r="JI360" s="143"/>
    </row>
    <row r="361" spans="1:269" hidden="1" outlineLevel="1">
      <c r="A361" s="468" t="s">
        <v>279</v>
      </c>
      <c r="B361" s="315" t="s">
        <v>278</v>
      </c>
      <c r="C361" s="475" t="e">
        <f>_xll.BQL.QUERY("get(avg(px_last(start=" &amp; TEXT(#REF!, "YYYY-MM-DD") &amp; ", end=" &amp; TEXT(C$5, "YYYY-MM-DD") &amp; "))) for('"&amp;$B361&amp;"')")</f>
        <v>#REF!</v>
      </c>
      <c r="D361" s="475" t="e">
        <f>_xll.BQL.QUERY("get(avg(px_last(start=" &amp; TEXT(#REF!, "YYYY-MM-DD") &amp; ", end=" &amp; TEXT(D$5, "YYYY-MM-DD") &amp; "))) for('"&amp;$B361&amp;"')")</f>
        <v>#REF!</v>
      </c>
      <c r="E361" s="475" t="e">
        <f>_xll.BQL.QUERY("get(avg(px_last(start=" &amp; TEXT(#REF!, "YYYY-MM-DD") &amp; ", end=" &amp; TEXT(E$5, "YYYY-MM-DD") &amp; "))) for('"&amp;$B361&amp;"')")</f>
        <v>#REF!</v>
      </c>
      <c r="F361" s="335" t="e">
        <f>_xll.BQL.QUERY("get(avg(px_last(start=" &amp; TEXT(#REF!, "YYYY-MM-DD") &amp; ", end=" &amp; TEXT(F$5, "YYYY-MM-DD") &amp; "))) for('"&amp;$B361&amp;"')")</f>
        <v>#REF!</v>
      </c>
      <c r="G361" s="335">
        <f>_xll.BQL.QUERY("get(avg(px_last(start=" &amp; TEXT(F$5, "YYYY-MM-DD") &amp; ", end=" &amp; TEXT(G$5, "YYYY-MM-DD") &amp; "))) for('"&amp;$B361&amp;"')")</f>
        <v>140.5</v>
      </c>
      <c r="H361" s="335">
        <f>_xll.BQL.QUERY("get(avg(px_last(start=" &amp; TEXT(G$5, "YYYY-MM-DD") &amp; ", end=" &amp; TEXT(H$5, "YYYY-MM-DD") &amp; "))) for('"&amp;$B361&amp;"')")</f>
        <v>139</v>
      </c>
      <c r="I361" s="335">
        <f>_xll.BQL.QUERY("get(avg(px_last(start=" &amp; TEXT(H$5, "YYYY-MM-DD") &amp; ", end=" &amp; TEXT(I$5, "YYYY-MM-DD") &amp; "))) for('"&amp;$B361&amp;"')")</f>
        <v>142.19999999999999</v>
      </c>
      <c r="J361" s="475" t="e">
        <f>_xll.BQL.QUERY("get(avg(px_last(start=" &amp; TEXT(#REF!, "YYYY-MM-DD") &amp; ", end=" &amp; TEXT(J$5, "YYYY-MM-DD") &amp; "))) for('"&amp;$B361&amp;"')")</f>
        <v>#REF!</v>
      </c>
      <c r="K361" s="335" t="e">
        <f>_xll.BQL.QUERY("get(avg(px_last(start=" &amp; TEXT(#REF!, "YYYY-MM-DD") &amp; ", end=" &amp; TEXT(K$5, "YYYY-MM-DD") &amp; "))) for('"&amp;$B361&amp;"')")</f>
        <v>#REF!</v>
      </c>
      <c r="L361" s="335">
        <f>_xll.BQL.QUERY("get(avg(px_last(start=" &amp; TEXT(K$5, "YYYY-MM-DD") &amp; ", end=" &amp; TEXT(L$5, "YYYY-MM-DD") &amp; "))) for('"&amp;$B361&amp;"')")</f>
        <v>144.35</v>
      </c>
      <c r="M361" s="335">
        <f>_xll.BQL.QUERY("get(avg(px_last(start=" &amp; TEXT(L$5, "YYYY-MM-DD") &amp; ", end=" &amp; TEXT(M$5, "YYYY-MM-DD") &amp; "))) for('"&amp;$B361&amp;"')")</f>
        <v>142.72499999999999</v>
      </c>
      <c r="N361" s="335">
        <f>_xll.BQL.QUERY("get(avg(px_last(start=" &amp; TEXT(M$5, "YYYY-MM-DD") &amp; ", end=" &amp; TEXT(N$5, "YYYY-MM-DD") &amp; "))) for('"&amp;$B361&amp;"')")</f>
        <v>144.79999999999998</v>
      </c>
      <c r="O361" s="475" t="e">
        <f>_xll.BQL.QUERY("get(avg(px_last(start=" &amp; TEXT(#REF!, "YYYY-MM-DD") &amp; ", end=" &amp; TEXT(O$5, "YYYY-MM-DD") &amp; "))) for('"&amp;$B361&amp;"')")</f>
        <v>#REF!</v>
      </c>
      <c r="P361" s="335">
        <f>_xll.BQL.QUERY("get(avg(px_last(start=" &amp; TEXT(O$5, "YYYY-MM-DD") &amp; ", end=" &amp; TEXT(P$5, "YYYY-MM-DD") &amp; "))) for('"&amp;$B361&amp;"')")</f>
        <v>151.5</v>
      </c>
      <c r="Q361" s="335">
        <f>_xll.BQL.QUERY("get(avg(px_last(start=" &amp; TEXT(P$5, "YYYY-MM-DD") &amp; ", end=" &amp; TEXT(Q$5, "YYYY-MM-DD") &amp; "))) for('"&amp;$B361&amp;"')")</f>
        <v>157.57499999999999</v>
      </c>
      <c r="R361" s="335">
        <f>_xll.BQL.QUERY("get(avg(px_last(start=" &amp; TEXT(Q$5, "YYYY-MM-DD") &amp; ", end=" &amp; TEXT(R$5, "YYYY-MM-DD") &amp; "))) for('"&amp;$B361&amp;"')")</f>
        <v>161.125</v>
      </c>
      <c r="S361" s="335">
        <f>_xll.BQL.QUERY("get(avg(px_last(start=" &amp; TEXT(R$5, "YYYY-MM-DD") &amp; ", end=" &amp; TEXT(S$5, "YYYY-MM-DD") &amp; "))) for('"&amp;$B361&amp;"')")</f>
        <v>163.69999999999999</v>
      </c>
      <c r="T361" s="475">
        <f>_xll.BQL.QUERY("get(avg(px_last(start=" &amp; TEXT(O$5, "YYYY-MM-DD") &amp; ", end=" &amp; TEXT(T$5, "YYYY-MM-DD") &amp; "))) for('"&amp;$B361&amp;"')")</f>
        <v>158.28461538461539</v>
      </c>
      <c r="U361" s="335">
        <f>_xll.BQL.QUERY("get(avg(px_last(start=" &amp; TEXT(T$5, "YYYY-MM-DD") &amp; ", end=" &amp; TEXT(U$5, "YYYY-MM-DD") &amp; "))) for('"&amp;$B361&amp;"')")</f>
        <v>165.29999999999998</v>
      </c>
      <c r="V361" s="335">
        <f>_xll.BQL.QUERY("get(avg(px_last(start=" &amp; TEXT(U$5, "YYYY-MM-DD") &amp; ", end=" &amp; TEXT(V$5, "YYYY-MM-DD") &amp; "))) for('"&amp;$B361&amp;"')")</f>
        <v>172.5</v>
      </c>
      <c r="W361" s="335">
        <f>_xll.BQL.QUERY("get(avg(px_last(start=" &amp; TEXT(V$5, "YYYY-MM-DD") &amp; ", end=" &amp; TEXT(W$5, "YYYY-MM-DD") &amp; "))) for('"&amp;$B361&amp;"')")</f>
        <v>178.47500000000002</v>
      </c>
      <c r="X361" s="335">
        <f>_xll.BQL.QUERY("get(avg(px_last(start=" &amp; TEXT(W$5, "YYYY-MM-DD") &amp; ", end=" &amp; TEXT(X$5, "YYYY-MM-DD") &amp; "))) for('"&amp;$B361&amp;"')")</f>
        <v>180.82499999999999</v>
      </c>
      <c r="Y361" s="475">
        <f>_xll.BQL.QUERY("get(avg(px_last(start=" &amp; TEXT(T$5, "YYYY-MM-DD") &amp; ", end=" &amp; TEXT(Y$5, "YYYY-MM-DD") &amp; "))) for('"&amp;$B361&amp;"')")</f>
        <v>174.28461538461536</v>
      </c>
      <c r="Z361" s="335">
        <f>_xll.BQL.QUERY("get(avg(px_last(start=" &amp; TEXT(Y$5, "YYYY-MM-DD") &amp; ", end=" &amp; TEXT(Z$5, "YYYY-MM-DD") &amp; "))) for('"&amp;$B361&amp;"')")</f>
        <v>182</v>
      </c>
      <c r="AA361" s="335">
        <f>_xll.BQL.QUERY("get(avg(px_last(start=" &amp; TEXT(Z$5, "YYYY-MM-DD") &amp; ", end=" &amp; TEXT(AA$5, "YYYY-MM-DD") &amp; "))) for('"&amp;$B361&amp;"')")</f>
        <v>182.32500000000002</v>
      </c>
      <c r="AB361" s="335">
        <f>_xll.BQL.QUERY("get(avg(px_last(start=" &amp; TEXT(AA$5, "YYYY-MM-DD") &amp; ", end=" &amp; TEXT(AB$5, "YYYY-MM-DD") &amp; "))) for('"&amp;$B361&amp;"')")</f>
        <v>183.72500000000002</v>
      </c>
      <c r="AC361" s="335">
        <f>_xll.BQL.QUERY("get(avg(px_last(start=" &amp; TEXT(AB$5, "YYYY-MM-DD") &amp; ", end=" &amp; TEXT(AC$5, "YYYY-MM-DD") &amp; "))) for('"&amp;$B361&amp;"')")</f>
        <v>179.55</v>
      </c>
      <c r="AD361" s="540">
        <f>_xll.BQL.QUERY("get(avg(px_last(start=" &amp; TEXT(Y$5, "YYYY-MM-DD") &amp; ", end=" &amp; TEXT(AD$5, "YYYY-MM-DD") &amp; "))) for('"&amp;$B361&amp;"')")</f>
        <v>182.47272727272727</v>
      </c>
      <c r="AE361" s="335" t="str">
        <f>_xll.BQL.QUERY("get(avg(px_last(start=" &amp; TEXT(AD$5, "YYYY-MM-DD") &amp; ", end=" &amp; TEXT(AE$5, "YYYY-MM-DD") &amp; "))) for('"&amp;$B361&amp;"')")</f>
        <v>#N/A</v>
      </c>
      <c r="AF361" s="335" t="str">
        <f>_xll.BQL.QUERY("get(avg(px_last(start=" &amp; TEXT(AE$5, "YYYY-MM-DD") &amp; ", end=" &amp; TEXT(AF$5, "YYYY-MM-DD") &amp; "))) for('"&amp;$B361&amp;"')")</f>
        <v>#N/A</v>
      </c>
      <c r="AG361" s="335" t="str">
        <f>_xll.BQL.QUERY("get(avg(px_last(start=" &amp; TEXT(AF$5, "YYYY-MM-DD") &amp; ", end=" &amp; TEXT(AG$5, "YYYY-MM-DD") &amp; "))) for('"&amp;$B361&amp;"')")</f>
        <v>#N/A</v>
      </c>
      <c r="AH361" s="280"/>
      <c r="AI361" s="320"/>
      <c r="AJ361" s="280"/>
      <c r="AK361" s="280"/>
      <c r="AL361" s="280"/>
      <c r="AM361" s="280"/>
      <c r="AN361" s="320"/>
      <c r="AO361" s="280"/>
      <c r="AP361" s="280"/>
      <c r="AQ361" s="280"/>
      <c r="AR361" s="280"/>
      <c r="AS361" s="320"/>
      <c r="AT361" s="315"/>
      <c r="AU361" s="508"/>
      <c r="AV361" s="143"/>
      <c r="AW361" s="143"/>
      <c r="AX361" s="143"/>
      <c r="AY361" s="143"/>
      <c r="AZ361" s="143"/>
      <c r="BA361" s="143"/>
      <c r="BB361" s="143"/>
      <c r="BC361" s="143"/>
      <c r="BD361" s="143"/>
      <c r="BE361" s="143"/>
      <c r="BF361" s="143"/>
      <c r="BG361" s="143"/>
      <c r="BH361" s="143"/>
      <c r="BI361" s="143"/>
      <c r="BJ361" s="143"/>
      <c r="BK361" s="143"/>
      <c r="BL361" s="143"/>
      <c r="BM361" s="143"/>
      <c r="BN361" s="143"/>
      <c r="BO361" s="143"/>
      <c r="BP361" s="143"/>
      <c r="BQ361" s="143"/>
      <c r="BR361" s="143"/>
      <c r="BS361" s="143"/>
      <c r="BT361" s="143"/>
      <c r="BU361" s="143"/>
      <c r="BV361" s="143"/>
      <c r="BW361" s="143"/>
      <c r="BX361" s="143"/>
      <c r="BY361" s="143"/>
      <c r="BZ361" s="143"/>
      <c r="CA361" s="143"/>
      <c r="CB361" s="143"/>
      <c r="CC361" s="143"/>
      <c r="CD361" s="143"/>
      <c r="CE361" s="143"/>
      <c r="CF361" s="143"/>
      <c r="CG361" s="143"/>
      <c r="CH361" s="143"/>
      <c r="CI361" s="143"/>
      <c r="CJ361" s="143"/>
      <c r="CK361" s="143"/>
      <c r="CL361" s="143"/>
      <c r="CM361" s="143"/>
      <c r="CN361" s="143"/>
      <c r="CO361" s="143"/>
      <c r="CP361" s="143"/>
      <c r="CQ361" s="143"/>
      <c r="CR361" s="143"/>
      <c r="CS361" s="143"/>
      <c r="CT361" s="143"/>
      <c r="CU361" s="143"/>
      <c r="CV361" s="143"/>
      <c r="CW361" s="143"/>
      <c r="CX361" s="143"/>
      <c r="CY361" s="143"/>
      <c r="CZ361" s="143"/>
      <c r="DA361" s="143"/>
      <c r="DB361" s="143"/>
      <c r="DC361" s="143"/>
      <c r="DD361" s="143"/>
      <c r="DE361" s="143"/>
      <c r="DF361" s="143"/>
      <c r="DG361" s="143"/>
      <c r="DH361" s="143"/>
      <c r="DI361" s="143"/>
      <c r="DJ361" s="143"/>
      <c r="DK361" s="143"/>
      <c r="DL361" s="143"/>
      <c r="DM361" s="143"/>
      <c r="DN361" s="143"/>
      <c r="DO361" s="143"/>
      <c r="DP361" s="143"/>
      <c r="DQ361" s="143"/>
      <c r="DR361" s="143"/>
      <c r="DS361" s="143"/>
      <c r="DT361" s="143"/>
      <c r="DU361" s="143"/>
      <c r="DV361" s="143"/>
      <c r="DW361" s="143"/>
      <c r="DX361" s="143"/>
      <c r="DY361" s="143"/>
      <c r="DZ361" s="143"/>
      <c r="EA361" s="143"/>
      <c r="EB361" s="143"/>
      <c r="EC361" s="143"/>
      <c r="ED361" s="143"/>
      <c r="EE361" s="143"/>
      <c r="EF361" s="143"/>
      <c r="EG361" s="143"/>
      <c r="EH361" s="143"/>
      <c r="EI361" s="143"/>
      <c r="EJ361" s="143"/>
      <c r="EK361" s="143"/>
      <c r="EL361" s="143"/>
      <c r="EM361" s="143"/>
      <c r="EN361" s="143"/>
      <c r="EO361" s="143"/>
      <c r="EP361" s="143"/>
      <c r="EQ361" s="143"/>
      <c r="ER361" s="143"/>
      <c r="ES361" s="143"/>
      <c r="ET361" s="143"/>
      <c r="EU361" s="143"/>
      <c r="EV361" s="143"/>
      <c r="EW361" s="143"/>
      <c r="EX361" s="143"/>
      <c r="EY361" s="143"/>
      <c r="EZ361" s="143"/>
      <c r="FA361" s="143"/>
      <c r="FB361" s="143"/>
      <c r="FC361" s="143"/>
      <c r="FD361" s="143"/>
      <c r="FE361" s="143"/>
      <c r="FF361" s="143"/>
      <c r="FG361" s="143"/>
      <c r="FH361" s="143"/>
      <c r="FI361" s="143"/>
      <c r="FJ361" s="143"/>
      <c r="FK361" s="143"/>
      <c r="FL361" s="143"/>
      <c r="FM361" s="143"/>
      <c r="FN361" s="143"/>
      <c r="FO361" s="143"/>
      <c r="FP361" s="143"/>
      <c r="FQ361" s="143"/>
      <c r="FR361" s="143"/>
      <c r="FS361" s="143"/>
      <c r="FT361" s="143"/>
      <c r="FU361" s="143"/>
      <c r="FV361" s="143"/>
      <c r="FW361" s="143"/>
      <c r="FX361" s="143"/>
      <c r="FY361" s="143"/>
      <c r="FZ361" s="143"/>
      <c r="GA361" s="143"/>
      <c r="GB361" s="143"/>
      <c r="GC361" s="143"/>
      <c r="GD361" s="143"/>
      <c r="GE361" s="143"/>
      <c r="GF361" s="143"/>
      <c r="GG361" s="143"/>
      <c r="GH361" s="143"/>
      <c r="GI361" s="143"/>
      <c r="GJ361" s="143"/>
      <c r="GK361" s="143"/>
      <c r="GL361" s="143"/>
      <c r="GM361" s="143"/>
      <c r="GN361" s="143"/>
      <c r="GO361" s="143"/>
      <c r="GP361" s="143"/>
      <c r="GQ361" s="143"/>
      <c r="GR361" s="143"/>
      <c r="GS361" s="143"/>
      <c r="GT361" s="143"/>
      <c r="GU361" s="143"/>
      <c r="GV361" s="143"/>
      <c r="GW361" s="143"/>
      <c r="GX361" s="143"/>
      <c r="GY361" s="143"/>
      <c r="GZ361" s="143"/>
      <c r="HA361" s="143"/>
      <c r="HB361" s="143"/>
      <c r="HC361" s="143"/>
      <c r="HD361" s="143"/>
      <c r="HE361" s="143"/>
      <c r="HF361" s="143"/>
      <c r="HG361" s="143"/>
      <c r="HH361" s="143"/>
      <c r="HI361" s="143"/>
      <c r="HJ361" s="143"/>
      <c r="HK361" s="143"/>
      <c r="HL361" s="143"/>
      <c r="HM361" s="143"/>
      <c r="HN361" s="143"/>
      <c r="HO361" s="143"/>
      <c r="HP361" s="143"/>
      <c r="HQ361" s="143"/>
      <c r="HR361" s="143"/>
      <c r="HS361" s="143"/>
      <c r="HT361" s="143"/>
      <c r="HU361" s="143"/>
      <c r="HV361" s="143"/>
      <c r="HW361" s="143"/>
      <c r="HX361" s="143"/>
      <c r="HY361" s="143"/>
      <c r="HZ361" s="143"/>
      <c r="IA361" s="143"/>
      <c r="IB361" s="143"/>
      <c r="IC361" s="143"/>
      <c r="ID361" s="143"/>
      <c r="IE361" s="143"/>
      <c r="IF361" s="143"/>
      <c r="IG361" s="143"/>
      <c r="IH361" s="143"/>
      <c r="II361" s="143"/>
      <c r="IJ361" s="143"/>
      <c r="IK361" s="143"/>
      <c r="IL361" s="143"/>
      <c r="IM361" s="143"/>
      <c r="IN361" s="143"/>
      <c r="IO361" s="143"/>
      <c r="IP361" s="143"/>
      <c r="IQ361" s="143"/>
      <c r="IR361" s="143"/>
      <c r="IS361" s="143"/>
      <c r="IT361" s="143"/>
      <c r="IU361" s="143"/>
      <c r="IV361" s="143"/>
      <c r="IW361" s="143"/>
      <c r="IX361" s="143"/>
      <c r="IY361" s="143"/>
      <c r="IZ361" s="143"/>
      <c r="JA361" s="143"/>
      <c r="JB361" s="143"/>
      <c r="JC361" s="143"/>
      <c r="JD361" s="143"/>
      <c r="JE361" s="143"/>
      <c r="JF361" s="143"/>
      <c r="JG361" s="143"/>
      <c r="JH361" s="143"/>
      <c r="JI361" s="143"/>
    </row>
    <row r="362" spans="1:269" hidden="1" outlineLevel="1">
      <c r="A362" s="437" t="s">
        <v>208</v>
      </c>
      <c r="B362" s="143"/>
      <c r="C362" s="417" t="e">
        <f>C361/#REF!-1</f>
        <v>#REF!</v>
      </c>
      <c r="D362" s="417" t="e">
        <f>D361/#REF!-1</f>
        <v>#REF!</v>
      </c>
      <c r="E362" s="417" t="e">
        <f>E361/#REF!-1</f>
        <v>#REF!</v>
      </c>
      <c r="F362" s="414" t="e">
        <f>F361/#REF!-1</f>
        <v>#REF!</v>
      </c>
      <c r="G362" s="414" t="e">
        <f>G361/#REF!-1</f>
        <v>#REF!</v>
      </c>
      <c r="H362" s="414" t="e">
        <f>H361/#REF!-1</f>
        <v>#REF!</v>
      </c>
      <c r="I362" s="414" t="e">
        <f>I361/#REF!-1</f>
        <v>#REF!</v>
      </c>
      <c r="J362" s="417" t="e">
        <f>J361/#REF!-1</f>
        <v>#REF!</v>
      </c>
      <c r="K362" s="414" t="e">
        <f>K361/#REF!-1</f>
        <v>#REF!</v>
      </c>
      <c r="L362" s="414" t="e">
        <f>L361/#REF!-1</f>
        <v>#REF!</v>
      </c>
      <c r="M362" s="414" t="e">
        <f>M361/#REF!-1</f>
        <v>#REF!</v>
      </c>
      <c r="N362" s="414" t="e">
        <f>N361/#REF!-1</f>
        <v>#REF!</v>
      </c>
      <c r="O362" s="417" t="e">
        <f>O361/#REF!-1</f>
        <v>#REF!</v>
      </c>
      <c r="P362" s="414" t="e">
        <f t="shared" ref="P362" si="713">P361/K361-1</f>
        <v>#REF!</v>
      </c>
      <c r="Q362" s="414">
        <f t="shared" ref="Q362" si="714">Q361/L361-1</f>
        <v>9.1617596120540323E-2</v>
      </c>
      <c r="R362" s="414">
        <f t="shared" ref="R362" si="715">R361/M361-1</f>
        <v>0.12891925030653351</v>
      </c>
      <c r="S362" s="414">
        <f t="shared" ref="S362" si="716">S361/N361-1</f>
        <v>0.13052486187845314</v>
      </c>
      <c r="T362" s="417" t="e">
        <f t="shared" ref="T362" si="717">T361/O361-1</f>
        <v>#REF!</v>
      </c>
      <c r="U362" s="414">
        <f t="shared" ref="U362" si="718">U361/P361-1</f>
        <v>9.1089108910890948E-2</v>
      </c>
      <c r="V362" s="414">
        <f t="shared" ref="V362" si="719">V361/Q361-1</f>
        <v>9.4716801523084371E-2</v>
      </c>
      <c r="W362" s="414">
        <f t="shared" ref="W362" si="720">W361/R361-1</f>
        <v>0.10768037238169148</v>
      </c>
      <c r="X362" s="414">
        <f t="shared" ref="X362" si="721">X361/S361-1</f>
        <v>0.10461209529627369</v>
      </c>
      <c r="Y362" s="417">
        <f t="shared" ref="Y362" si="722">Y361/T361-1</f>
        <v>0.10108373426641371</v>
      </c>
      <c r="Z362" s="414">
        <f t="shared" ref="Z362" si="723">Z361/U361-1</f>
        <v>0.10102843315184518</v>
      </c>
      <c r="AA362" s="414">
        <f t="shared" ref="AA362" si="724">AA361/V361-1</f>
        <v>5.6956521739130572E-2</v>
      </c>
      <c r="AB362" s="414">
        <f t="shared" ref="AB362" si="725">AB361/W361-1</f>
        <v>2.9415884577671969E-2</v>
      </c>
      <c r="AC362" s="414">
        <f t="shared" ref="AC362" si="726">AC361/X361-1</f>
        <v>-7.0510161758604584E-3</v>
      </c>
      <c r="AD362" s="422">
        <f t="shared" ref="AD362" si="727">AD361/Y361-1</f>
        <v>4.6981266074703099E-2</v>
      </c>
      <c r="AE362" s="414" t="e">
        <f t="shared" ref="AE362" si="728">AE361/Z361-1</f>
        <v>#VALUE!</v>
      </c>
      <c r="AF362" s="414" t="e">
        <f t="shared" ref="AF362" si="729">AF361/AA361-1</f>
        <v>#VALUE!</v>
      </c>
      <c r="AG362" s="414" t="e">
        <f t="shared" ref="AG362" si="730">AG361/AB361-1</f>
        <v>#VALUE!</v>
      </c>
      <c r="AH362" s="280"/>
      <c r="AI362" s="320"/>
      <c r="AJ362" s="280"/>
      <c r="AK362" s="280"/>
      <c r="AL362" s="280"/>
      <c r="AM362" s="280"/>
      <c r="AN362" s="320"/>
      <c r="AO362" s="280"/>
      <c r="AP362" s="280"/>
      <c r="AQ362" s="280"/>
      <c r="AR362" s="280"/>
      <c r="AS362" s="320"/>
      <c r="AT362" s="315"/>
      <c r="AU362" s="508"/>
      <c r="AV362" s="143"/>
      <c r="AW362" s="143"/>
      <c r="AX362" s="143"/>
      <c r="AY362" s="143"/>
      <c r="AZ362" s="143"/>
      <c r="BA362" s="143"/>
      <c r="BB362" s="143"/>
      <c r="BC362" s="143"/>
      <c r="BD362" s="143"/>
      <c r="BE362" s="143"/>
      <c r="BF362" s="143"/>
      <c r="BG362" s="143"/>
      <c r="BH362" s="143"/>
      <c r="BI362" s="143"/>
      <c r="BJ362" s="143"/>
      <c r="BK362" s="143"/>
      <c r="BL362" s="143"/>
      <c r="BM362" s="143"/>
      <c r="BN362" s="143"/>
      <c r="BO362" s="143"/>
      <c r="BP362" s="143"/>
      <c r="BQ362" s="143"/>
      <c r="BR362" s="143"/>
      <c r="BS362" s="143"/>
      <c r="BT362" s="143"/>
      <c r="BU362" s="143"/>
      <c r="BV362" s="143"/>
      <c r="BW362" s="143"/>
      <c r="BX362" s="143"/>
      <c r="BY362" s="143"/>
      <c r="BZ362" s="143"/>
      <c r="CA362" s="143"/>
      <c r="CB362" s="143"/>
      <c r="CC362" s="143"/>
      <c r="CD362" s="143"/>
      <c r="CE362" s="143"/>
      <c r="CF362" s="143"/>
      <c r="CG362" s="143"/>
      <c r="CH362" s="143"/>
      <c r="CI362" s="143"/>
      <c r="CJ362" s="143"/>
      <c r="CK362" s="143"/>
      <c r="CL362" s="143"/>
      <c r="CM362" s="143"/>
      <c r="CN362" s="143"/>
      <c r="CO362" s="143"/>
      <c r="CP362" s="143"/>
      <c r="CQ362" s="143"/>
      <c r="CR362" s="143"/>
      <c r="CS362" s="143"/>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c r="DO362" s="143"/>
      <c r="DP362" s="143"/>
      <c r="DQ362" s="143"/>
      <c r="DR362" s="143"/>
      <c r="DS362" s="143"/>
      <c r="DT362" s="143"/>
      <c r="DU362" s="143"/>
      <c r="DV362" s="143"/>
      <c r="DW362" s="143"/>
      <c r="DX362" s="143"/>
      <c r="DY362" s="143"/>
      <c r="DZ362" s="143"/>
      <c r="EA362" s="143"/>
      <c r="EB362" s="143"/>
      <c r="EC362" s="143"/>
      <c r="ED362" s="143"/>
      <c r="EE362" s="143"/>
      <c r="EF362" s="143"/>
      <c r="EG362" s="143"/>
      <c r="EH362" s="143"/>
      <c r="EI362" s="143"/>
      <c r="EJ362" s="143"/>
      <c r="EK362" s="143"/>
      <c r="EL362" s="143"/>
      <c r="EM362" s="143"/>
      <c r="EN362" s="143"/>
      <c r="EO362" s="143"/>
      <c r="EP362" s="143"/>
      <c r="EQ362" s="143"/>
      <c r="ER362" s="143"/>
      <c r="ES362" s="143"/>
      <c r="ET362" s="143"/>
      <c r="EU362" s="143"/>
      <c r="EV362" s="143"/>
      <c r="EW362" s="143"/>
      <c r="EX362" s="143"/>
      <c r="EY362" s="143"/>
      <c r="EZ362" s="143"/>
      <c r="FA362" s="143"/>
      <c r="FB362" s="143"/>
      <c r="FC362" s="143"/>
      <c r="FD362" s="143"/>
      <c r="FE362" s="143"/>
      <c r="FF362" s="143"/>
      <c r="FG362" s="143"/>
      <c r="FH362" s="143"/>
      <c r="FI362" s="143"/>
      <c r="FJ362" s="143"/>
      <c r="FK362" s="143"/>
      <c r="FL362" s="143"/>
      <c r="FM362" s="143"/>
      <c r="FN362" s="143"/>
      <c r="FO362" s="143"/>
      <c r="FP362" s="143"/>
      <c r="FQ362" s="143"/>
      <c r="FR362" s="143"/>
      <c r="FS362" s="143"/>
      <c r="FT362" s="143"/>
      <c r="FU362" s="143"/>
      <c r="FV362" s="143"/>
      <c r="FW362" s="143"/>
      <c r="FX362" s="143"/>
      <c r="FY362" s="143"/>
      <c r="FZ362" s="143"/>
      <c r="GA362" s="143"/>
      <c r="GB362" s="143"/>
      <c r="GC362" s="143"/>
      <c r="GD362" s="143"/>
      <c r="GE362" s="143"/>
      <c r="GF362" s="143"/>
      <c r="GG362" s="143"/>
      <c r="GH362" s="143"/>
      <c r="GI362" s="143"/>
      <c r="GJ362" s="143"/>
      <c r="GK362" s="143"/>
      <c r="GL362" s="143"/>
      <c r="GM362" s="143"/>
      <c r="GN362" s="143"/>
      <c r="GO362" s="143"/>
      <c r="GP362" s="143"/>
      <c r="GQ362" s="143"/>
      <c r="GR362" s="143"/>
      <c r="GS362" s="143"/>
      <c r="GT362" s="143"/>
      <c r="GU362" s="143"/>
      <c r="GV362" s="143"/>
      <c r="GW362" s="143"/>
      <c r="GX362" s="143"/>
      <c r="GY362" s="143"/>
      <c r="GZ362" s="143"/>
      <c r="HA362" s="143"/>
      <c r="HB362" s="143"/>
      <c r="HC362" s="143"/>
      <c r="HD362" s="143"/>
      <c r="HE362" s="143"/>
      <c r="HF362" s="143"/>
      <c r="HG362" s="143"/>
      <c r="HH362" s="143"/>
      <c r="HI362" s="143"/>
      <c r="HJ362" s="143"/>
      <c r="HK362" s="143"/>
      <c r="HL362" s="143"/>
      <c r="HM362" s="143"/>
      <c r="HN362" s="143"/>
      <c r="HO362" s="143"/>
      <c r="HP362" s="143"/>
      <c r="HQ362" s="143"/>
      <c r="HR362" s="143"/>
      <c r="HS362" s="143"/>
      <c r="HT362" s="143"/>
      <c r="HU362" s="143"/>
      <c r="HV362" s="143"/>
      <c r="HW362" s="143"/>
      <c r="HX362" s="143"/>
      <c r="HY362" s="143"/>
      <c r="HZ362" s="143"/>
      <c r="IA362" s="143"/>
      <c r="IB362" s="143"/>
      <c r="IC362" s="143"/>
      <c r="ID362" s="143"/>
      <c r="IE362" s="143"/>
      <c r="IF362" s="143"/>
      <c r="IG362" s="143"/>
      <c r="IH362" s="143"/>
      <c r="II362" s="143"/>
      <c r="IJ362" s="143"/>
      <c r="IK362" s="143"/>
      <c r="IL362" s="143"/>
      <c r="IM362" s="143"/>
      <c r="IN362" s="143"/>
      <c r="IO362" s="143"/>
      <c r="IP362" s="143"/>
      <c r="IQ362" s="143"/>
      <c r="IR362" s="143"/>
      <c r="IS362" s="143"/>
      <c r="IT362" s="143"/>
      <c r="IU362" s="143"/>
      <c r="IV362" s="143"/>
      <c r="IW362" s="143"/>
      <c r="IX362" s="143"/>
      <c r="IY362" s="143"/>
      <c r="IZ362" s="143"/>
      <c r="JA362" s="143"/>
      <c r="JB362" s="143"/>
      <c r="JC362" s="143"/>
      <c r="JD362" s="143"/>
      <c r="JE362" s="143"/>
      <c r="JF362" s="143"/>
      <c r="JG362" s="143"/>
      <c r="JH362" s="143"/>
      <c r="JI362" s="143"/>
    </row>
    <row r="363" spans="1:269" hidden="1" outlineLevel="1">
      <c r="A363" s="437" t="s">
        <v>207</v>
      </c>
      <c r="B363" s="143"/>
      <c r="C363" s="417" t="e">
        <f>C361/#REF!-1</f>
        <v>#REF!</v>
      </c>
      <c r="D363" s="417" t="e">
        <f>D361/#REF!-1</f>
        <v>#REF!</v>
      </c>
      <c r="E363" s="417" t="e">
        <f>E361/#REF!-1</f>
        <v>#REF!</v>
      </c>
      <c r="F363" s="414" t="e">
        <f>F361/#REF!-1</f>
        <v>#REF!</v>
      </c>
      <c r="G363" s="414" t="e">
        <f>G361/#REF!-1</f>
        <v>#REF!</v>
      </c>
      <c r="H363" s="414" t="e">
        <f>H361/#REF!-1</f>
        <v>#REF!</v>
      </c>
      <c r="I363" s="414" t="e">
        <f>I361/#REF!-1</f>
        <v>#REF!</v>
      </c>
      <c r="J363" s="417" t="e">
        <f>J361/#REF!-1</f>
        <v>#REF!</v>
      </c>
      <c r="K363" s="414" t="e">
        <f>K361/#REF!-1</f>
        <v>#REF!</v>
      </c>
      <c r="L363" s="414" t="e">
        <f>L361/#REF!-1</f>
        <v>#REF!</v>
      </c>
      <c r="M363" s="414" t="e">
        <f>M361/#REF!-1</f>
        <v>#REF!</v>
      </c>
      <c r="N363" s="414" t="e">
        <f>N361/#REF!-1</f>
        <v>#REF!</v>
      </c>
      <c r="O363" s="417" t="e">
        <f>O361/#REF!-1</f>
        <v>#REF!</v>
      </c>
      <c r="P363" s="414" t="e">
        <f>P361/#REF!-1</f>
        <v>#REF!</v>
      </c>
      <c r="Q363" s="414" t="e">
        <f>Q361/#REF!-1</f>
        <v>#REF!</v>
      </c>
      <c r="R363" s="414" t="e">
        <f>R361/#REF!-1</f>
        <v>#REF!</v>
      </c>
      <c r="S363" s="414" t="e">
        <f>S361/#REF!-1</f>
        <v>#REF!</v>
      </c>
      <c r="T363" s="417" t="e">
        <f>T361/#REF!-1</f>
        <v>#REF!</v>
      </c>
      <c r="U363" s="414" t="e">
        <f>U361/#REF!-1</f>
        <v>#REF!</v>
      </c>
      <c r="V363" s="414" t="e">
        <f>V361/#REF!-1</f>
        <v>#REF!</v>
      </c>
      <c r="W363" s="414" t="e">
        <f>W361/#REF!-1</f>
        <v>#REF!</v>
      </c>
      <c r="X363" s="414" t="e">
        <f>X361/#REF!-1</f>
        <v>#REF!</v>
      </c>
      <c r="Y363" s="417" t="e">
        <f>Y361/#REF!-1</f>
        <v>#REF!</v>
      </c>
      <c r="Z363" s="414" t="e">
        <f>Z361/#REF!-1</f>
        <v>#REF!</v>
      </c>
      <c r="AA363" s="414" t="e">
        <f>AA361/#REF!-1</f>
        <v>#REF!</v>
      </c>
      <c r="AB363" s="414" t="e">
        <f>AB361/#REF!-1</f>
        <v>#REF!</v>
      </c>
      <c r="AC363" s="414" t="e">
        <f>AC361/#REF!-1</f>
        <v>#REF!</v>
      </c>
      <c r="AD363" s="422" t="e">
        <f>AD361/#REF!-1</f>
        <v>#REF!</v>
      </c>
      <c r="AE363" s="414" t="e">
        <f>AE361/#REF!-1</f>
        <v>#VALUE!</v>
      </c>
      <c r="AF363" s="414" t="e">
        <f>AF361/#REF!-1</f>
        <v>#VALUE!</v>
      </c>
      <c r="AG363" s="414" t="e">
        <f>AG361/#REF!-1</f>
        <v>#VALUE!</v>
      </c>
      <c r="AH363" s="280"/>
      <c r="AI363" s="320"/>
      <c r="AJ363" s="280"/>
      <c r="AK363" s="280"/>
      <c r="AL363" s="280"/>
      <c r="AM363" s="280"/>
      <c r="AN363" s="320"/>
      <c r="AO363" s="280"/>
      <c r="AP363" s="280"/>
      <c r="AQ363" s="280"/>
      <c r="AR363" s="280"/>
      <c r="AS363" s="320"/>
      <c r="AT363" s="315"/>
      <c r="AU363" s="508"/>
      <c r="AV363" s="143"/>
      <c r="AW363" s="143"/>
      <c r="AX363" s="143"/>
      <c r="AY363" s="143"/>
      <c r="AZ363" s="143"/>
      <c r="BA363" s="143"/>
      <c r="BB363" s="143"/>
      <c r="BC363" s="143"/>
      <c r="BD363" s="143"/>
      <c r="BE363" s="143"/>
      <c r="BF363" s="143"/>
      <c r="BG363" s="143"/>
      <c r="BH363" s="143"/>
      <c r="BI363" s="143"/>
      <c r="BJ363" s="143"/>
      <c r="BK363" s="143"/>
      <c r="BL363" s="143"/>
      <c r="BM363" s="143"/>
      <c r="BN363" s="143"/>
      <c r="BO363" s="143"/>
      <c r="BP363" s="143"/>
      <c r="BQ363" s="143"/>
      <c r="BR363" s="143"/>
      <c r="BS363" s="143"/>
      <c r="BT363" s="143"/>
      <c r="BU363" s="143"/>
      <c r="BV363" s="143"/>
      <c r="BW363" s="143"/>
      <c r="BX363" s="143"/>
      <c r="BY363" s="143"/>
      <c r="BZ363" s="143"/>
      <c r="CA363" s="143"/>
      <c r="CB363" s="143"/>
      <c r="CC363" s="143"/>
      <c r="CD363" s="143"/>
      <c r="CE363" s="143"/>
      <c r="CF363" s="143"/>
      <c r="CG363" s="143"/>
      <c r="CH363" s="143"/>
      <c r="CI363" s="143"/>
      <c r="CJ363" s="143"/>
      <c r="CK363" s="143"/>
      <c r="CL363" s="143"/>
      <c r="CM363" s="143"/>
      <c r="CN363" s="143"/>
      <c r="CO363" s="143"/>
      <c r="CP363" s="143"/>
      <c r="CQ363" s="143"/>
      <c r="CR363" s="143"/>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c r="DO363" s="143"/>
      <c r="DP363" s="143"/>
      <c r="DQ363" s="143"/>
      <c r="DR363" s="143"/>
      <c r="DS363" s="143"/>
      <c r="DT363" s="143"/>
      <c r="DU363" s="143"/>
      <c r="DV363" s="143"/>
      <c r="DW363" s="143"/>
      <c r="DX363" s="143"/>
      <c r="DY363" s="143"/>
      <c r="DZ363" s="143"/>
      <c r="EA363" s="143"/>
      <c r="EB363" s="143"/>
      <c r="EC363" s="143"/>
      <c r="ED363" s="143"/>
      <c r="EE363" s="143"/>
      <c r="EF363" s="143"/>
      <c r="EG363" s="143"/>
      <c r="EH363" s="143"/>
      <c r="EI363" s="143"/>
      <c r="EJ363" s="143"/>
      <c r="EK363" s="143"/>
      <c r="EL363" s="143"/>
      <c r="EM363" s="143"/>
      <c r="EN363" s="143"/>
      <c r="EO363" s="143"/>
      <c r="EP363" s="143"/>
      <c r="EQ363" s="143"/>
      <c r="ER363" s="143"/>
      <c r="ES363" s="143"/>
      <c r="ET363" s="143"/>
      <c r="EU363" s="143"/>
      <c r="EV363" s="143"/>
      <c r="EW363" s="143"/>
      <c r="EX363" s="143"/>
      <c r="EY363" s="143"/>
      <c r="EZ363" s="143"/>
      <c r="FA363" s="143"/>
      <c r="FB363" s="143"/>
      <c r="FC363" s="143"/>
      <c r="FD363" s="143"/>
      <c r="FE363" s="143"/>
      <c r="FF363" s="143"/>
      <c r="FG363" s="143"/>
      <c r="FH363" s="143"/>
      <c r="FI363" s="143"/>
      <c r="FJ363" s="143"/>
      <c r="FK363" s="143"/>
      <c r="FL363" s="143"/>
      <c r="FM363" s="143"/>
      <c r="FN363" s="143"/>
      <c r="FO363" s="143"/>
      <c r="FP363" s="143"/>
      <c r="FQ363" s="143"/>
      <c r="FR363" s="143"/>
      <c r="FS363" s="143"/>
      <c r="FT363" s="143"/>
      <c r="FU363" s="143"/>
      <c r="FV363" s="143"/>
      <c r="FW363" s="143"/>
      <c r="FX363" s="143"/>
      <c r="FY363" s="143"/>
      <c r="FZ363" s="143"/>
      <c r="GA363" s="143"/>
      <c r="GB363" s="143"/>
      <c r="GC363" s="143"/>
      <c r="GD363" s="143"/>
      <c r="GE363" s="143"/>
      <c r="GF363" s="143"/>
      <c r="GG363" s="143"/>
      <c r="GH363" s="143"/>
      <c r="GI363" s="143"/>
      <c r="GJ363" s="143"/>
      <c r="GK363" s="143"/>
      <c r="GL363" s="143"/>
      <c r="GM363" s="143"/>
      <c r="GN363" s="143"/>
      <c r="GO363" s="143"/>
      <c r="GP363" s="143"/>
      <c r="GQ363" s="143"/>
      <c r="GR363" s="143"/>
      <c r="GS363" s="143"/>
      <c r="GT363" s="143"/>
      <c r="GU363" s="143"/>
      <c r="GV363" s="143"/>
      <c r="GW363" s="143"/>
      <c r="GX363" s="143"/>
      <c r="GY363" s="143"/>
      <c r="GZ363" s="143"/>
      <c r="HA363" s="143"/>
      <c r="HB363" s="143"/>
      <c r="HC363" s="143"/>
      <c r="HD363" s="143"/>
      <c r="HE363" s="143"/>
      <c r="HF363" s="143"/>
      <c r="HG363" s="143"/>
      <c r="HH363" s="143"/>
      <c r="HI363" s="143"/>
      <c r="HJ363" s="143"/>
      <c r="HK363" s="143"/>
      <c r="HL363" s="143"/>
      <c r="HM363" s="143"/>
      <c r="HN363" s="143"/>
      <c r="HO363" s="143"/>
      <c r="HP363" s="143"/>
      <c r="HQ363" s="143"/>
      <c r="HR363" s="143"/>
      <c r="HS363" s="143"/>
      <c r="HT363" s="143"/>
      <c r="HU363" s="143"/>
      <c r="HV363" s="143"/>
      <c r="HW363" s="143"/>
      <c r="HX363" s="143"/>
      <c r="HY363" s="143"/>
      <c r="HZ363" s="143"/>
      <c r="IA363" s="143"/>
      <c r="IB363" s="143"/>
      <c r="IC363" s="143"/>
      <c r="ID363" s="143"/>
      <c r="IE363" s="143"/>
      <c r="IF363" s="143"/>
      <c r="IG363" s="143"/>
      <c r="IH363" s="143"/>
      <c r="II363" s="143"/>
      <c r="IJ363" s="143"/>
      <c r="IK363" s="143"/>
      <c r="IL363" s="143"/>
      <c r="IM363" s="143"/>
      <c r="IN363" s="143"/>
      <c r="IO363" s="143"/>
      <c r="IP363" s="143"/>
      <c r="IQ363" s="143"/>
      <c r="IR363" s="143"/>
      <c r="IS363" s="143"/>
      <c r="IT363" s="143"/>
      <c r="IU363" s="143"/>
      <c r="IV363" s="143"/>
      <c r="IW363" s="143"/>
      <c r="IX363" s="143"/>
      <c r="IY363" s="143"/>
      <c r="IZ363" s="143"/>
      <c r="JA363" s="143"/>
      <c r="JB363" s="143"/>
      <c r="JC363" s="143"/>
      <c r="JD363" s="143"/>
      <c r="JE363" s="143"/>
      <c r="JF363" s="143"/>
      <c r="JG363" s="143"/>
      <c r="JH363" s="143"/>
      <c r="JI363" s="143"/>
    </row>
    <row r="364" spans="1:269" hidden="1" outlineLevel="1">
      <c r="A364" s="437"/>
      <c r="B364" s="143"/>
      <c r="C364" s="417"/>
      <c r="D364" s="417"/>
      <c r="E364" s="417"/>
      <c r="F364" s="414"/>
      <c r="G364" s="414"/>
      <c r="H364" s="414"/>
      <c r="I364" s="414"/>
      <c r="J364" s="417"/>
      <c r="K364" s="414"/>
      <c r="L364" s="414"/>
      <c r="M364" s="414"/>
      <c r="N364" s="414"/>
      <c r="O364" s="417"/>
      <c r="P364" s="414"/>
      <c r="Q364" s="414"/>
      <c r="R364" s="414"/>
      <c r="S364" s="414"/>
      <c r="T364" s="417"/>
      <c r="U364" s="414"/>
      <c r="V364" s="414"/>
      <c r="W364" s="414"/>
      <c r="X364" s="414"/>
      <c r="Y364" s="417"/>
      <c r="Z364" s="414"/>
      <c r="AA364" s="414"/>
      <c r="AB364" s="414"/>
      <c r="AC364" s="414"/>
      <c r="AD364" s="422"/>
      <c r="AE364" s="414"/>
      <c r="AF364" s="414"/>
      <c r="AG364" s="414"/>
      <c r="AH364" s="280"/>
      <c r="AI364" s="320"/>
      <c r="AJ364" s="280"/>
      <c r="AK364" s="280"/>
      <c r="AL364" s="280"/>
      <c r="AM364" s="280"/>
      <c r="AN364" s="320"/>
      <c r="AO364" s="280"/>
      <c r="AP364" s="280"/>
      <c r="AQ364" s="280"/>
      <c r="AR364" s="280"/>
      <c r="AS364" s="320"/>
      <c r="AT364" s="315"/>
      <c r="AU364" s="508"/>
      <c r="AV364" s="143"/>
      <c r="AW364" s="143"/>
      <c r="AX364" s="143"/>
      <c r="AY364" s="143"/>
      <c r="AZ364" s="143"/>
      <c r="BA364" s="143"/>
      <c r="BB364" s="143"/>
      <c r="BC364" s="143"/>
      <c r="BD364" s="143"/>
      <c r="BE364" s="143"/>
      <c r="BF364" s="143"/>
      <c r="BG364" s="143"/>
      <c r="BH364" s="143"/>
      <c r="BI364" s="143"/>
      <c r="BJ364" s="143"/>
      <c r="BK364" s="143"/>
      <c r="BL364" s="143"/>
      <c r="BM364" s="143"/>
      <c r="BN364" s="143"/>
      <c r="BO364" s="143"/>
      <c r="BP364" s="143"/>
      <c r="BQ364" s="143"/>
      <c r="BR364" s="143"/>
      <c r="BS364" s="143"/>
      <c r="BT364" s="143"/>
      <c r="BU364" s="143"/>
      <c r="BV364" s="143"/>
      <c r="BW364" s="143"/>
      <c r="BX364" s="143"/>
      <c r="BY364" s="143"/>
      <c r="BZ364" s="143"/>
      <c r="CA364" s="143"/>
      <c r="CB364" s="143"/>
      <c r="CC364" s="143"/>
      <c r="CD364" s="143"/>
      <c r="CE364" s="143"/>
      <c r="CF364" s="143"/>
      <c r="CG364" s="143"/>
      <c r="CH364" s="143"/>
      <c r="CI364" s="143"/>
      <c r="CJ364" s="143"/>
      <c r="CK364" s="143"/>
      <c r="CL364" s="143"/>
      <c r="CM364" s="143"/>
      <c r="CN364" s="143"/>
      <c r="CO364" s="143"/>
      <c r="CP364" s="143"/>
      <c r="CQ364" s="143"/>
      <c r="CR364" s="143"/>
      <c r="CS364" s="143"/>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c r="DO364" s="143"/>
      <c r="DP364" s="143"/>
      <c r="DQ364" s="143"/>
      <c r="DR364" s="143"/>
      <c r="DS364" s="143"/>
      <c r="DT364" s="143"/>
      <c r="DU364" s="143"/>
      <c r="DV364" s="143"/>
      <c r="DW364" s="143"/>
      <c r="DX364" s="143"/>
      <c r="DY364" s="143"/>
      <c r="DZ364" s="143"/>
      <c r="EA364" s="143"/>
      <c r="EB364" s="143"/>
      <c r="EC364" s="143"/>
      <c r="ED364" s="143"/>
      <c r="EE364" s="143"/>
      <c r="EF364" s="143"/>
      <c r="EG364" s="143"/>
      <c r="EH364" s="143"/>
      <c r="EI364" s="143"/>
      <c r="EJ364" s="143"/>
      <c r="EK364" s="143"/>
      <c r="EL364" s="143"/>
      <c r="EM364" s="143"/>
      <c r="EN364" s="143"/>
      <c r="EO364" s="143"/>
      <c r="EP364" s="143"/>
      <c r="EQ364" s="143"/>
      <c r="ER364" s="143"/>
      <c r="ES364" s="143"/>
      <c r="ET364" s="143"/>
      <c r="EU364" s="143"/>
      <c r="EV364" s="143"/>
      <c r="EW364" s="143"/>
      <c r="EX364" s="143"/>
      <c r="EY364" s="143"/>
      <c r="EZ364" s="143"/>
      <c r="FA364" s="143"/>
      <c r="FB364" s="143"/>
      <c r="FC364" s="143"/>
      <c r="FD364" s="143"/>
      <c r="FE364" s="143"/>
      <c r="FF364" s="143"/>
      <c r="FG364" s="143"/>
      <c r="FH364" s="143"/>
      <c r="FI364" s="143"/>
      <c r="FJ364" s="143"/>
      <c r="FK364" s="143"/>
      <c r="FL364" s="143"/>
      <c r="FM364" s="143"/>
      <c r="FN364" s="143"/>
      <c r="FO364" s="143"/>
      <c r="FP364" s="143"/>
      <c r="FQ364" s="143"/>
      <c r="FR364" s="143"/>
      <c r="FS364" s="143"/>
      <c r="FT364" s="143"/>
      <c r="FU364" s="143"/>
      <c r="FV364" s="143"/>
      <c r="FW364" s="143"/>
      <c r="FX364" s="143"/>
      <c r="FY364" s="143"/>
      <c r="FZ364" s="143"/>
      <c r="GA364" s="143"/>
      <c r="GB364" s="143"/>
      <c r="GC364" s="143"/>
      <c r="GD364" s="143"/>
      <c r="GE364" s="143"/>
      <c r="GF364" s="143"/>
      <c r="GG364" s="143"/>
      <c r="GH364" s="143"/>
      <c r="GI364" s="143"/>
      <c r="GJ364" s="143"/>
      <c r="GK364" s="143"/>
      <c r="GL364" s="143"/>
      <c r="GM364" s="143"/>
      <c r="GN364" s="143"/>
      <c r="GO364" s="143"/>
      <c r="GP364" s="143"/>
      <c r="GQ364" s="143"/>
      <c r="GR364" s="143"/>
      <c r="GS364" s="143"/>
      <c r="GT364" s="143"/>
      <c r="GU364" s="143"/>
      <c r="GV364" s="143"/>
      <c r="GW364" s="143"/>
      <c r="GX364" s="143"/>
      <c r="GY364" s="143"/>
      <c r="GZ364" s="143"/>
      <c r="HA364" s="143"/>
      <c r="HB364" s="143"/>
      <c r="HC364" s="143"/>
      <c r="HD364" s="143"/>
      <c r="HE364" s="143"/>
      <c r="HF364" s="143"/>
      <c r="HG364" s="143"/>
      <c r="HH364" s="143"/>
      <c r="HI364" s="143"/>
      <c r="HJ364" s="143"/>
      <c r="HK364" s="143"/>
      <c r="HL364" s="143"/>
      <c r="HM364" s="143"/>
      <c r="HN364" s="143"/>
      <c r="HO364" s="143"/>
      <c r="HP364" s="143"/>
      <c r="HQ364" s="143"/>
      <c r="HR364" s="143"/>
      <c r="HS364" s="143"/>
      <c r="HT364" s="143"/>
      <c r="HU364" s="143"/>
      <c r="HV364" s="143"/>
      <c r="HW364" s="143"/>
      <c r="HX364" s="143"/>
      <c r="HY364" s="143"/>
      <c r="HZ364" s="143"/>
      <c r="IA364" s="143"/>
      <c r="IB364" s="143"/>
      <c r="IC364" s="143"/>
      <c r="ID364" s="143"/>
      <c r="IE364" s="143"/>
      <c r="IF364" s="143"/>
      <c r="IG364" s="143"/>
      <c r="IH364" s="143"/>
      <c r="II364" s="143"/>
      <c r="IJ364" s="143"/>
      <c r="IK364" s="143"/>
      <c r="IL364" s="143"/>
      <c r="IM364" s="143"/>
      <c r="IN364" s="143"/>
      <c r="IO364" s="143"/>
      <c r="IP364" s="143"/>
      <c r="IQ364" s="143"/>
      <c r="IR364" s="143"/>
      <c r="IS364" s="143"/>
      <c r="IT364" s="143"/>
      <c r="IU364" s="143"/>
      <c r="IV364" s="143"/>
      <c r="IW364" s="143"/>
      <c r="IX364" s="143"/>
      <c r="IY364" s="143"/>
      <c r="IZ364" s="143"/>
      <c r="JA364" s="143"/>
      <c r="JB364" s="143"/>
      <c r="JC364" s="143"/>
      <c r="JD364" s="143"/>
      <c r="JE364" s="143"/>
      <c r="JF364" s="143"/>
      <c r="JG364" s="143"/>
      <c r="JH364" s="143"/>
      <c r="JI364" s="143"/>
    </row>
    <row r="365" spans="1:269" ht="15" hidden="1" outlineLevel="1" thickBot="1">
      <c r="A365" s="80" t="s">
        <v>253</v>
      </c>
      <c r="B365" s="67"/>
      <c r="C365" s="478"/>
      <c r="D365" s="478"/>
      <c r="E365" s="478"/>
      <c r="F365" s="477"/>
      <c r="G365" s="477"/>
      <c r="H365" s="477"/>
      <c r="I365" s="477"/>
      <c r="J365" s="478"/>
      <c r="K365" s="477"/>
      <c r="L365" s="477"/>
      <c r="M365" s="477"/>
      <c r="N365" s="477"/>
      <c r="O365" s="478"/>
      <c r="P365" s="477"/>
      <c r="Q365" s="477"/>
      <c r="R365" s="477"/>
      <c r="S365" s="477"/>
      <c r="T365" s="478"/>
      <c r="U365" s="477"/>
      <c r="V365" s="477"/>
      <c r="W365" s="477"/>
      <c r="X365" s="477"/>
      <c r="Y365" s="478"/>
      <c r="Z365" s="477"/>
      <c r="AA365" s="477"/>
      <c r="AB365" s="477"/>
      <c r="AC365" s="477"/>
      <c r="AD365" s="479"/>
      <c r="AE365" s="477"/>
      <c r="AF365" s="477"/>
      <c r="AG365" s="477"/>
      <c r="AH365" s="72"/>
      <c r="AI365" s="329"/>
      <c r="AJ365" s="72"/>
      <c r="AK365" s="72"/>
      <c r="AL365" s="72"/>
      <c r="AM365" s="72"/>
      <c r="AN365" s="329"/>
      <c r="AO365" s="72"/>
      <c r="AP365" s="72"/>
      <c r="AQ365" s="72"/>
      <c r="AR365" s="72"/>
      <c r="AS365" s="329"/>
      <c r="AT365" s="315"/>
      <c r="AU365" s="508"/>
      <c r="AV365" s="143"/>
      <c r="AW365" s="143"/>
      <c r="AX365" s="143"/>
      <c r="AY365" s="143"/>
      <c r="AZ365" s="143"/>
      <c r="BA365" s="143"/>
      <c r="BB365" s="143"/>
      <c r="BC365" s="143"/>
      <c r="BD365" s="143"/>
      <c r="BE365" s="143"/>
      <c r="BF365" s="143"/>
      <c r="BG365" s="143"/>
      <c r="BH365" s="143"/>
      <c r="BI365" s="143"/>
      <c r="BJ365" s="143"/>
      <c r="BK365" s="143"/>
      <c r="BL365" s="143"/>
      <c r="BM365" s="143"/>
      <c r="BN365" s="143"/>
      <c r="BO365" s="143"/>
      <c r="BP365" s="143"/>
      <c r="BQ365" s="143"/>
      <c r="BR365" s="143"/>
      <c r="BS365" s="143"/>
      <c r="BT365" s="143"/>
      <c r="BU365" s="143"/>
      <c r="BV365" s="143"/>
      <c r="BW365" s="143"/>
      <c r="BX365" s="143"/>
      <c r="BY365" s="143"/>
      <c r="BZ365" s="143"/>
      <c r="CA365" s="143"/>
      <c r="CB365" s="143"/>
      <c r="CC365" s="143"/>
      <c r="CD365" s="143"/>
      <c r="CE365" s="143"/>
      <c r="CF365" s="143"/>
      <c r="CG365" s="143"/>
      <c r="CH365" s="143"/>
      <c r="CI365" s="143"/>
      <c r="CJ365" s="143"/>
      <c r="CK365" s="143"/>
      <c r="CL365" s="143"/>
      <c r="CM365" s="143"/>
      <c r="CN365" s="143"/>
      <c r="CO365" s="143"/>
      <c r="CP365" s="143"/>
      <c r="CQ365" s="143"/>
      <c r="CR365" s="143"/>
      <c r="CS365" s="143"/>
      <c r="CT365" s="143"/>
      <c r="CU365" s="143"/>
      <c r="CV365" s="143"/>
      <c r="CW365" s="143"/>
      <c r="CX365" s="143"/>
      <c r="CY365" s="143"/>
      <c r="CZ365" s="143"/>
      <c r="DA365" s="143"/>
      <c r="DB365" s="143"/>
      <c r="DC365" s="143"/>
      <c r="DD365" s="143"/>
      <c r="DE365" s="143"/>
      <c r="DF365" s="143"/>
      <c r="DG365" s="143"/>
      <c r="DH365" s="143"/>
      <c r="DI365" s="143"/>
      <c r="DJ365" s="143"/>
      <c r="DK365" s="143"/>
      <c r="DL365" s="143"/>
      <c r="DM365" s="143"/>
      <c r="DN365" s="143"/>
      <c r="DO365" s="143"/>
      <c r="DP365" s="143"/>
      <c r="DQ365" s="143"/>
      <c r="DR365" s="143"/>
      <c r="DS365" s="143"/>
      <c r="DT365" s="143"/>
      <c r="DU365" s="143"/>
      <c r="DV365" s="143"/>
      <c r="DW365" s="143"/>
      <c r="DX365" s="143"/>
      <c r="DY365" s="143"/>
      <c r="DZ365" s="143"/>
      <c r="EA365" s="143"/>
      <c r="EB365" s="143"/>
      <c r="EC365" s="143"/>
      <c r="ED365" s="143"/>
      <c r="EE365" s="143"/>
      <c r="EF365" s="143"/>
      <c r="EG365" s="143"/>
      <c r="EH365" s="143"/>
      <c r="EI365" s="143"/>
      <c r="EJ365" s="143"/>
      <c r="EK365" s="143"/>
      <c r="EL365" s="143"/>
      <c r="EM365" s="143"/>
      <c r="EN365" s="143"/>
      <c r="EO365" s="143"/>
      <c r="EP365" s="143"/>
      <c r="EQ365" s="143"/>
      <c r="ER365" s="143"/>
      <c r="ES365" s="143"/>
      <c r="ET365" s="143"/>
      <c r="EU365" s="143"/>
      <c r="EV365" s="143"/>
      <c r="EW365" s="143"/>
      <c r="EX365" s="143"/>
      <c r="EY365" s="143"/>
      <c r="EZ365" s="143"/>
      <c r="FA365" s="143"/>
      <c r="FB365" s="143"/>
      <c r="FC365" s="143"/>
      <c r="FD365" s="143"/>
      <c r="FE365" s="143"/>
      <c r="FF365" s="143"/>
      <c r="FG365" s="143"/>
      <c r="FH365" s="143"/>
      <c r="FI365" s="143"/>
      <c r="FJ365" s="143"/>
      <c r="FK365" s="143"/>
      <c r="FL365" s="143"/>
      <c r="FM365" s="143"/>
      <c r="FN365" s="143"/>
      <c r="FO365" s="143"/>
      <c r="FP365" s="143"/>
      <c r="FQ365" s="143"/>
      <c r="FR365" s="143"/>
      <c r="FS365" s="143"/>
      <c r="FT365" s="143"/>
      <c r="FU365" s="143"/>
      <c r="FV365" s="143"/>
      <c r="FW365" s="143"/>
      <c r="FX365" s="143"/>
      <c r="FY365" s="143"/>
      <c r="FZ365" s="143"/>
      <c r="GA365" s="143"/>
      <c r="GB365" s="143"/>
      <c r="GC365" s="143"/>
      <c r="GD365" s="143"/>
      <c r="GE365" s="143"/>
      <c r="GF365" s="143"/>
      <c r="GG365" s="143"/>
      <c r="GH365" s="143"/>
      <c r="GI365" s="143"/>
      <c r="GJ365" s="143"/>
      <c r="GK365" s="143"/>
      <c r="GL365" s="143"/>
      <c r="GM365" s="143"/>
      <c r="GN365" s="143"/>
      <c r="GO365" s="143"/>
      <c r="GP365" s="143"/>
      <c r="GQ365" s="143"/>
      <c r="GR365" s="143"/>
      <c r="GS365" s="143"/>
      <c r="GT365" s="143"/>
      <c r="GU365" s="143"/>
      <c r="GV365" s="143"/>
      <c r="GW365" s="143"/>
      <c r="GX365" s="143"/>
      <c r="GY365" s="143"/>
      <c r="GZ365" s="143"/>
      <c r="HA365" s="143"/>
      <c r="HB365" s="143"/>
      <c r="HC365" s="143"/>
      <c r="HD365" s="143"/>
      <c r="HE365" s="143"/>
      <c r="HF365" s="143"/>
      <c r="HG365" s="143"/>
      <c r="HH365" s="143"/>
      <c r="HI365" s="143"/>
      <c r="HJ365" s="143"/>
      <c r="HK365" s="143"/>
      <c r="HL365" s="143"/>
      <c r="HM365" s="143"/>
      <c r="HN365" s="143"/>
      <c r="HO365" s="143"/>
      <c r="HP365" s="143"/>
      <c r="HQ365" s="143"/>
      <c r="HR365" s="143"/>
      <c r="HS365" s="143"/>
      <c r="HT365" s="143"/>
      <c r="HU365" s="143"/>
      <c r="HV365" s="143"/>
      <c r="HW365" s="143"/>
      <c r="HX365" s="143"/>
      <c r="HY365" s="143"/>
      <c r="HZ365" s="143"/>
      <c r="IA365" s="143"/>
      <c r="IB365" s="143"/>
      <c r="IC365" s="143"/>
      <c r="ID365" s="143"/>
      <c r="IE365" s="143"/>
      <c r="IF365" s="143"/>
      <c r="IG365" s="143"/>
      <c r="IH365" s="143"/>
      <c r="II365" s="143"/>
      <c r="IJ365" s="143"/>
      <c r="IK365" s="143"/>
      <c r="IL365" s="143"/>
      <c r="IM365" s="143"/>
      <c r="IN365" s="143"/>
      <c r="IO365" s="143"/>
      <c r="IP365" s="143"/>
      <c r="IQ365" s="143"/>
      <c r="IR365" s="143"/>
      <c r="IS365" s="143"/>
      <c r="IT365" s="143"/>
      <c r="IU365" s="143"/>
      <c r="IV365" s="143"/>
      <c r="IW365" s="143"/>
      <c r="IX365" s="143"/>
      <c r="IY365" s="143"/>
      <c r="IZ365" s="143"/>
      <c r="JA365" s="143"/>
      <c r="JB365" s="143"/>
      <c r="JC365" s="143"/>
      <c r="JD365" s="143"/>
      <c r="JE365" s="143"/>
      <c r="JF365" s="143"/>
      <c r="JG365" s="143"/>
      <c r="JH365" s="143"/>
      <c r="JI365" s="143"/>
    </row>
    <row r="366" spans="1:269" ht="15" hidden="1" outlineLevel="1" thickTop="1">
      <c r="A366" s="468" t="s">
        <v>244</v>
      </c>
      <c r="B366" s="143" t="s">
        <v>243</v>
      </c>
      <c r="C366" s="74" t="e">
        <f>SUM(#REF!)</f>
        <v>#REF!</v>
      </c>
      <c r="D366" s="74" t="e">
        <f>SUM(#REF!)</f>
        <v>#REF!</v>
      </c>
      <c r="E366" s="74" t="e">
        <f>SUM(#REF!)</f>
        <v>#REF!</v>
      </c>
      <c r="F366" s="445" t="e">
        <f>_xll.BQL.QUERY("get(sum(px_last(start=" &amp; TEXT(#REF!, "YYYY-MM-DD") &amp; ", end=" &amp; TEXT(F$5, "YYYY-MM-DD") &amp; "))) for('"&amp;$B366&amp;"')")</f>
        <v>#REF!</v>
      </c>
      <c r="G366" s="445">
        <f>_xll.BQL.QUERY("get(sum(px_last(start=" &amp; TEXT(F$5, "YYYY-MM-DD") &amp; ", end=" &amp; TEXT(G$5, "YYYY-MM-DD") &amp; "))) for('"&amp;$B366&amp;"')")</f>
        <v>46000</v>
      </c>
      <c r="H366" s="445">
        <f>_xll.BQL.QUERY("get(sum(px_last(start=" &amp; TEXT(G$5, "YYYY-MM-DD") &amp; ", end=" &amp; TEXT(H$5, "YYYY-MM-DD") &amp; "))) for('"&amp;$B366&amp;"')")</f>
        <v>44500</v>
      </c>
      <c r="I366" s="445">
        <f>_xll.BQL.QUERY("get(sum(px_last(start=" &amp; TEXT(H$5, "YYYY-MM-DD") &amp; ", end=" &amp; TEXT(I$5, "YYYY-MM-DD") &amp; "))) for('"&amp;$B366&amp;"')")</f>
        <v>36500</v>
      </c>
      <c r="J366" s="74" t="e">
        <f>SUM(#REF!)</f>
        <v>#REF!</v>
      </c>
      <c r="K366" s="445" t="e">
        <f>_xll.BQL.QUERY("get(sum(px_last(start=" &amp; TEXT(#REF!, "YYYY-MM-DD") &amp; ", end=" &amp; TEXT(K$5, "YYYY-MM-DD") &amp; "))) for('"&amp;$B366&amp;"')")</f>
        <v>#REF!</v>
      </c>
      <c r="L366" s="445">
        <f>_xll.BQL.QUERY("get(sum(px_last(start=" &amp; TEXT(K$5, "YYYY-MM-DD") &amp; ", end=" &amp; TEXT(L$5, "YYYY-MM-DD") &amp; "))) for('"&amp;$B366&amp;"')")</f>
        <v>14725</v>
      </c>
      <c r="M366" s="445">
        <f>_xll.BQL.QUERY("get(sum(px_last(start=" &amp; TEXT(L$5, "YYYY-MM-DD") &amp; ", end=" &amp; TEXT(M$5, "YYYY-MM-DD") &amp; "))) for('"&amp;$B366&amp;"')")</f>
        <v>1275</v>
      </c>
      <c r="N366" s="445">
        <f>_xll.BQL.QUERY("get(sum(px_last(start=" &amp; TEXT(M$5, "YYYY-MM-DD") &amp; ", end=" &amp; TEXT(N$5, "YYYY-MM-DD") &amp; "))) for('"&amp;$B366&amp;"')")</f>
        <v>3150</v>
      </c>
      <c r="O366" s="74" t="e">
        <f>SUM(K366:N366)</f>
        <v>#REF!</v>
      </c>
      <c r="P366" s="445">
        <f>_xll.BQL.QUERY("get(sum(px_last(start=" &amp; TEXT(O$5, "YYYY-MM-DD") &amp; ", end=" &amp; TEXT(P$5, "YYYY-MM-DD") &amp; "))) for('"&amp;$B366&amp;"')")</f>
        <v>3850</v>
      </c>
      <c r="Q366" s="445">
        <f>_xll.BQL.QUERY("get(sum(px_last(start=" &amp; TEXT(P$5, "YYYY-MM-DD") &amp; ", end=" &amp; TEXT(Q$5, "YYYY-MM-DD") &amp; "))) for('"&amp;$B366&amp;"')")</f>
        <v>3950</v>
      </c>
      <c r="R366" s="445">
        <f>_xll.BQL.QUERY("get(sum(px_last(start=" &amp; TEXT(Q$5, "YYYY-MM-DD") &amp; ", end=" &amp; TEXT(R$5, "YYYY-MM-DD") &amp; "))) for('"&amp;$B366&amp;"')")</f>
        <v>4700</v>
      </c>
      <c r="S366" s="445">
        <f>_xll.BQL.QUERY("get(sum(px_last(start=" &amp; TEXT(R$5, "YYYY-MM-DD") &amp; ", end=" &amp; TEXT(S$5, "YYYY-MM-DD") &amp; "))) for('"&amp;$B366&amp;"')")</f>
        <v>4900</v>
      </c>
      <c r="T366" s="74">
        <f>SUM(P366:S366)</f>
        <v>17400</v>
      </c>
      <c r="U366" s="445">
        <f>_xll.BQL.QUERY("get(sum(px_last(start=" &amp; TEXT(T$5, "YYYY-MM-DD") &amp; ", end=" &amp; TEXT(U$5, "YYYY-MM-DD") &amp; "))) for('"&amp;$B366&amp;"')")</f>
        <v>4500</v>
      </c>
      <c r="V366" s="445">
        <f>_xll.BQL.QUERY("get(sum(px_last(start=" &amp; TEXT(U$5, "YYYY-MM-DD") &amp; ", end=" &amp; TEXT(V$5, "YYYY-MM-DD") &amp; "))) for('"&amp;$B366&amp;"')")</f>
        <v>4300</v>
      </c>
      <c r="W366" s="445">
        <f>_xll.BQL.QUERY("get(sum(px_last(start=" &amp; TEXT(V$5, "YYYY-MM-DD") &amp; ", end=" &amp; TEXT(W$5, "YYYY-MM-DD") &amp; "))) for('"&amp;$B366&amp;"')")</f>
        <v>4400</v>
      </c>
      <c r="X366" s="445">
        <f>_xll.BQL.QUERY("get(sum(px_last(start=" &amp; TEXT(W$5, "YYYY-MM-DD") &amp; ", end=" &amp; TEXT(X$5, "YYYY-MM-DD") &amp; "))) for('"&amp;$B366&amp;"')")</f>
        <v>4600</v>
      </c>
      <c r="Y366" s="74">
        <f>SUM(U366:X366)</f>
        <v>17800</v>
      </c>
      <c r="Z366" s="445">
        <f>_xll.BQL.QUERY("get(sum(px_last(start=" &amp; TEXT(Y$5, "YYYY-MM-DD") &amp; ", end=" &amp; TEXT(Z$5, "YYYY-MM-DD") &amp; "))) for('"&amp;$B366&amp;"')")</f>
        <v>12200</v>
      </c>
      <c r="AA366" s="445">
        <f>_xll.BQL.QUERY("get(sum(px_last(start=" &amp; TEXT(Z$5, "YYYY-MM-DD") &amp; ", end=" &amp; TEXT(AA$5, "YYYY-MM-DD") &amp; "))) for('"&amp;$B366&amp;"')")</f>
        <v>26300</v>
      </c>
      <c r="AB366" s="445">
        <f>_xll.BQL.QUERY("get(sum(px_last(start=" &amp; TEXT(AA$5, "YYYY-MM-DD") &amp; ", end=" &amp; TEXT(AB$5, "YYYY-MM-DD") &amp; "))) for('"&amp;$B366&amp;"')")</f>
        <v>41000</v>
      </c>
      <c r="AC366" s="445">
        <f>_xll.BQL.QUERY("get(sum(px_last(start=" &amp; TEXT(AB$5, "YYYY-MM-DD") &amp; ", end=" &amp; TEXT(AC$5, "YYYY-MM-DD") &amp; "))) for('"&amp;$B366&amp;"')")</f>
        <v>24500</v>
      </c>
      <c r="AD366" s="283">
        <f>SUM(Z366:AC366)</f>
        <v>104000</v>
      </c>
      <c r="AE366" s="445" t="str">
        <f>_xll.BQL.QUERY("get(sum(px_last(start=" &amp; TEXT(AD$5, "YYYY-MM-DD") &amp; ", end=" &amp; TEXT(AE$5, "YYYY-MM-DD") &amp; "))) for('"&amp;$B366&amp;"')")</f>
        <v>#N/A</v>
      </c>
      <c r="AF366" s="445" t="str">
        <f>_xll.BQL.QUERY("get(sum(px_last(start=" &amp; TEXT(AE$5, "YYYY-MM-DD") &amp; ", end=" &amp; TEXT(AF$5, "YYYY-MM-DD") &amp; "))) for('"&amp;$B366&amp;"')")</f>
        <v>#N/A</v>
      </c>
      <c r="AG366" s="445" t="str">
        <f>_xll.BQL.QUERY("get(sum(px_last(start=" &amp; TEXT(AF$5, "YYYY-MM-DD") &amp; ", end=" &amp; TEXT(AG$5, "YYYY-MM-DD") &amp; "))) for('"&amp;$B366&amp;"')")</f>
        <v>#N/A</v>
      </c>
      <c r="AH366" s="414"/>
      <c r="AI366" s="422"/>
      <c r="AJ366" s="414"/>
      <c r="AK366" s="414"/>
      <c r="AL366" s="414"/>
      <c r="AM366" s="414"/>
      <c r="AN366" s="422"/>
      <c r="AO366" s="280"/>
      <c r="AP366" s="280"/>
      <c r="AQ366" s="280"/>
      <c r="AR366" s="280"/>
      <c r="AS366" s="320"/>
      <c r="AT366" s="315"/>
      <c r="AU366" s="508"/>
      <c r="AV366" s="143"/>
      <c r="AW366" s="143"/>
      <c r="AX366" s="143"/>
      <c r="AY366" s="143"/>
      <c r="AZ366" s="143"/>
      <c r="BA366" s="143"/>
      <c r="BB366" s="143"/>
      <c r="BC366" s="143"/>
      <c r="BD366" s="143"/>
      <c r="BE366" s="143"/>
      <c r="BF366" s="143"/>
      <c r="BG366" s="143"/>
      <c r="BH366" s="143"/>
      <c r="BI366" s="143"/>
      <c r="BJ366" s="143"/>
      <c r="BK366" s="143"/>
      <c r="BL366" s="143"/>
      <c r="BM366" s="143"/>
      <c r="BN366" s="143"/>
      <c r="BO366" s="143"/>
      <c r="BP366" s="143"/>
      <c r="BQ366" s="143"/>
      <c r="BR366" s="143"/>
      <c r="BS366" s="143"/>
      <c r="BT366" s="143"/>
      <c r="BU366" s="143"/>
      <c r="BV366" s="143"/>
      <c r="BW366" s="143"/>
      <c r="BX366" s="143"/>
      <c r="BY366" s="143"/>
      <c r="BZ366" s="143"/>
      <c r="CA366" s="143"/>
      <c r="CB366" s="143"/>
      <c r="CC366" s="143"/>
      <c r="CD366" s="143"/>
      <c r="CE366" s="143"/>
      <c r="CF366" s="143"/>
      <c r="CG366" s="143"/>
      <c r="CH366" s="143"/>
      <c r="CI366" s="143"/>
      <c r="CJ366" s="143"/>
      <c r="CK366" s="143"/>
      <c r="CL366" s="143"/>
      <c r="CM366" s="143"/>
      <c r="CN366" s="143"/>
      <c r="CO366" s="143"/>
      <c r="CP366" s="143"/>
      <c r="CQ366" s="143"/>
      <c r="CR366" s="143"/>
      <c r="CS366" s="143"/>
      <c r="CT366" s="143"/>
      <c r="CU366" s="143"/>
      <c r="CV366" s="143"/>
      <c r="CW366" s="143"/>
      <c r="CX366" s="143"/>
      <c r="CY366" s="143"/>
      <c r="CZ366" s="143"/>
      <c r="DA366" s="143"/>
      <c r="DB366" s="143"/>
      <c r="DC366" s="143"/>
      <c r="DD366" s="143"/>
      <c r="DE366" s="143"/>
      <c r="DF366" s="143"/>
      <c r="DG366" s="143"/>
      <c r="DH366" s="143"/>
      <c r="DI366" s="143"/>
      <c r="DJ366" s="143"/>
      <c r="DK366" s="143"/>
      <c r="DL366" s="143"/>
      <c r="DM366" s="143"/>
      <c r="DN366" s="143"/>
      <c r="DO366" s="143"/>
      <c r="DP366" s="143"/>
      <c r="DQ366" s="143"/>
      <c r="DR366" s="143"/>
      <c r="DS366" s="143"/>
      <c r="DT366" s="143"/>
      <c r="DU366" s="143"/>
      <c r="DV366" s="143"/>
      <c r="DW366" s="143"/>
      <c r="DX366" s="143"/>
      <c r="DY366" s="143"/>
      <c r="DZ366" s="143"/>
      <c r="EA366" s="143"/>
      <c r="EB366" s="143"/>
      <c r="EC366" s="143"/>
      <c r="ED366" s="143"/>
      <c r="EE366" s="143"/>
      <c r="EF366" s="143"/>
      <c r="EG366" s="143"/>
      <c r="EH366" s="143"/>
      <c r="EI366" s="143"/>
      <c r="EJ366" s="143"/>
      <c r="EK366" s="143"/>
      <c r="EL366" s="143"/>
      <c r="EM366" s="143"/>
      <c r="EN366" s="143"/>
      <c r="EO366" s="143"/>
      <c r="EP366" s="143"/>
      <c r="EQ366" s="143"/>
      <c r="ER366" s="143"/>
      <c r="ES366" s="143"/>
      <c r="ET366" s="143"/>
      <c r="EU366" s="143"/>
      <c r="EV366" s="143"/>
      <c r="EW366" s="143"/>
      <c r="EX366" s="143"/>
      <c r="EY366" s="143"/>
      <c r="EZ366" s="143"/>
      <c r="FA366" s="143"/>
      <c r="FB366" s="143"/>
      <c r="FC366" s="143"/>
      <c r="FD366" s="143"/>
      <c r="FE366" s="143"/>
      <c r="FF366" s="143"/>
      <c r="FG366" s="143"/>
      <c r="FH366" s="143"/>
      <c r="FI366" s="143"/>
      <c r="FJ366" s="143"/>
      <c r="FK366" s="143"/>
      <c r="FL366" s="143"/>
      <c r="FM366" s="143"/>
      <c r="FN366" s="143"/>
      <c r="FO366" s="143"/>
      <c r="FP366" s="143"/>
      <c r="FQ366" s="143"/>
      <c r="FR366" s="143"/>
      <c r="FS366" s="143"/>
      <c r="FT366" s="143"/>
      <c r="FU366" s="143"/>
      <c r="FV366" s="143"/>
      <c r="FW366" s="143"/>
      <c r="FX366" s="143"/>
      <c r="FY366" s="143"/>
      <c r="FZ366" s="143"/>
      <c r="GA366" s="143"/>
      <c r="GB366" s="143"/>
      <c r="GC366" s="143"/>
      <c r="GD366" s="143"/>
      <c r="GE366" s="143"/>
      <c r="GF366" s="143"/>
      <c r="GG366" s="143"/>
      <c r="GH366" s="143"/>
      <c r="GI366" s="143"/>
      <c r="GJ366" s="143"/>
      <c r="GK366" s="143"/>
      <c r="GL366" s="143"/>
      <c r="GM366" s="143"/>
      <c r="GN366" s="143"/>
      <c r="GO366" s="143"/>
      <c r="GP366" s="143"/>
      <c r="GQ366" s="143"/>
      <c r="GR366" s="143"/>
      <c r="GS366" s="143"/>
      <c r="GT366" s="143"/>
      <c r="GU366" s="143"/>
      <c r="GV366" s="143"/>
      <c r="GW366" s="143"/>
      <c r="GX366" s="143"/>
      <c r="GY366" s="143"/>
      <c r="GZ366" s="143"/>
      <c r="HA366" s="143"/>
      <c r="HB366" s="143"/>
      <c r="HC366" s="143"/>
      <c r="HD366" s="143"/>
      <c r="HE366" s="143"/>
      <c r="HF366" s="143"/>
      <c r="HG366" s="143"/>
      <c r="HH366" s="143"/>
      <c r="HI366" s="143"/>
      <c r="HJ366" s="143"/>
      <c r="HK366" s="143"/>
      <c r="HL366" s="143"/>
      <c r="HM366" s="143"/>
      <c r="HN366" s="143"/>
      <c r="HO366" s="143"/>
      <c r="HP366" s="143"/>
      <c r="HQ366" s="143"/>
      <c r="HR366" s="143"/>
      <c r="HS366" s="143"/>
      <c r="HT366" s="143"/>
      <c r="HU366" s="143"/>
      <c r="HV366" s="143"/>
      <c r="HW366" s="143"/>
      <c r="HX366" s="143"/>
      <c r="HY366" s="143"/>
      <c r="HZ366" s="143"/>
      <c r="IA366" s="143"/>
      <c r="IB366" s="143"/>
      <c r="IC366" s="143"/>
      <c r="ID366" s="143"/>
      <c r="IE366" s="143"/>
      <c r="IF366" s="143"/>
      <c r="IG366" s="143"/>
      <c r="IH366" s="143"/>
      <c r="II366" s="143"/>
      <c r="IJ366" s="143"/>
      <c r="IK366" s="143"/>
      <c r="IL366" s="143"/>
      <c r="IM366" s="143"/>
      <c r="IN366" s="143"/>
      <c r="IO366" s="143"/>
      <c r="IP366" s="143"/>
      <c r="IQ366" s="143"/>
      <c r="IR366" s="143"/>
      <c r="IS366" s="143"/>
      <c r="IT366" s="143"/>
      <c r="IU366" s="143"/>
      <c r="IV366" s="143"/>
      <c r="IW366" s="143"/>
      <c r="IX366" s="143"/>
      <c r="IY366" s="143"/>
      <c r="IZ366" s="143"/>
      <c r="JA366" s="143"/>
      <c r="JB366" s="143"/>
      <c r="JC366" s="143"/>
      <c r="JD366" s="143"/>
      <c r="JE366" s="143"/>
      <c r="JF366" s="143"/>
      <c r="JG366" s="143"/>
      <c r="JH366" s="143"/>
      <c r="JI366" s="143"/>
    </row>
    <row r="367" spans="1:269" hidden="1" outlineLevel="1">
      <c r="A367" s="437" t="s">
        <v>208</v>
      </c>
      <c r="B367" s="143"/>
      <c r="C367" s="417" t="e">
        <f>C366/#REF!-1</f>
        <v>#REF!</v>
      </c>
      <c r="D367" s="417" t="e">
        <f>D366/#REF!-1</f>
        <v>#REF!</v>
      </c>
      <c r="E367" s="417" t="e">
        <f>E366/#REF!-1</f>
        <v>#REF!</v>
      </c>
      <c r="F367" s="414" t="e">
        <f>F366/#REF!-1</f>
        <v>#REF!</v>
      </c>
      <c r="G367" s="414" t="e">
        <f>G366/#REF!-1</f>
        <v>#REF!</v>
      </c>
      <c r="H367" s="414" t="e">
        <f>H366/#REF!-1</f>
        <v>#REF!</v>
      </c>
      <c r="I367" s="414" t="e">
        <f>I366/#REF!-1</f>
        <v>#REF!</v>
      </c>
      <c r="J367" s="417" t="e">
        <f>J366/#REF!-1</f>
        <v>#REF!</v>
      </c>
      <c r="K367" s="414" t="e">
        <f>K366/#REF!-1</f>
        <v>#REF!</v>
      </c>
      <c r="L367" s="414" t="e">
        <f>L366/#REF!-1</f>
        <v>#REF!</v>
      </c>
      <c r="M367" s="414" t="e">
        <f>M366/#REF!-1</f>
        <v>#REF!</v>
      </c>
      <c r="N367" s="414" t="e">
        <f>N366/#REF!-1</f>
        <v>#REF!</v>
      </c>
      <c r="O367" s="417" t="e">
        <f>O366/#REF!-1</f>
        <v>#REF!</v>
      </c>
      <c r="P367" s="414" t="e">
        <f t="shared" ref="P367" si="731">P366/K366-1</f>
        <v>#REF!</v>
      </c>
      <c r="Q367" s="414">
        <f t="shared" ref="Q367" si="732">Q366/L366-1</f>
        <v>-0.73174872665534807</v>
      </c>
      <c r="R367" s="414">
        <f t="shared" ref="R367" si="733">R366/M366-1</f>
        <v>2.6862745098039214</v>
      </c>
      <c r="S367" s="414">
        <f t="shared" ref="S367" si="734">S366/N366-1</f>
        <v>0.55555555555555558</v>
      </c>
      <c r="T367" s="417" t="e">
        <f t="shared" ref="T367" si="735">T366/O366-1</f>
        <v>#REF!</v>
      </c>
      <c r="U367" s="414">
        <f t="shared" ref="U367" si="736">U366/P366-1</f>
        <v>0.16883116883116878</v>
      </c>
      <c r="V367" s="414">
        <f t="shared" ref="V367" si="737">V366/Q366-1</f>
        <v>8.8607594936708889E-2</v>
      </c>
      <c r="W367" s="414">
        <f t="shared" ref="W367" si="738">W366/R366-1</f>
        <v>-6.3829787234042534E-2</v>
      </c>
      <c r="X367" s="414">
        <f t="shared" ref="X367" si="739">X366/S366-1</f>
        <v>-6.1224489795918324E-2</v>
      </c>
      <c r="Y367" s="417">
        <f t="shared" ref="Y367" si="740">Y366/T366-1</f>
        <v>2.2988505747126409E-2</v>
      </c>
      <c r="Z367" s="414">
        <f t="shared" ref="Z367" si="741">Z366/U366-1</f>
        <v>1.7111111111111112</v>
      </c>
      <c r="AA367" s="414">
        <f t="shared" ref="AA367" si="742">AA366/V366-1</f>
        <v>5.1162790697674421</v>
      </c>
      <c r="AB367" s="414">
        <f t="shared" ref="AB367" si="743">AB366/W366-1</f>
        <v>8.3181818181818183</v>
      </c>
      <c r="AC367" s="414">
        <f t="shared" ref="AC367" si="744">AC366/X366-1</f>
        <v>4.3260869565217392</v>
      </c>
      <c r="AD367" s="422">
        <f t="shared" ref="AD367" si="745">AD366/Y366-1</f>
        <v>4.8426966292134832</v>
      </c>
      <c r="AE367" s="414" t="e">
        <f t="shared" ref="AE367" si="746">AE366/Z366-1</f>
        <v>#VALUE!</v>
      </c>
      <c r="AF367" s="414" t="e">
        <f t="shared" ref="AF367" si="747">AF366/AA366-1</f>
        <v>#VALUE!</v>
      </c>
      <c r="AG367" s="414" t="e">
        <f t="shared" ref="AG367" si="748">AG366/AB366-1</f>
        <v>#VALUE!</v>
      </c>
      <c r="AH367" s="414"/>
      <c r="AI367" s="422"/>
      <c r="AJ367" s="414"/>
      <c r="AK367" s="414"/>
      <c r="AL367" s="414"/>
      <c r="AM367" s="414"/>
      <c r="AN367" s="422"/>
      <c r="AO367" s="280"/>
      <c r="AP367" s="280"/>
      <c r="AQ367" s="280"/>
      <c r="AR367" s="280"/>
      <c r="AS367" s="320"/>
      <c r="AT367" s="315"/>
      <c r="AU367" s="508"/>
      <c r="AV367" s="143"/>
      <c r="AW367" s="143"/>
      <c r="AX367" s="143"/>
      <c r="AY367" s="143"/>
      <c r="AZ367" s="143"/>
      <c r="BA367" s="143"/>
      <c r="BB367" s="143"/>
      <c r="BC367" s="143"/>
      <c r="BD367" s="143"/>
      <c r="BE367" s="143"/>
      <c r="BF367" s="143"/>
      <c r="BG367" s="143"/>
      <c r="BH367" s="143"/>
      <c r="BI367" s="143"/>
      <c r="BJ367" s="143"/>
      <c r="BK367" s="143"/>
      <c r="BL367" s="143"/>
      <c r="BM367" s="143"/>
      <c r="BN367" s="143"/>
      <c r="BO367" s="143"/>
      <c r="BP367" s="143"/>
      <c r="BQ367" s="143"/>
      <c r="BR367" s="143"/>
      <c r="BS367" s="143"/>
      <c r="BT367" s="143"/>
      <c r="BU367" s="143"/>
      <c r="BV367" s="143"/>
      <c r="BW367" s="143"/>
      <c r="BX367" s="143"/>
      <c r="BY367" s="143"/>
      <c r="BZ367" s="143"/>
      <c r="CA367" s="143"/>
      <c r="CB367" s="143"/>
      <c r="CC367" s="143"/>
      <c r="CD367" s="143"/>
      <c r="CE367" s="143"/>
      <c r="CF367" s="143"/>
      <c r="CG367" s="143"/>
      <c r="CH367" s="143"/>
      <c r="CI367" s="143"/>
      <c r="CJ367" s="143"/>
      <c r="CK367" s="143"/>
      <c r="CL367" s="143"/>
      <c r="CM367" s="143"/>
      <c r="CN367" s="143"/>
      <c r="CO367" s="143"/>
      <c r="CP367" s="143"/>
      <c r="CQ367" s="143"/>
      <c r="CR367" s="143"/>
      <c r="CS367" s="143"/>
      <c r="CT367" s="143"/>
      <c r="CU367" s="143"/>
      <c r="CV367" s="143"/>
      <c r="CW367" s="143"/>
      <c r="CX367" s="143"/>
      <c r="CY367" s="143"/>
      <c r="CZ367" s="143"/>
      <c r="DA367" s="143"/>
      <c r="DB367" s="143"/>
      <c r="DC367" s="143"/>
      <c r="DD367" s="143"/>
      <c r="DE367" s="143"/>
      <c r="DF367" s="143"/>
      <c r="DG367" s="143"/>
      <c r="DH367" s="143"/>
      <c r="DI367" s="143"/>
      <c r="DJ367" s="143"/>
      <c r="DK367" s="143"/>
      <c r="DL367" s="143"/>
      <c r="DM367" s="143"/>
      <c r="DN367" s="143"/>
      <c r="DO367" s="143"/>
      <c r="DP367" s="143"/>
      <c r="DQ367" s="143"/>
      <c r="DR367" s="143"/>
      <c r="DS367" s="143"/>
      <c r="DT367" s="143"/>
      <c r="DU367" s="143"/>
      <c r="DV367" s="143"/>
      <c r="DW367" s="143"/>
      <c r="DX367" s="143"/>
      <c r="DY367" s="143"/>
      <c r="DZ367" s="143"/>
      <c r="EA367" s="143"/>
      <c r="EB367" s="143"/>
      <c r="EC367" s="143"/>
      <c r="ED367" s="143"/>
      <c r="EE367" s="143"/>
      <c r="EF367" s="143"/>
      <c r="EG367" s="143"/>
      <c r="EH367" s="143"/>
      <c r="EI367" s="143"/>
      <c r="EJ367" s="143"/>
      <c r="EK367" s="143"/>
      <c r="EL367" s="143"/>
      <c r="EM367" s="143"/>
      <c r="EN367" s="143"/>
      <c r="EO367" s="143"/>
      <c r="EP367" s="143"/>
      <c r="EQ367" s="143"/>
      <c r="ER367" s="143"/>
      <c r="ES367" s="143"/>
      <c r="ET367" s="143"/>
      <c r="EU367" s="143"/>
      <c r="EV367" s="143"/>
      <c r="EW367" s="143"/>
      <c r="EX367" s="143"/>
      <c r="EY367" s="143"/>
      <c r="EZ367" s="143"/>
      <c r="FA367" s="143"/>
      <c r="FB367" s="143"/>
      <c r="FC367" s="143"/>
      <c r="FD367" s="143"/>
      <c r="FE367" s="143"/>
      <c r="FF367" s="143"/>
      <c r="FG367" s="143"/>
      <c r="FH367" s="143"/>
      <c r="FI367" s="143"/>
      <c r="FJ367" s="143"/>
      <c r="FK367" s="143"/>
      <c r="FL367" s="143"/>
      <c r="FM367" s="143"/>
      <c r="FN367" s="143"/>
      <c r="FO367" s="143"/>
      <c r="FP367" s="143"/>
      <c r="FQ367" s="143"/>
      <c r="FR367" s="143"/>
      <c r="FS367" s="143"/>
      <c r="FT367" s="143"/>
      <c r="FU367" s="143"/>
      <c r="FV367" s="143"/>
      <c r="FW367" s="143"/>
      <c r="FX367" s="143"/>
      <c r="FY367" s="143"/>
      <c r="FZ367" s="143"/>
      <c r="GA367" s="143"/>
      <c r="GB367" s="143"/>
      <c r="GC367" s="143"/>
      <c r="GD367" s="143"/>
      <c r="GE367" s="143"/>
      <c r="GF367" s="143"/>
      <c r="GG367" s="143"/>
      <c r="GH367" s="143"/>
      <c r="GI367" s="143"/>
      <c r="GJ367" s="143"/>
      <c r="GK367" s="143"/>
      <c r="GL367" s="143"/>
      <c r="GM367" s="143"/>
      <c r="GN367" s="143"/>
      <c r="GO367" s="143"/>
      <c r="GP367" s="143"/>
      <c r="GQ367" s="143"/>
      <c r="GR367" s="143"/>
      <c r="GS367" s="143"/>
      <c r="GT367" s="143"/>
      <c r="GU367" s="143"/>
      <c r="GV367" s="143"/>
      <c r="GW367" s="143"/>
      <c r="GX367" s="143"/>
      <c r="GY367" s="143"/>
      <c r="GZ367" s="143"/>
      <c r="HA367" s="143"/>
      <c r="HB367" s="143"/>
      <c r="HC367" s="143"/>
      <c r="HD367" s="143"/>
      <c r="HE367" s="143"/>
      <c r="HF367" s="143"/>
      <c r="HG367" s="143"/>
      <c r="HH367" s="143"/>
      <c r="HI367" s="143"/>
      <c r="HJ367" s="143"/>
      <c r="HK367" s="143"/>
      <c r="HL367" s="143"/>
      <c r="HM367" s="143"/>
      <c r="HN367" s="143"/>
      <c r="HO367" s="143"/>
      <c r="HP367" s="143"/>
      <c r="HQ367" s="143"/>
      <c r="HR367" s="143"/>
      <c r="HS367" s="143"/>
      <c r="HT367" s="143"/>
      <c r="HU367" s="143"/>
      <c r="HV367" s="143"/>
      <c r="HW367" s="143"/>
      <c r="HX367" s="143"/>
      <c r="HY367" s="143"/>
      <c r="HZ367" s="143"/>
      <c r="IA367" s="143"/>
      <c r="IB367" s="143"/>
      <c r="IC367" s="143"/>
      <c r="ID367" s="143"/>
      <c r="IE367" s="143"/>
      <c r="IF367" s="143"/>
      <c r="IG367" s="143"/>
      <c r="IH367" s="143"/>
      <c r="II367" s="143"/>
      <c r="IJ367" s="143"/>
      <c r="IK367" s="143"/>
      <c r="IL367" s="143"/>
      <c r="IM367" s="143"/>
      <c r="IN367" s="143"/>
      <c r="IO367" s="143"/>
      <c r="IP367" s="143"/>
      <c r="IQ367" s="143"/>
      <c r="IR367" s="143"/>
      <c r="IS367" s="143"/>
      <c r="IT367" s="143"/>
      <c r="IU367" s="143"/>
      <c r="IV367" s="143"/>
      <c r="IW367" s="143"/>
      <c r="IX367" s="143"/>
      <c r="IY367" s="143"/>
      <c r="IZ367" s="143"/>
      <c r="JA367" s="143"/>
      <c r="JB367" s="143"/>
      <c r="JC367" s="143"/>
      <c r="JD367" s="143"/>
      <c r="JE367" s="143"/>
      <c r="JF367" s="143"/>
      <c r="JG367" s="143"/>
      <c r="JH367" s="143"/>
      <c r="JI367" s="143"/>
    </row>
    <row r="368" spans="1:269" hidden="1" outlineLevel="1">
      <c r="A368" s="437" t="s">
        <v>207</v>
      </c>
      <c r="B368" s="143"/>
      <c r="C368" s="417" t="e">
        <f>C366/#REF!-1</f>
        <v>#REF!</v>
      </c>
      <c r="D368" s="417" t="e">
        <f>D366/#REF!-1</f>
        <v>#REF!</v>
      </c>
      <c r="E368" s="417" t="e">
        <f>E366/#REF!-1</f>
        <v>#REF!</v>
      </c>
      <c r="F368" s="414" t="e">
        <f>F366/#REF!-1</f>
        <v>#REF!</v>
      </c>
      <c r="G368" s="414" t="e">
        <f>G366/#REF!-1</f>
        <v>#REF!</v>
      </c>
      <c r="H368" s="414" t="e">
        <f>H366/#REF!-1</f>
        <v>#REF!</v>
      </c>
      <c r="I368" s="414" t="e">
        <f>I366/#REF!-1</f>
        <v>#REF!</v>
      </c>
      <c r="J368" s="417" t="e">
        <f>J366/#REF!-1</f>
        <v>#REF!</v>
      </c>
      <c r="K368" s="414" t="e">
        <f>K366/#REF!-1</f>
        <v>#REF!</v>
      </c>
      <c r="L368" s="414" t="e">
        <f>L366/#REF!-1</f>
        <v>#REF!</v>
      </c>
      <c r="M368" s="414" t="e">
        <f>M366/#REF!-1</f>
        <v>#REF!</v>
      </c>
      <c r="N368" s="414" t="e">
        <f>N366/#REF!-1</f>
        <v>#REF!</v>
      </c>
      <c r="O368" s="417" t="e">
        <f>O366/#REF!-1</f>
        <v>#REF!</v>
      </c>
      <c r="P368" s="414" t="e">
        <f>P366/#REF!-1</f>
        <v>#REF!</v>
      </c>
      <c r="Q368" s="414" t="e">
        <f>Q366/#REF!-1</f>
        <v>#REF!</v>
      </c>
      <c r="R368" s="414" t="e">
        <f>R366/#REF!-1</f>
        <v>#REF!</v>
      </c>
      <c r="S368" s="414" t="e">
        <f>S366/#REF!-1</f>
        <v>#REF!</v>
      </c>
      <c r="T368" s="417" t="e">
        <f>T366/#REF!-1</f>
        <v>#REF!</v>
      </c>
      <c r="U368" s="414" t="e">
        <f>U366/#REF!-1</f>
        <v>#REF!</v>
      </c>
      <c r="V368" s="414" t="e">
        <f>V366/#REF!-1</f>
        <v>#REF!</v>
      </c>
      <c r="W368" s="414" t="e">
        <f>W366/#REF!-1</f>
        <v>#REF!</v>
      </c>
      <c r="X368" s="414" t="e">
        <f>X366/#REF!-1</f>
        <v>#REF!</v>
      </c>
      <c r="Y368" s="417" t="e">
        <f>Y366/#REF!-1</f>
        <v>#REF!</v>
      </c>
      <c r="Z368" s="414" t="e">
        <f>Z366/#REF!-1</f>
        <v>#REF!</v>
      </c>
      <c r="AA368" s="414" t="e">
        <f>AA366/#REF!-1</f>
        <v>#REF!</v>
      </c>
      <c r="AB368" s="414" t="e">
        <f>AB366/#REF!-1</f>
        <v>#REF!</v>
      </c>
      <c r="AC368" s="414" t="e">
        <f>AC366/#REF!-1</f>
        <v>#REF!</v>
      </c>
      <c r="AD368" s="422" t="e">
        <f>AD366/#REF!-1</f>
        <v>#REF!</v>
      </c>
      <c r="AE368" s="414" t="e">
        <f>AE366/#REF!-1</f>
        <v>#VALUE!</v>
      </c>
      <c r="AF368" s="414" t="e">
        <f>AF366/#REF!-1</f>
        <v>#VALUE!</v>
      </c>
      <c r="AG368" s="522" t="e">
        <f>AG366/#REF!-1</f>
        <v>#VALUE!</v>
      </c>
      <c r="AH368" s="414"/>
      <c r="AI368" s="422"/>
      <c r="AJ368" s="414"/>
      <c r="AK368" s="414"/>
      <c r="AL368" s="414"/>
      <c r="AM368" s="414"/>
      <c r="AN368" s="422"/>
      <c r="AO368" s="280"/>
      <c r="AP368" s="280"/>
      <c r="AQ368" s="280"/>
      <c r="AR368" s="280"/>
      <c r="AS368" s="320"/>
      <c r="AT368" s="315"/>
      <c r="AU368" s="508"/>
      <c r="AV368" s="143"/>
      <c r="AW368" s="143"/>
      <c r="AX368" s="143"/>
      <c r="AY368" s="143"/>
      <c r="AZ368" s="143"/>
      <c r="BA368" s="143"/>
      <c r="BB368" s="143"/>
      <c r="BC368" s="143"/>
      <c r="BD368" s="143"/>
      <c r="BE368" s="143"/>
      <c r="BF368" s="143"/>
      <c r="BG368" s="143"/>
      <c r="BH368" s="143"/>
      <c r="BI368" s="143"/>
      <c r="BJ368" s="143"/>
      <c r="BK368" s="143"/>
      <c r="BL368" s="143"/>
      <c r="BM368" s="143"/>
      <c r="BN368" s="143"/>
      <c r="BO368" s="143"/>
      <c r="BP368" s="143"/>
      <c r="BQ368" s="143"/>
      <c r="BR368" s="143"/>
      <c r="BS368" s="143"/>
      <c r="BT368" s="143"/>
      <c r="BU368" s="143"/>
      <c r="BV368" s="143"/>
      <c r="BW368" s="143"/>
      <c r="BX368" s="143"/>
      <c r="BY368" s="143"/>
      <c r="BZ368" s="143"/>
      <c r="CA368" s="143"/>
      <c r="CB368" s="143"/>
      <c r="CC368" s="143"/>
      <c r="CD368" s="143"/>
      <c r="CE368" s="143"/>
      <c r="CF368" s="143"/>
      <c r="CG368" s="143"/>
      <c r="CH368" s="143"/>
      <c r="CI368" s="143"/>
      <c r="CJ368" s="143"/>
      <c r="CK368" s="143"/>
      <c r="CL368" s="143"/>
      <c r="CM368" s="143"/>
      <c r="CN368" s="143"/>
      <c r="CO368" s="143"/>
      <c r="CP368" s="143"/>
      <c r="CQ368" s="143"/>
      <c r="CR368" s="143"/>
      <c r="CS368" s="143"/>
      <c r="CT368" s="143"/>
      <c r="CU368" s="143"/>
      <c r="CV368" s="143"/>
      <c r="CW368" s="143"/>
      <c r="CX368" s="143"/>
      <c r="CY368" s="143"/>
      <c r="CZ368" s="143"/>
      <c r="DA368" s="143"/>
      <c r="DB368" s="143"/>
      <c r="DC368" s="143"/>
      <c r="DD368" s="143"/>
      <c r="DE368" s="143"/>
      <c r="DF368" s="143"/>
      <c r="DG368" s="143"/>
      <c r="DH368" s="143"/>
      <c r="DI368" s="143"/>
      <c r="DJ368" s="143"/>
      <c r="DK368" s="143"/>
      <c r="DL368" s="143"/>
      <c r="DM368" s="143"/>
      <c r="DN368" s="143"/>
      <c r="DO368" s="143"/>
      <c r="DP368" s="143"/>
      <c r="DQ368" s="143"/>
      <c r="DR368" s="143"/>
      <c r="DS368" s="143"/>
      <c r="DT368" s="143"/>
      <c r="DU368" s="143"/>
      <c r="DV368" s="143"/>
      <c r="DW368" s="143"/>
      <c r="DX368" s="143"/>
      <c r="DY368" s="143"/>
      <c r="DZ368" s="143"/>
      <c r="EA368" s="143"/>
      <c r="EB368" s="143"/>
      <c r="EC368" s="143"/>
      <c r="ED368" s="143"/>
      <c r="EE368" s="143"/>
      <c r="EF368" s="143"/>
      <c r="EG368" s="143"/>
      <c r="EH368" s="143"/>
      <c r="EI368" s="143"/>
      <c r="EJ368" s="143"/>
      <c r="EK368" s="143"/>
      <c r="EL368" s="143"/>
      <c r="EM368" s="143"/>
      <c r="EN368" s="143"/>
      <c r="EO368" s="143"/>
      <c r="EP368" s="143"/>
      <c r="EQ368" s="143"/>
      <c r="ER368" s="143"/>
      <c r="ES368" s="143"/>
      <c r="ET368" s="143"/>
      <c r="EU368" s="143"/>
      <c r="EV368" s="143"/>
      <c r="EW368" s="143"/>
      <c r="EX368" s="143"/>
      <c r="EY368" s="143"/>
      <c r="EZ368" s="143"/>
      <c r="FA368" s="143"/>
      <c r="FB368" s="143"/>
      <c r="FC368" s="143"/>
      <c r="FD368" s="143"/>
      <c r="FE368" s="143"/>
      <c r="FF368" s="143"/>
      <c r="FG368" s="143"/>
      <c r="FH368" s="143"/>
      <c r="FI368" s="143"/>
      <c r="FJ368" s="143"/>
      <c r="FK368" s="143"/>
      <c r="FL368" s="143"/>
      <c r="FM368" s="143"/>
      <c r="FN368" s="143"/>
      <c r="FO368" s="143"/>
      <c r="FP368" s="143"/>
      <c r="FQ368" s="143"/>
      <c r="FR368" s="143"/>
      <c r="FS368" s="143"/>
      <c r="FT368" s="143"/>
      <c r="FU368" s="143"/>
      <c r="FV368" s="143"/>
      <c r="FW368" s="143"/>
      <c r="FX368" s="143"/>
      <c r="FY368" s="143"/>
      <c r="FZ368" s="143"/>
      <c r="GA368" s="143"/>
      <c r="GB368" s="143"/>
      <c r="GC368" s="143"/>
      <c r="GD368" s="143"/>
      <c r="GE368" s="143"/>
      <c r="GF368" s="143"/>
      <c r="GG368" s="143"/>
      <c r="GH368" s="143"/>
      <c r="GI368" s="143"/>
      <c r="GJ368" s="143"/>
      <c r="GK368" s="143"/>
      <c r="GL368" s="143"/>
      <c r="GM368" s="143"/>
      <c r="GN368" s="143"/>
      <c r="GO368" s="143"/>
      <c r="GP368" s="143"/>
      <c r="GQ368" s="143"/>
      <c r="GR368" s="143"/>
      <c r="GS368" s="143"/>
      <c r="GT368" s="143"/>
      <c r="GU368" s="143"/>
      <c r="GV368" s="143"/>
      <c r="GW368" s="143"/>
      <c r="GX368" s="143"/>
      <c r="GY368" s="143"/>
      <c r="GZ368" s="143"/>
      <c r="HA368" s="143"/>
      <c r="HB368" s="143"/>
      <c r="HC368" s="143"/>
      <c r="HD368" s="143"/>
      <c r="HE368" s="143"/>
      <c r="HF368" s="143"/>
      <c r="HG368" s="143"/>
      <c r="HH368" s="143"/>
      <c r="HI368" s="143"/>
      <c r="HJ368" s="143"/>
      <c r="HK368" s="143"/>
      <c r="HL368" s="143"/>
      <c r="HM368" s="143"/>
      <c r="HN368" s="143"/>
      <c r="HO368" s="143"/>
      <c r="HP368" s="143"/>
      <c r="HQ368" s="143"/>
      <c r="HR368" s="143"/>
      <c r="HS368" s="143"/>
      <c r="HT368" s="143"/>
      <c r="HU368" s="143"/>
      <c r="HV368" s="143"/>
      <c r="HW368" s="143"/>
      <c r="HX368" s="143"/>
      <c r="HY368" s="143"/>
      <c r="HZ368" s="143"/>
      <c r="IA368" s="143"/>
      <c r="IB368" s="143"/>
      <c r="IC368" s="143"/>
      <c r="ID368" s="143"/>
      <c r="IE368" s="143"/>
      <c r="IF368" s="143"/>
      <c r="IG368" s="143"/>
      <c r="IH368" s="143"/>
      <c r="II368" s="143"/>
      <c r="IJ368" s="143"/>
      <c r="IK368" s="143"/>
      <c r="IL368" s="143"/>
      <c r="IM368" s="143"/>
      <c r="IN368" s="143"/>
      <c r="IO368" s="143"/>
      <c r="IP368" s="143"/>
      <c r="IQ368" s="143"/>
      <c r="IR368" s="143"/>
      <c r="IS368" s="143"/>
      <c r="IT368" s="143"/>
      <c r="IU368" s="143"/>
      <c r="IV368" s="143"/>
      <c r="IW368" s="143"/>
      <c r="IX368" s="143"/>
      <c r="IY368" s="143"/>
      <c r="IZ368" s="143"/>
      <c r="JA368" s="143"/>
      <c r="JB368" s="143"/>
      <c r="JC368" s="143"/>
      <c r="JD368" s="143"/>
      <c r="JE368" s="143"/>
      <c r="JF368" s="143"/>
      <c r="JG368" s="143"/>
      <c r="JH368" s="143"/>
      <c r="JI368" s="143"/>
    </row>
    <row r="369" spans="1:269" hidden="1" outlineLevel="1">
      <c r="A369" s="437"/>
      <c r="B369" s="143"/>
      <c r="C369" s="417"/>
      <c r="D369" s="417"/>
      <c r="E369" s="417"/>
      <c r="F369" s="414"/>
      <c r="G369" s="414"/>
      <c r="H369" s="414"/>
      <c r="I369" s="414"/>
      <c r="J369" s="417"/>
      <c r="K369" s="414"/>
      <c r="L369" s="414"/>
      <c r="M369" s="414"/>
      <c r="N369" s="414"/>
      <c r="O369" s="417"/>
      <c r="P369" s="414"/>
      <c r="Q369" s="414"/>
      <c r="R369" s="414"/>
      <c r="S369" s="414"/>
      <c r="T369" s="417"/>
      <c r="U369" s="414"/>
      <c r="V369" s="414"/>
      <c r="W369" s="414"/>
      <c r="X369" s="414"/>
      <c r="Y369" s="417"/>
      <c r="Z369" s="414"/>
      <c r="AA369" s="414"/>
      <c r="AB369" s="414"/>
      <c r="AC369" s="414"/>
      <c r="AD369" s="422"/>
      <c r="AE369" s="414"/>
      <c r="AF369" s="414"/>
      <c r="AG369" s="414"/>
      <c r="AH369" s="280"/>
      <c r="AI369" s="320"/>
      <c r="AJ369" s="280"/>
      <c r="AK369" s="280"/>
      <c r="AL369" s="280"/>
      <c r="AM369" s="280"/>
      <c r="AN369" s="320"/>
      <c r="AO369" s="280"/>
      <c r="AP369" s="280"/>
      <c r="AQ369" s="280"/>
      <c r="AR369" s="280"/>
      <c r="AS369" s="320"/>
      <c r="AT369" s="315"/>
      <c r="AU369" s="508"/>
      <c r="AV369" s="143"/>
      <c r="AW369" s="143"/>
      <c r="AX369" s="143"/>
      <c r="AY369" s="143"/>
      <c r="AZ369" s="143"/>
      <c r="BA369" s="143"/>
      <c r="BB369" s="143"/>
      <c r="BC369" s="143"/>
      <c r="BD369" s="143"/>
      <c r="BE369" s="143"/>
      <c r="BF369" s="143"/>
      <c r="BG369" s="143"/>
      <c r="BH369" s="143"/>
      <c r="BI369" s="143"/>
      <c r="BJ369" s="143"/>
      <c r="BK369" s="143"/>
      <c r="BL369" s="143"/>
      <c r="BM369" s="143"/>
      <c r="BN369" s="143"/>
      <c r="BO369" s="143"/>
      <c r="BP369" s="143"/>
      <c r="BQ369" s="143"/>
      <c r="BR369" s="143"/>
      <c r="BS369" s="143"/>
      <c r="BT369" s="143"/>
      <c r="BU369" s="143"/>
      <c r="BV369" s="143"/>
      <c r="BW369" s="143"/>
      <c r="BX369" s="143"/>
      <c r="BY369" s="143"/>
      <c r="BZ369" s="143"/>
      <c r="CA369" s="143"/>
      <c r="CB369" s="143"/>
      <c r="CC369" s="143"/>
      <c r="CD369" s="143"/>
      <c r="CE369" s="143"/>
      <c r="CF369" s="143"/>
      <c r="CG369" s="143"/>
      <c r="CH369" s="143"/>
      <c r="CI369" s="143"/>
      <c r="CJ369" s="143"/>
      <c r="CK369" s="143"/>
      <c r="CL369" s="143"/>
      <c r="CM369" s="143"/>
      <c r="CN369" s="143"/>
      <c r="CO369" s="143"/>
      <c r="CP369" s="143"/>
      <c r="CQ369" s="143"/>
      <c r="CR369" s="143"/>
      <c r="CS369" s="143"/>
      <c r="CT369" s="143"/>
      <c r="CU369" s="143"/>
      <c r="CV369" s="143"/>
      <c r="CW369" s="143"/>
      <c r="CX369" s="143"/>
      <c r="CY369" s="143"/>
      <c r="CZ369" s="143"/>
      <c r="DA369" s="143"/>
      <c r="DB369" s="143"/>
      <c r="DC369" s="143"/>
      <c r="DD369" s="143"/>
      <c r="DE369" s="143"/>
      <c r="DF369" s="143"/>
      <c r="DG369" s="143"/>
      <c r="DH369" s="143"/>
      <c r="DI369" s="143"/>
      <c r="DJ369" s="143"/>
      <c r="DK369" s="143"/>
      <c r="DL369" s="143"/>
      <c r="DM369" s="143"/>
      <c r="DN369" s="143"/>
      <c r="DO369" s="143"/>
      <c r="DP369" s="143"/>
      <c r="DQ369" s="143"/>
      <c r="DR369" s="143"/>
      <c r="DS369" s="143"/>
      <c r="DT369" s="143"/>
      <c r="DU369" s="143"/>
      <c r="DV369" s="143"/>
      <c r="DW369" s="143"/>
      <c r="DX369" s="143"/>
      <c r="DY369" s="143"/>
      <c r="DZ369" s="143"/>
      <c r="EA369" s="143"/>
      <c r="EB369" s="143"/>
      <c r="EC369" s="143"/>
      <c r="ED369" s="143"/>
      <c r="EE369" s="143"/>
      <c r="EF369" s="143"/>
      <c r="EG369" s="143"/>
      <c r="EH369" s="143"/>
      <c r="EI369" s="143"/>
      <c r="EJ369" s="143"/>
      <c r="EK369" s="143"/>
      <c r="EL369" s="143"/>
      <c r="EM369" s="143"/>
      <c r="EN369" s="143"/>
      <c r="EO369" s="143"/>
      <c r="EP369" s="143"/>
      <c r="EQ369" s="143"/>
      <c r="ER369" s="143"/>
      <c r="ES369" s="143"/>
      <c r="ET369" s="143"/>
      <c r="EU369" s="143"/>
      <c r="EV369" s="143"/>
      <c r="EW369" s="143"/>
      <c r="EX369" s="143"/>
      <c r="EY369" s="143"/>
      <c r="EZ369" s="143"/>
      <c r="FA369" s="143"/>
      <c r="FB369" s="143"/>
      <c r="FC369" s="143"/>
      <c r="FD369" s="143"/>
      <c r="FE369" s="143"/>
      <c r="FF369" s="143"/>
      <c r="FG369" s="143"/>
      <c r="FH369" s="143"/>
      <c r="FI369" s="143"/>
      <c r="FJ369" s="143"/>
      <c r="FK369" s="143"/>
      <c r="FL369" s="143"/>
      <c r="FM369" s="143"/>
      <c r="FN369" s="143"/>
      <c r="FO369" s="143"/>
      <c r="FP369" s="143"/>
      <c r="FQ369" s="143"/>
      <c r="FR369" s="143"/>
      <c r="FS369" s="143"/>
      <c r="FT369" s="143"/>
      <c r="FU369" s="143"/>
      <c r="FV369" s="143"/>
      <c r="FW369" s="143"/>
      <c r="FX369" s="143"/>
      <c r="FY369" s="143"/>
      <c r="FZ369" s="143"/>
      <c r="GA369" s="143"/>
      <c r="GB369" s="143"/>
      <c r="GC369" s="143"/>
      <c r="GD369" s="143"/>
      <c r="GE369" s="143"/>
      <c r="GF369" s="143"/>
      <c r="GG369" s="143"/>
      <c r="GH369" s="143"/>
      <c r="GI369" s="143"/>
      <c r="GJ369" s="143"/>
      <c r="GK369" s="143"/>
      <c r="GL369" s="143"/>
      <c r="GM369" s="143"/>
      <c r="GN369" s="143"/>
      <c r="GO369" s="143"/>
      <c r="GP369" s="143"/>
      <c r="GQ369" s="143"/>
      <c r="GR369" s="143"/>
      <c r="GS369" s="143"/>
      <c r="GT369" s="143"/>
      <c r="GU369" s="143"/>
      <c r="GV369" s="143"/>
      <c r="GW369" s="143"/>
      <c r="GX369" s="143"/>
      <c r="GY369" s="143"/>
      <c r="GZ369" s="143"/>
      <c r="HA369" s="143"/>
      <c r="HB369" s="143"/>
      <c r="HC369" s="143"/>
      <c r="HD369" s="143"/>
      <c r="HE369" s="143"/>
      <c r="HF369" s="143"/>
      <c r="HG369" s="143"/>
      <c r="HH369" s="143"/>
      <c r="HI369" s="143"/>
      <c r="HJ369" s="143"/>
      <c r="HK369" s="143"/>
      <c r="HL369" s="143"/>
      <c r="HM369" s="143"/>
      <c r="HN369" s="143"/>
      <c r="HO369" s="143"/>
      <c r="HP369" s="143"/>
      <c r="HQ369" s="143"/>
      <c r="HR369" s="143"/>
      <c r="HS369" s="143"/>
      <c r="HT369" s="143"/>
      <c r="HU369" s="143"/>
      <c r="HV369" s="143"/>
      <c r="HW369" s="143"/>
      <c r="HX369" s="143"/>
      <c r="HY369" s="143"/>
      <c r="HZ369" s="143"/>
      <c r="IA369" s="143"/>
      <c r="IB369" s="143"/>
      <c r="IC369" s="143"/>
      <c r="ID369" s="143"/>
      <c r="IE369" s="143"/>
      <c r="IF369" s="143"/>
      <c r="IG369" s="143"/>
      <c r="IH369" s="143"/>
      <c r="II369" s="143"/>
      <c r="IJ369" s="143"/>
      <c r="IK369" s="143"/>
      <c r="IL369" s="143"/>
      <c r="IM369" s="143"/>
      <c r="IN369" s="143"/>
      <c r="IO369" s="143"/>
      <c r="IP369" s="143"/>
      <c r="IQ369" s="143"/>
      <c r="IR369" s="143"/>
      <c r="IS369" s="143"/>
      <c r="IT369" s="143"/>
      <c r="IU369" s="143"/>
      <c r="IV369" s="143"/>
      <c r="IW369" s="143"/>
      <c r="IX369" s="143"/>
      <c r="IY369" s="143"/>
      <c r="IZ369" s="143"/>
      <c r="JA369" s="143"/>
      <c r="JB369" s="143"/>
      <c r="JC369" s="143"/>
      <c r="JD369" s="143"/>
      <c r="JE369" s="143"/>
      <c r="JF369" s="143"/>
      <c r="JG369" s="143"/>
      <c r="JH369" s="143"/>
      <c r="JI369" s="143"/>
    </row>
    <row r="370" spans="1:269" hidden="1" outlineLevel="1">
      <c r="A370" s="83" t="s">
        <v>251</v>
      </c>
      <c r="B370" s="143" t="s">
        <v>255</v>
      </c>
      <c r="C370" s="444" t="e">
        <f>_xll.BQL.QUERY("get(avg(px_last(start=" &amp; TEXT(#REF!, "YYYY-MM-DD") &amp; ", end=" &amp; TEXT(C$5, "YYYY-MM-DD") &amp; "))) for('"&amp;$B370&amp;"')")/100</f>
        <v>#REF!</v>
      </c>
      <c r="D370" s="444" t="e">
        <f>_xll.BQL.QUERY("get(avg(px_last(start=" &amp; TEXT(#REF!, "YYYY-MM-DD") &amp; ", end=" &amp; TEXT(D$5, "YYYY-MM-DD") &amp; "))) for('"&amp;$B370&amp;"')")/100</f>
        <v>#REF!</v>
      </c>
      <c r="E370" s="444" t="e">
        <f>_xll.BQL.QUERY("get(avg(px_last(start=" &amp; TEXT(#REF!, "YYYY-MM-DD") &amp; ", end=" &amp; TEXT(E$5, "YYYY-MM-DD") &amp; "))) for('"&amp;$B370&amp;"')")/100</f>
        <v>#REF!</v>
      </c>
      <c r="F370" s="443" t="e">
        <f>_xll.BQL.QUERY("get(avg(px_last(start=" &amp; TEXT(#REF!, "YYYY-MM-DD") &amp; ", end=" &amp; TEXT(F$5, "YYYY-MM-DD") &amp; "))) for('"&amp;$B370&amp;"')")/100</f>
        <v>#REF!</v>
      </c>
      <c r="G370" s="443">
        <f>_xll.BQL.QUERY("get(avg(px_last(start=" &amp; TEXT(F$5, "YYYY-MM-DD") &amp; ", end=" &amp; TEXT(G$5, "YYYY-MM-DD") &amp; "))) for('"&amp;$B370&amp;"')")/100</f>
        <v>2.6547166666666667E-2</v>
      </c>
      <c r="H370" s="443">
        <f>_xll.BQL.QUERY("get(avg(px_last(start=" &amp; TEXT(G$5, "YYYY-MM-DD") &amp; ", end=" &amp; TEXT(H$5, "YYYY-MM-DD") &amp; "))) for('"&amp;$B370&amp;"')")/100</f>
        <v>2.8830499999999995E-2</v>
      </c>
      <c r="I370" s="443">
        <f>_xll.BQL.QUERY("get(avg(px_last(start=" &amp; TEXT(H$5, "YYYY-MM-DD") &amp; ", end=" &amp; TEXT(I$5, "YYYY-MM-DD") &amp; "))) for('"&amp;$B370&amp;"')")/100</f>
        <v>4.2329033333333335E-2</v>
      </c>
      <c r="J370" s="444" t="e">
        <f>_xll.BQL.QUERY("get(avg(px_last(start=" &amp; TEXT(#REF!, "YYYY-MM-DD") &amp; ", end=" &amp; TEXT(J$5, "YYYY-MM-DD") &amp; "))) for('"&amp;$B370&amp;"')")/100</f>
        <v>#REF!</v>
      </c>
      <c r="K370" s="443" t="e">
        <f>_xll.BQL.QUERY("get(avg(px_last(start=" &amp; TEXT(#REF!, "YYYY-MM-DD") &amp; ", end=" &amp; TEXT(K$5, "YYYY-MM-DD") &amp; "))) for('"&amp;$B370&amp;"')")/100</f>
        <v>#REF!</v>
      </c>
      <c r="L370" s="443">
        <f>_xll.BQL.QUERY("get(avg(px_last(start=" &amp; TEXT(K$5, "YYYY-MM-DD") &amp; ", end=" &amp; TEXT(L$5, "YYYY-MM-DD") &amp; "))) for('"&amp;$B370&amp;"')")/100</f>
        <v>3.1208E-2</v>
      </c>
      <c r="M370" s="443">
        <f>_xll.BQL.QUERY("get(avg(px_last(start=" &amp; TEXT(L$5, "YYYY-MM-DD") &amp; ", end=" &amp; TEXT(M$5, "YYYY-MM-DD") &amp; "))) for('"&amp;$B370&amp;"')")/100</f>
        <v>2.3208549999999998E-2</v>
      </c>
      <c r="N370" s="443">
        <f>_xll.BQL.QUERY("get(avg(px_last(start=" &amp; TEXT(M$5, "YYYY-MM-DD") &amp; ", end=" &amp; TEXT(N$5, "YYYY-MM-DD") &amp; "))) for('"&amp;$B370&amp;"')")/100</f>
        <v>4.7500000000000007E-3</v>
      </c>
      <c r="O370" s="444" t="e">
        <f>_xll.BQL.QUERY("get(avg(px_last(start=" &amp; TEXT(#REF!, "YYYY-MM-DD") &amp; ", end=" &amp; TEXT(O$5, "YYYY-MM-DD") &amp; "))) for('"&amp;$B370&amp;"')")/100</f>
        <v>#REF!</v>
      </c>
      <c r="P370" s="443">
        <f>_xll.BQL.QUERY("get(avg(px_last(start=" &amp; TEXT(O$5, "YYYY-MM-DD") &amp; ", end=" &amp; TEXT(P$5, "YYYY-MM-DD") &amp; "))) for('"&amp;$B370&amp;"')")/100</f>
        <v>2.5000000000000006E-4</v>
      </c>
      <c r="Q370" s="443">
        <f>_xll.BQL.QUERY("get(avg(px_last(start=" &amp; TEXT(P$5, "YYYY-MM-DD") &amp; ", end=" &amp; TEXT(Q$5, "YYYY-MM-DD") &amp; "))) for('"&amp;$B370&amp;"')")/100</f>
        <v>9.2500000000000013E-3</v>
      </c>
      <c r="R370" s="443">
        <f>_xll.BQL.QUERY("get(avg(px_last(start=" &amp; TEXT(Q$5, "YYYY-MM-DD") &amp; ", end=" &amp; TEXT(R$5, "YYYY-MM-DD") &amp; "))) for('"&amp;$B370&amp;"')")/100</f>
        <v>9.0000000000000011E-3</v>
      </c>
      <c r="S370" s="443">
        <f>_xll.BQL.QUERY("get(avg(px_last(start=" &amp; TEXT(R$5, "YYYY-MM-DD") &amp; ", end=" &amp; TEXT(S$5, "YYYY-MM-DD") &amp; "))) for('"&amp;$B370&amp;"')")/100</f>
        <v>1.4999999999999999E-2</v>
      </c>
      <c r="T370" s="444">
        <f>_xll.BQL.QUERY("get(avg(px_last(start=" &amp; TEXT(O$5, "YYYY-MM-DD") &amp; ", end=" &amp; TEXT(T$5, "YYYY-MM-DD") &amp; "))) for('"&amp;$B370&amp;"')")/100</f>
        <v>8.615384615384615E-3</v>
      </c>
      <c r="U370" s="443">
        <f>_xll.BQL.QUERY("get(avg(px_last(start=" &amp; TEXT(T$5, "YYYY-MM-DD") &amp; ", end=" &amp; TEXT(U$5, "YYYY-MM-DD") &amp; "))) for('"&amp;$B370&amp;"')")/100</f>
        <v>1.2E-2</v>
      </c>
      <c r="V370" s="443">
        <f>_xll.BQL.QUERY("get(avg(px_last(start=" &amp; TEXT(U$5, "YYYY-MM-DD") &amp; ", end=" &amp; TEXT(V$5, "YYYY-MM-DD") &amp; "))) for('"&amp;$B370&amp;"')")/100</f>
        <v>2.0499999999999997E-2</v>
      </c>
      <c r="W370" s="443">
        <f>_xll.BQL.QUERY("get(avg(px_last(start=" &amp; TEXT(V$5, "YYYY-MM-DD") &amp; ", end=" &amp; TEXT(W$5, "YYYY-MM-DD") &amp; "))) for('"&amp;$B370&amp;"')")/100</f>
        <v>2.6249999999999999E-2</v>
      </c>
      <c r="X370" s="443">
        <f>_xll.BQL.QUERY("get(avg(px_last(start=" &amp; TEXT(W$5, "YYYY-MM-DD") &amp; ", end=" &amp; TEXT(X$5, "YYYY-MM-DD") &amp; "))) for('"&amp;$B370&amp;"')")/100</f>
        <v>2.0750000000000001E-2</v>
      </c>
      <c r="Y370" s="444">
        <f>_xll.BQL.QUERY("get(avg(px_last(start=" &amp; TEXT(T$5, "YYYY-MM-DD") &amp; ", end=" &amp; TEXT(Y$5, "YYYY-MM-DD") &amp; "))) for('"&amp;$B370&amp;"')")/100</f>
        <v>1.9230769230769232E-2</v>
      </c>
      <c r="Z370" s="443">
        <f>_xll.BQL.QUERY("get(avg(px_last(start=" &amp; TEXT(Y$5, "YYYY-MM-DD") &amp; ", end=" &amp; TEXT(Z$5, "YYYY-MM-DD") &amp; "))) for('"&amp;$B370&amp;"')")/100</f>
        <v>1.4000000000000002E-2</v>
      </c>
      <c r="AA370" s="443">
        <f>_xll.BQL.QUERY("get(avg(px_last(start=" &amp; TEXT(Z$5, "YYYY-MM-DD") &amp; ", end=" &amp; TEXT(AA$5, "YYYY-MM-DD") &amp; "))) for('"&amp;$B370&amp;"')")/100</f>
        <v>2.5000000000000001E-3</v>
      </c>
      <c r="AB370" s="443">
        <f>_xll.BQL.QUERY("get(avg(px_last(start=" &amp; TEXT(AA$5, "YYYY-MM-DD") &amp; ", end=" &amp; TEXT(AB$5, "YYYY-MM-DD") &amp; "))) for('"&amp;$B370&amp;"')")/100</f>
        <v>-5.0000000000000001E-4</v>
      </c>
      <c r="AC370" s="443">
        <f>_xll.BQL.QUERY("get(avg(px_last(start=" &amp; TEXT(AB$5, "YYYY-MM-DD") &amp; ", end=" &amp; TEXT(AC$5, "YYYY-MM-DD") &amp; "))) for('"&amp;$B370&amp;"')")/100</f>
        <v>-1E-3</v>
      </c>
      <c r="AD370" s="541">
        <f>_xll.BQL.QUERY("get(avg(px_last(start=" &amp; TEXT(Y$5, "YYYY-MM-DD") &amp; ", end=" &amp; TEXT(AD$5, "YYYY-MM-DD") &amp; "))) for('"&amp;$B370&amp;"')")/100</f>
        <v>5.0000000000000001E-3</v>
      </c>
      <c r="AE370" s="443" t="e">
        <f>_xll.BQL.QUERY("get(avg(px_last(start=" &amp; TEXT(AD$5, "YYYY-MM-DD") &amp; ", end=" &amp; TEXT(AE$5, "YYYY-MM-DD") &amp; "))) for('"&amp;$B370&amp;"')")/100</f>
        <v>#VALUE!</v>
      </c>
      <c r="AF370" s="443" t="e">
        <f>_xll.BQL.QUERY("get(avg(px_last(start=" &amp; TEXT(AE$5, "YYYY-MM-DD") &amp; ", end=" &amp; TEXT(AF$5, "YYYY-MM-DD") &amp; "))) for('"&amp;$B370&amp;"')")/100</f>
        <v>#VALUE!</v>
      </c>
      <c r="AG370" s="443" t="e">
        <f>_xll.BQL.QUERY("get(avg(px_last(start=" &amp; TEXT(AF$5, "YYYY-MM-DD") &amp; ", end=" &amp; TEXT(AG$5, "YYYY-MM-DD") &amp; "))) for('"&amp;$B370&amp;"')")/100</f>
        <v>#VALUE!</v>
      </c>
      <c r="AH370" s="280"/>
      <c r="AI370" s="320"/>
      <c r="AJ370" s="280"/>
      <c r="AK370" s="280"/>
      <c r="AL370" s="280"/>
      <c r="AM370" s="280"/>
      <c r="AN370" s="320"/>
      <c r="AO370" s="280"/>
      <c r="AP370" s="280"/>
      <c r="AQ370" s="280"/>
      <c r="AR370" s="280"/>
      <c r="AS370" s="320"/>
      <c r="AT370" s="315"/>
      <c r="AU370" s="508"/>
      <c r="AV370" s="143"/>
      <c r="AW370" s="143"/>
      <c r="AX370" s="143"/>
      <c r="AY370" s="143"/>
      <c r="AZ370" s="143"/>
      <c r="BA370" s="143"/>
      <c r="BB370" s="143"/>
      <c r="BC370" s="143"/>
      <c r="BD370" s="143"/>
      <c r="BE370" s="143"/>
      <c r="BF370" s="143"/>
      <c r="BG370" s="143"/>
      <c r="BH370" s="143"/>
      <c r="BI370" s="143"/>
      <c r="BJ370" s="143"/>
      <c r="BK370" s="143"/>
      <c r="BL370" s="143"/>
      <c r="BM370" s="143"/>
      <c r="BN370" s="143"/>
      <c r="BO370" s="143"/>
      <c r="BP370" s="143"/>
      <c r="BQ370" s="143"/>
      <c r="BR370" s="143"/>
      <c r="BS370" s="143"/>
      <c r="BT370" s="143"/>
      <c r="BU370" s="143"/>
      <c r="BV370" s="143"/>
      <c r="BW370" s="143"/>
      <c r="BX370" s="143"/>
      <c r="BY370" s="143"/>
      <c r="BZ370" s="143"/>
      <c r="CA370" s="143"/>
      <c r="CB370" s="143"/>
      <c r="CC370" s="143"/>
      <c r="CD370" s="143"/>
      <c r="CE370" s="143"/>
      <c r="CF370" s="143"/>
      <c r="CG370" s="143"/>
      <c r="CH370" s="143"/>
      <c r="CI370" s="143"/>
      <c r="CJ370" s="143"/>
      <c r="CK370" s="143"/>
      <c r="CL370" s="143"/>
      <c r="CM370" s="143"/>
      <c r="CN370" s="143"/>
      <c r="CO370" s="143"/>
      <c r="CP370" s="143"/>
      <c r="CQ370" s="143"/>
      <c r="CR370" s="143"/>
      <c r="CS370" s="143"/>
      <c r="CT370" s="143"/>
      <c r="CU370" s="143"/>
      <c r="CV370" s="143"/>
      <c r="CW370" s="143"/>
      <c r="CX370" s="143"/>
      <c r="CY370" s="143"/>
      <c r="CZ370" s="143"/>
      <c r="DA370" s="143"/>
      <c r="DB370" s="143"/>
      <c r="DC370" s="143"/>
      <c r="DD370" s="143"/>
      <c r="DE370" s="143"/>
      <c r="DF370" s="143"/>
      <c r="DG370" s="143"/>
      <c r="DH370" s="143"/>
      <c r="DI370" s="143"/>
      <c r="DJ370" s="143"/>
      <c r="DK370" s="143"/>
      <c r="DL370" s="143"/>
      <c r="DM370" s="143"/>
      <c r="DN370" s="143"/>
      <c r="DO370" s="143"/>
      <c r="DP370" s="143"/>
      <c r="DQ370" s="143"/>
      <c r="DR370" s="143"/>
      <c r="DS370" s="143"/>
      <c r="DT370" s="143"/>
      <c r="DU370" s="143"/>
      <c r="DV370" s="143"/>
      <c r="DW370" s="143"/>
      <c r="DX370" s="143"/>
      <c r="DY370" s="143"/>
      <c r="DZ370" s="143"/>
      <c r="EA370" s="143"/>
      <c r="EB370" s="143"/>
      <c r="EC370" s="143"/>
      <c r="ED370" s="143"/>
      <c r="EE370" s="143"/>
      <c r="EF370" s="143"/>
      <c r="EG370" s="143"/>
      <c r="EH370" s="143"/>
      <c r="EI370" s="143"/>
      <c r="EJ370" s="143"/>
      <c r="EK370" s="143"/>
      <c r="EL370" s="143"/>
      <c r="EM370" s="143"/>
      <c r="EN370" s="143"/>
      <c r="EO370" s="143"/>
      <c r="EP370" s="143"/>
      <c r="EQ370" s="143"/>
      <c r="ER370" s="143"/>
      <c r="ES370" s="143"/>
      <c r="ET370" s="143"/>
      <c r="EU370" s="143"/>
      <c r="EV370" s="143"/>
      <c r="EW370" s="143"/>
      <c r="EX370" s="143"/>
      <c r="EY370" s="143"/>
      <c r="EZ370" s="143"/>
      <c r="FA370" s="143"/>
      <c r="FB370" s="143"/>
      <c r="FC370" s="143"/>
      <c r="FD370" s="143"/>
      <c r="FE370" s="143"/>
      <c r="FF370" s="143"/>
      <c r="FG370" s="143"/>
      <c r="FH370" s="143"/>
      <c r="FI370" s="143"/>
      <c r="FJ370" s="143"/>
      <c r="FK370" s="143"/>
      <c r="FL370" s="143"/>
      <c r="FM370" s="143"/>
      <c r="FN370" s="143"/>
      <c r="FO370" s="143"/>
      <c r="FP370" s="143"/>
      <c r="FQ370" s="143"/>
      <c r="FR370" s="143"/>
      <c r="FS370" s="143"/>
      <c r="FT370" s="143"/>
      <c r="FU370" s="143"/>
      <c r="FV370" s="143"/>
      <c r="FW370" s="143"/>
      <c r="FX370" s="143"/>
      <c r="FY370" s="143"/>
      <c r="FZ370" s="143"/>
      <c r="GA370" s="143"/>
      <c r="GB370" s="143"/>
      <c r="GC370" s="143"/>
      <c r="GD370" s="143"/>
      <c r="GE370" s="143"/>
      <c r="GF370" s="143"/>
      <c r="GG370" s="143"/>
      <c r="GH370" s="143"/>
      <c r="GI370" s="143"/>
      <c r="GJ370" s="143"/>
      <c r="GK370" s="143"/>
      <c r="GL370" s="143"/>
      <c r="GM370" s="143"/>
      <c r="GN370" s="143"/>
      <c r="GO370" s="143"/>
      <c r="GP370" s="143"/>
      <c r="GQ370" s="143"/>
      <c r="GR370" s="143"/>
      <c r="GS370" s="143"/>
      <c r="GT370" s="143"/>
      <c r="GU370" s="143"/>
      <c r="GV370" s="143"/>
      <c r="GW370" s="143"/>
      <c r="GX370" s="143"/>
      <c r="GY370" s="143"/>
      <c r="GZ370" s="143"/>
      <c r="HA370" s="143"/>
      <c r="HB370" s="143"/>
      <c r="HC370" s="143"/>
      <c r="HD370" s="143"/>
      <c r="HE370" s="143"/>
      <c r="HF370" s="143"/>
      <c r="HG370" s="143"/>
      <c r="HH370" s="143"/>
      <c r="HI370" s="143"/>
      <c r="HJ370" s="143"/>
      <c r="HK370" s="143"/>
      <c r="HL370" s="143"/>
      <c r="HM370" s="143"/>
      <c r="HN370" s="143"/>
      <c r="HO370" s="143"/>
      <c r="HP370" s="143"/>
      <c r="HQ370" s="143"/>
      <c r="HR370" s="143"/>
      <c r="HS370" s="143"/>
      <c r="HT370" s="143"/>
      <c r="HU370" s="143"/>
      <c r="HV370" s="143"/>
      <c r="HW370" s="143"/>
      <c r="HX370" s="143"/>
      <c r="HY370" s="143"/>
      <c r="HZ370" s="143"/>
      <c r="IA370" s="143"/>
      <c r="IB370" s="143"/>
      <c r="IC370" s="143"/>
      <c r="ID370" s="143"/>
      <c r="IE370" s="143"/>
      <c r="IF370" s="143"/>
      <c r="IG370" s="143"/>
      <c r="IH370" s="143"/>
      <c r="II370" s="143"/>
      <c r="IJ370" s="143"/>
      <c r="IK370" s="143"/>
      <c r="IL370" s="143"/>
      <c r="IM370" s="143"/>
      <c r="IN370" s="143"/>
      <c r="IO370" s="143"/>
      <c r="IP370" s="143"/>
      <c r="IQ370" s="143"/>
      <c r="IR370" s="143"/>
      <c r="IS370" s="143"/>
      <c r="IT370" s="143"/>
      <c r="IU370" s="143"/>
      <c r="IV370" s="143"/>
      <c r="IW370" s="143"/>
      <c r="IX370" s="143"/>
      <c r="IY370" s="143"/>
      <c r="IZ370" s="143"/>
      <c r="JA370" s="143"/>
      <c r="JB370" s="143"/>
      <c r="JC370" s="143"/>
      <c r="JD370" s="143"/>
      <c r="JE370" s="143"/>
      <c r="JF370" s="143"/>
      <c r="JG370" s="143"/>
      <c r="JH370" s="143"/>
      <c r="JI370" s="143"/>
    </row>
    <row r="371" spans="1:269" hidden="1" outlineLevel="1">
      <c r="A371" s="436" t="s">
        <v>250</v>
      </c>
      <c r="B371" s="143"/>
      <c r="C371" s="444"/>
      <c r="D371" s="444"/>
      <c r="E371" s="444"/>
      <c r="F371" s="71">
        <v>1</v>
      </c>
      <c r="G371" s="71">
        <v>1</v>
      </c>
      <c r="H371" s="71">
        <v>1</v>
      </c>
      <c r="I371" s="71">
        <v>1</v>
      </c>
      <c r="J371" s="444"/>
      <c r="K371" s="71">
        <v>1</v>
      </c>
      <c r="L371" s="71">
        <v>1</v>
      </c>
      <c r="M371" s="71">
        <v>1</v>
      </c>
      <c r="N371" s="71">
        <v>1</v>
      </c>
      <c r="O371" s="444"/>
      <c r="P371" s="476">
        <f>(1+P370)*K371</f>
        <v>1.0002500000000001</v>
      </c>
      <c r="Q371" s="476">
        <f t="shared" ref="Q371" si="749">(1+Q370)*L371</f>
        <v>1.00925</v>
      </c>
      <c r="R371" s="476">
        <f t="shared" ref="R371" si="750">(1+R370)*M371</f>
        <v>1.0089999999999999</v>
      </c>
      <c r="S371" s="476">
        <f t="shared" ref="S371" si="751">(1+S370)*N371</f>
        <v>1.0149999999999999</v>
      </c>
      <c r="T371" s="444"/>
      <c r="U371" s="476">
        <f t="shared" ref="U371" si="752">(1+U370)*P371</f>
        <v>1.0122530000000001</v>
      </c>
      <c r="V371" s="476">
        <f t="shared" ref="V371" si="753">(1+V370)*Q371</f>
        <v>1.0299396249999999</v>
      </c>
      <c r="W371" s="476">
        <f t="shared" ref="W371" si="754">(1+W370)*R371</f>
        <v>1.0354862499999999</v>
      </c>
      <c r="X371" s="476">
        <f t="shared" ref="X371" si="755">(1+X370)*S371</f>
        <v>1.0360612499999999</v>
      </c>
      <c r="Y371" s="444"/>
      <c r="Z371" s="476">
        <f t="shared" ref="Z371" si="756">(1+Z370)*U371</f>
        <v>1.026424542</v>
      </c>
      <c r="AA371" s="476">
        <f t="shared" ref="AA371" si="757">(1+AA370)*V371</f>
        <v>1.0325144740624999</v>
      </c>
      <c r="AB371" s="476">
        <f t="shared" ref="AB371" si="758">(1+AB370)*W371</f>
        <v>1.0349685068750001</v>
      </c>
      <c r="AC371" s="476">
        <f t="shared" ref="AC371" si="759">(1+AC370)*X371</f>
        <v>1.0350251887499999</v>
      </c>
      <c r="AD371" s="541"/>
      <c r="AE371" s="476" t="e">
        <f t="shared" ref="AE371" si="760">(1+AE370)*Z371</f>
        <v>#VALUE!</v>
      </c>
      <c r="AF371" s="476" t="e">
        <f t="shared" ref="AF371" si="761">(1+AF370)*AA371</f>
        <v>#VALUE!</v>
      </c>
      <c r="AG371" s="476" t="e">
        <f t="shared" ref="AG371" si="762">(1+AG370)*AB371</f>
        <v>#VALUE!</v>
      </c>
      <c r="AH371" s="280"/>
      <c r="AI371" s="320"/>
      <c r="AJ371" s="280"/>
      <c r="AK371" s="280"/>
      <c r="AL371" s="280"/>
      <c r="AM371" s="280"/>
      <c r="AN371" s="320"/>
      <c r="AO371" s="280"/>
      <c r="AP371" s="280"/>
      <c r="AQ371" s="280"/>
      <c r="AR371" s="280"/>
      <c r="AS371" s="320"/>
      <c r="AT371" s="315"/>
      <c r="AU371" s="508"/>
      <c r="AV371" s="143"/>
      <c r="AW371" s="143"/>
      <c r="AX371" s="143"/>
      <c r="AY371" s="143"/>
      <c r="AZ371" s="143"/>
      <c r="BA371" s="143"/>
      <c r="BB371" s="143"/>
      <c r="BC371" s="143"/>
      <c r="BD371" s="143"/>
      <c r="BE371" s="143"/>
      <c r="BF371" s="143"/>
      <c r="BG371" s="143"/>
      <c r="BH371" s="143"/>
      <c r="BI371" s="143"/>
      <c r="BJ371" s="143"/>
      <c r="BK371" s="143"/>
      <c r="BL371" s="143"/>
      <c r="BM371" s="143"/>
      <c r="BN371" s="143"/>
      <c r="BO371" s="143"/>
      <c r="BP371" s="143"/>
      <c r="BQ371" s="143"/>
      <c r="BR371" s="143"/>
      <c r="BS371" s="143"/>
      <c r="BT371" s="143"/>
      <c r="BU371" s="143"/>
      <c r="BV371" s="143"/>
      <c r="BW371" s="143"/>
      <c r="BX371" s="143"/>
      <c r="BY371" s="143"/>
      <c r="BZ371" s="143"/>
      <c r="CA371" s="143"/>
      <c r="CB371" s="143"/>
      <c r="CC371" s="143"/>
      <c r="CD371" s="143"/>
      <c r="CE371" s="143"/>
      <c r="CF371" s="143"/>
      <c r="CG371" s="143"/>
      <c r="CH371" s="143"/>
      <c r="CI371" s="143"/>
      <c r="CJ371" s="143"/>
      <c r="CK371" s="143"/>
      <c r="CL371" s="143"/>
      <c r="CM371" s="143"/>
      <c r="CN371" s="143"/>
      <c r="CO371" s="143"/>
      <c r="CP371" s="143"/>
      <c r="CQ371" s="143"/>
      <c r="CR371" s="143"/>
      <c r="CS371" s="143"/>
      <c r="CT371" s="143"/>
      <c r="CU371" s="143"/>
      <c r="CV371" s="143"/>
      <c r="CW371" s="143"/>
      <c r="CX371" s="143"/>
      <c r="CY371" s="143"/>
      <c r="CZ371" s="143"/>
      <c r="DA371" s="143"/>
      <c r="DB371" s="143"/>
      <c r="DC371" s="143"/>
      <c r="DD371" s="143"/>
      <c r="DE371" s="143"/>
      <c r="DF371" s="143"/>
      <c r="DG371" s="143"/>
      <c r="DH371" s="143"/>
      <c r="DI371" s="143"/>
      <c r="DJ371" s="143"/>
      <c r="DK371" s="143"/>
      <c r="DL371" s="143"/>
      <c r="DM371" s="143"/>
      <c r="DN371" s="143"/>
      <c r="DO371" s="143"/>
      <c r="DP371" s="143"/>
      <c r="DQ371" s="143"/>
      <c r="DR371" s="143"/>
      <c r="DS371" s="143"/>
      <c r="DT371" s="143"/>
      <c r="DU371" s="143"/>
      <c r="DV371" s="143"/>
      <c r="DW371" s="143"/>
      <c r="DX371" s="143"/>
      <c r="DY371" s="143"/>
      <c r="DZ371" s="143"/>
      <c r="EA371" s="143"/>
      <c r="EB371" s="143"/>
      <c r="EC371" s="143"/>
      <c r="ED371" s="143"/>
      <c r="EE371" s="143"/>
      <c r="EF371" s="143"/>
      <c r="EG371" s="143"/>
      <c r="EH371" s="143"/>
      <c r="EI371" s="143"/>
      <c r="EJ371" s="143"/>
      <c r="EK371" s="143"/>
      <c r="EL371" s="143"/>
      <c r="EM371" s="143"/>
      <c r="EN371" s="143"/>
      <c r="EO371" s="143"/>
      <c r="EP371" s="143"/>
      <c r="EQ371" s="143"/>
      <c r="ER371" s="143"/>
      <c r="ES371" s="143"/>
      <c r="ET371" s="143"/>
      <c r="EU371" s="143"/>
      <c r="EV371" s="143"/>
      <c r="EW371" s="143"/>
      <c r="EX371" s="143"/>
      <c r="EY371" s="143"/>
      <c r="EZ371" s="143"/>
      <c r="FA371" s="143"/>
      <c r="FB371" s="143"/>
      <c r="FC371" s="143"/>
      <c r="FD371" s="143"/>
      <c r="FE371" s="143"/>
      <c r="FF371" s="143"/>
      <c r="FG371" s="143"/>
      <c r="FH371" s="143"/>
      <c r="FI371" s="143"/>
      <c r="FJ371" s="143"/>
      <c r="FK371" s="143"/>
      <c r="FL371" s="143"/>
      <c r="FM371" s="143"/>
      <c r="FN371" s="143"/>
      <c r="FO371" s="143"/>
      <c r="FP371" s="143"/>
      <c r="FQ371" s="143"/>
      <c r="FR371" s="143"/>
      <c r="FS371" s="143"/>
      <c r="FT371" s="143"/>
      <c r="FU371" s="143"/>
      <c r="FV371" s="143"/>
      <c r="FW371" s="143"/>
      <c r="FX371" s="143"/>
      <c r="FY371" s="143"/>
      <c r="FZ371" s="143"/>
      <c r="GA371" s="143"/>
      <c r="GB371" s="143"/>
      <c r="GC371" s="143"/>
      <c r="GD371" s="143"/>
      <c r="GE371" s="143"/>
      <c r="GF371" s="143"/>
      <c r="GG371" s="143"/>
      <c r="GH371" s="143"/>
      <c r="GI371" s="143"/>
      <c r="GJ371" s="143"/>
      <c r="GK371" s="143"/>
      <c r="GL371" s="143"/>
      <c r="GM371" s="143"/>
      <c r="GN371" s="143"/>
      <c r="GO371" s="143"/>
      <c r="GP371" s="143"/>
      <c r="GQ371" s="143"/>
      <c r="GR371" s="143"/>
      <c r="GS371" s="143"/>
      <c r="GT371" s="143"/>
      <c r="GU371" s="143"/>
      <c r="GV371" s="143"/>
      <c r="GW371" s="143"/>
      <c r="GX371" s="143"/>
      <c r="GY371" s="143"/>
      <c r="GZ371" s="143"/>
      <c r="HA371" s="143"/>
      <c r="HB371" s="143"/>
      <c r="HC371" s="143"/>
      <c r="HD371" s="143"/>
      <c r="HE371" s="143"/>
      <c r="HF371" s="143"/>
      <c r="HG371" s="143"/>
      <c r="HH371" s="143"/>
      <c r="HI371" s="143"/>
      <c r="HJ371" s="143"/>
      <c r="HK371" s="143"/>
      <c r="HL371" s="143"/>
      <c r="HM371" s="143"/>
      <c r="HN371" s="143"/>
      <c r="HO371" s="143"/>
      <c r="HP371" s="143"/>
      <c r="HQ371" s="143"/>
      <c r="HR371" s="143"/>
      <c r="HS371" s="143"/>
      <c r="HT371" s="143"/>
      <c r="HU371" s="143"/>
      <c r="HV371" s="143"/>
      <c r="HW371" s="143"/>
      <c r="HX371" s="143"/>
      <c r="HY371" s="143"/>
      <c r="HZ371" s="143"/>
      <c r="IA371" s="143"/>
      <c r="IB371" s="143"/>
      <c r="IC371" s="143"/>
      <c r="ID371" s="143"/>
      <c r="IE371" s="143"/>
      <c r="IF371" s="143"/>
      <c r="IG371" s="143"/>
      <c r="IH371" s="143"/>
      <c r="II371" s="143"/>
      <c r="IJ371" s="143"/>
      <c r="IK371" s="143"/>
      <c r="IL371" s="143"/>
      <c r="IM371" s="143"/>
      <c r="IN371" s="143"/>
      <c r="IO371" s="143"/>
      <c r="IP371" s="143"/>
      <c r="IQ371" s="143"/>
      <c r="IR371" s="143"/>
      <c r="IS371" s="143"/>
      <c r="IT371" s="143"/>
      <c r="IU371" s="143"/>
      <c r="IV371" s="143"/>
      <c r="IW371" s="143"/>
      <c r="IX371" s="143"/>
      <c r="IY371" s="143"/>
      <c r="IZ371" s="143"/>
      <c r="JA371" s="143"/>
      <c r="JB371" s="143"/>
      <c r="JC371" s="143"/>
      <c r="JD371" s="143"/>
      <c r="JE371" s="143"/>
      <c r="JF371" s="143"/>
      <c r="JG371" s="143"/>
      <c r="JH371" s="143"/>
      <c r="JI371" s="143"/>
    </row>
    <row r="372" spans="1:269" hidden="1" outlineLevel="1">
      <c r="A372" s="436"/>
      <c r="B372" s="143"/>
      <c r="C372" s="444"/>
      <c r="D372" s="444"/>
      <c r="E372" s="444"/>
      <c r="F372" s="71"/>
      <c r="G372" s="71"/>
      <c r="H372" s="71"/>
      <c r="I372" s="71"/>
      <c r="J372" s="444"/>
      <c r="K372" s="71"/>
      <c r="L372" s="71"/>
      <c r="M372" s="71"/>
      <c r="N372" s="71"/>
      <c r="O372" s="444"/>
      <c r="P372" s="476"/>
      <c r="Q372" s="476"/>
      <c r="R372" s="476"/>
      <c r="S372" s="476"/>
      <c r="T372" s="444"/>
      <c r="U372" s="476"/>
      <c r="V372" s="476"/>
      <c r="W372" s="476"/>
      <c r="X372" s="476"/>
      <c r="Y372" s="444"/>
      <c r="Z372" s="476"/>
      <c r="AA372" s="476"/>
      <c r="AB372" s="476"/>
      <c r="AC372" s="476"/>
      <c r="AD372" s="541"/>
      <c r="AE372" s="476"/>
      <c r="AF372" s="476"/>
      <c r="AG372" s="476"/>
      <c r="AH372" s="280"/>
      <c r="AI372" s="320"/>
      <c r="AJ372" s="280"/>
      <c r="AK372" s="280"/>
      <c r="AL372" s="280"/>
      <c r="AM372" s="280"/>
      <c r="AN372" s="320"/>
      <c r="AO372" s="280"/>
      <c r="AP372" s="280"/>
      <c r="AQ372" s="280"/>
      <c r="AR372" s="280"/>
      <c r="AS372" s="320"/>
      <c r="AT372" s="315"/>
      <c r="AU372" s="508"/>
      <c r="AV372" s="143"/>
      <c r="AW372" s="143"/>
      <c r="AX372" s="143"/>
      <c r="AY372" s="143"/>
      <c r="AZ372" s="143"/>
      <c r="BA372" s="143"/>
      <c r="BB372" s="143"/>
      <c r="BC372" s="143"/>
      <c r="BD372" s="143"/>
      <c r="BE372" s="143"/>
      <c r="BF372" s="143"/>
      <c r="BG372" s="143"/>
      <c r="BH372" s="143"/>
      <c r="BI372" s="143"/>
      <c r="BJ372" s="143"/>
      <c r="BK372" s="143"/>
      <c r="BL372" s="143"/>
      <c r="BM372" s="143"/>
      <c r="BN372" s="143"/>
      <c r="BO372" s="143"/>
      <c r="BP372" s="143"/>
      <c r="BQ372" s="143"/>
      <c r="BR372" s="143"/>
      <c r="BS372" s="143"/>
      <c r="BT372" s="143"/>
      <c r="BU372" s="143"/>
      <c r="BV372" s="143"/>
      <c r="BW372" s="143"/>
      <c r="BX372" s="143"/>
      <c r="BY372" s="143"/>
      <c r="BZ372" s="143"/>
      <c r="CA372" s="143"/>
      <c r="CB372" s="143"/>
      <c r="CC372" s="143"/>
      <c r="CD372" s="143"/>
      <c r="CE372" s="143"/>
      <c r="CF372" s="143"/>
      <c r="CG372" s="143"/>
      <c r="CH372" s="143"/>
      <c r="CI372" s="143"/>
      <c r="CJ372" s="143"/>
      <c r="CK372" s="143"/>
      <c r="CL372" s="143"/>
      <c r="CM372" s="143"/>
      <c r="CN372" s="143"/>
      <c r="CO372" s="143"/>
      <c r="CP372" s="143"/>
      <c r="CQ372" s="143"/>
      <c r="CR372" s="143"/>
      <c r="CS372" s="143"/>
      <c r="CT372" s="143"/>
      <c r="CU372" s="143"/>
      <c r="CV372" s="143"/>
      <c r="CW372" s="143"/>
      <c r="CX372" s="143"/>
      <c r="CY372" s="143"/>
      <c r="CZ372" s="143"/>
      <c r="DA372" s="143"/>
      <c r="DB372" s="143"/>
      <c r="DC372" s="143"/>
      <c r="DD372" s="143"/>
      <c r="DE372" s="143"/>
      <c r="DF372" s="143"/>
      <c r="DG372" s="143"/>
      <c r="DH372" s="143"/>
      <c r="DI372" s="143"/>
      <c r="DJ372" s="143"/>
      <c r="DK372" s="143"/>
      <c r="DL372" s="143"/>
      <c r="DM372" s="143"/>
      <c r="DN372" s="143"/>
      <c r="DO372" s="143"/>
      <c r="DP372" s="143"/>
      <c r="DQ372" s="143"/>
      <c r="DR372" s="143"/>
      <c r="DS372" s="143"/>
      <c r="DT372" s="143"/>
      <c r="DU372" s="143"/>
      <c r="DV372" s="143"/>
      <c r="DW372" s="143"/>
      <c r="DX372" s="143"/>
      <c r="DY372" s="143"/>
      <c r="DZ372" s="143"/>
      <c r="EA372" s="143"/>
      <c r="EB372" s="143"/>
      <c r="EC372" s="143"/>
      <c r="ED372" s="143"/>
      <c r="EE372" s="143"/>
      <c r="EF372" s="143"/>
      <c r="EG372" s="143"/>
      <c r="EH372" s="143"/>
      <c r="EI372" s="143"/>
      <c r="EJ372" s="143"/>
      <c r="EK372" s="143"/>
      <c r="EL372" s="143"/>
      <c r="EM372" s="143"/>
      <c r="EN372" s="143"/>
      <c r="EO372" s="143"/>
      <c r="EP372" s="143"/>
      <c r="EQ372" s="143"/>
      <c r="ER372" s="143"/>
      <c r="ES372" s="143"/>
      <c r="ET372" s="143"/>
      <c r="EU372" s="143"/>
      <c r="EV372" s="143"/>
      <c r="EW372" s="143"/>
      <c r="EX372" s="143"/>
      <c r="EY372" s="143"/>
      <c r="EZ372" s="143"/>
      <c r="FA372" s="143"/>
      <c r="FB372" s="143"/>
      <c r="FC372" s="143"/>
      <c r="FD372" s="143"/>
      <c r="FE372" s="143"/>
      <c r="FF372" s="143"/>
      <c r="FG372" s="143"/>
      <c r="FH372" s="143"/>
      <c r="FI372" s="143"/>
      <c r="FJ372" s="143"/>
      <c r="FK372" s="143"/>
      <c r="FL372" s="143"/>
      <c r="FM372" s="143"/>
      <c r="FN372" s="143"/>
      <c r="FO372" s="143"/>
      <c r="FP372" s="143"/>
      <c r="FQ372" s="143"/>
      <c r="FR372" s="143"/>
      <c r="FS372" s="143"/>
      <c r="FT372" s="143"/>
      <c r="FU372" s="143"/>
      <c r="FV372" s="143"/>
      <c r="FW372" s="143"/>
      <c r="FX372" s="143"/>
      <c r="FY372" s="143"/>
      <c r="FZ372" s="143"/>
      <c r="GA372" s="143"/>
      <c r="GB372" s="143"/>
      <c r="GC372" s="143"/>
      <c r="GD372" s="143"/>
      <c r="GE372" s="143"/>
      <c r="GF372" s="143"/>
      <c r="GG372" s="143"/>
      <c r="GH372" s="143"/>
      <c r="GI372" s="143"/>
      <c r="GJ372" s="143"/>
      <c r="GK372" s="143"/>
      <c r="GL372" s="143"/>
      <c r="GM372" s="143"/>
      <c r="GN372" s="143"/>
      <c r="GO372" s="143"/>
      <c r="GP372" s="143"/>
      <c r="GQ372" s="143"/>
      <c r="GR372" s="143"/>
      <c r="GS372" s="143"/>
      <c r="GT372" s="143"/>
      <c r="GU372" s="143"/>
      <c r="GV372" s="143"/>
      <c r="GW372" s="143"/>
      <c r="GX372" s="143"/>
      <c r="GY372" s="143"/>
      <c r="GZ372" s="143"/>
      <c r="HA372" s="143"/>
      <c r="HB372" s="143"/>
      <c r="HC372" s="143"/>
      <c r="HD372" s="143"/>
      <c r="HE372" s="143"/>
      <c r="HF372" s="143"/>
      <c r="HG372" s="143"/>
      <c r="HH372" s="143"/>
      <c r="HI372" s="143"/>
      <c r="HJ372" s="143"/>
      <c r="HK372" s="143"/>
      <c r="HL372" s="143"/>
      <c r="HM372" s="143"/>
      <c r="HN372" s="143"/>
      <c r="HO372" s="143"/>
      <c r="HP372" s="143"/>
      <c r="HQ372" s="143"/>
      <c r="HR372" s="143"/>
      <c r="HS372" s="143"/>
      <c r="HT372" s="143"/>
      <c r="HU372" s="143"/>
      <c r="HV372" s="143"/>
      <c r="HW372" s="143"/>
      <c r="HX372" s="143"/>
      <c r="HY372" s="143"/>
      <c r="HZ372" s="143"/>
      <c r="IA372" s="143"/>
      <c r="IB372" s="143"/>
      <c r="IC372" s="143"/>
      <c r="ID372" s="143"/>
      <c r="IE372" s="143"/>
      <c r="IF372" s="143"/>
      <c r="IG372" s="143"/>
      <c r="IH372" s="143"/>
      <c r="II372" s="143"/>
      <c r="IJ372" s="143"/>
      <c r="IK372" s="143"/>
      <c r="IL372" s="143"/>
      <c r="IM372" s="143"/>
      <c r="IN372" s="143"/>
      <c r="IO372" s="143"/>
      <c r="IP372" s="143"/>
      <c r="IQ372" s="143"/>
      <c r="IR372" s="143"/>
      <c r="IS372" s="143"/>
      <c r="IT372" s="143"/>
      <c r="IU372" s="143"/>
      <c r="IV372" s="143"/>
      <c r="IW372" s="143"/>
      <c r="IX372" s="143"/>
      <c r="IY372" s="143"/>
      <c r="IZ372" s="143"/>
      <c r="JA372" s="143"/>
      <c r="JB372" s="143"/>
      <c r="JC372" s="143"/>
      <c r="JD372" s="143"/>
      <c r="JE372" s="143"/>
      <c r="JF372" s="143"/>
      <c r="JG372" s="143"/>
      <c r="JH372" s="143"/>
      <c r="JI372" s="143"/>
    </row>
    <row r="373" spans="1:269" hidden="1" outlineLevel="1">
      <c r="A373" s="83" t="s">
        <v>249</v>
      </c>
      <c r="B373" s="143" t="s">
        <v>237</v>
      </c>
      <c r="C373" s="444" t="e">
        <f>_xll.BQL.QUERY("get(avg(px_last(start=" &amp; TEXT(#REF!, "YYYY-MM-DD") &amp; ", end=" &amp; TEXT(C$5, "YYYY-MM-DD") &amp; "))) for('"&amp;$B373&amp;"')")/100</f>
        <v>#REF!</v>
      </c>
      <c r="D373" s="444" t="e">
        <f>_xll.BQL.QUERY("get(avg(px_last(start=" &amp; TEXT(#REF!, "YYYY-MM-DD") &amp; ", end=" &amp; TEXT(D$5, "YYYY-MM-DD") &amp; "))) for('"&amp;$B373&amp;"')")/100</f>
        <v>#REF!</v>
      </c>
      <c r="E373" s="444" t="e">
        <f>_xll.BQL.QUERY("get(avg(px_last(start=" &amp; TEXT(#REF!, "YYYY-MM-DD") &amp; ", end=" &amp; TEXT(E$5, "YYYY-MM-DD") &amp; "))) for('"&amp;$B373&amp;"')")/100</f>
        <v>#REF!</v>
      </c>
      <c r="F373" s="443" t="e">
        <f>_xll.BQL.QUERY("get(avg(px_last(start=" &amp; TEXT(#REF!, "YYYY-MM-DD") &amp; ", end=" &amp; TEXT(F$5, "YYYY-MM-DD") &amp; "))) for('"&amp;$B373&amp;"')")/100</f>
        <v>#REF!</v>
      </c>
      <c r="G373" s="443">
        <f>_xll.BQL.QUERY("get(avg(px_last(start=" &amp; TEXT(F$5, "YYYY-MM-DD") &amp; ", end=" &amp; TEXT(G$5, "YYYY-MM-DD") &amp; "))) for('"&amp;$B373&amp;"')")/100</f>
        <v>2.5000000000000001E-2</v>
      </c>
      <c r="H373" s="443">
        <f>_xll.BQL.QUERY("get(avg(px_last(start=" &amp; TEXT(G$5, "YYYY-MM-DD") &amp; ", end=" &amp; TEXT(H$5, "YYYY-MM-DD") &amp; "))) for('"&amp;$B373&amp;"')")/100</f>
        <v>0.01</v>
      </c>
      <c r="I373" s="443">
        <f>_xll.BQL.QUERY("get(avg(px_last(start=" &amp; TEXT(H$5, "YYYY-MM-DD") &amp; ", end=" &amp; TEXT(I$5, "YYYY-MM-DD") &amp; "))) for('"&amp;$B373&amp;"')")/100</f>
        <v>0.01</v>
      </c>
      <c r="J373" s="444" t="e">
        <f>_xll.BQL.QUERY("get(avg(px_last(start=" &amp; TEXT(#REF!, "YYYY-MM-DD") &amp; ", end=" &amp; TEXT(J$5, "YYYY-MM-DD") &amp; "))) for('"&amp;$B373&amp;"')")/100</f>
        <v>#REF!</v>
      </c>
      <c r="K373" s="443" t="e">
        <f>_xll.BQL.QUERY("get(avg(px_last(start=" &amp; TEXT(#REF!, "YYYY-MM-DD") &amp; ", end=" &amp; TEXT(K$5, "YYYY-MM-DD") &amp; "))) for('"&amp;$B373&amp;"')")/100</f>
        <v>#REF!</v>
      </c>
      <c r="L373" s="443">
        <f>_xll.BQL.QUERY("get(avg(px_last(start=" &amp; TEXT(K$5, "YYYY-MM-DD") &amp; ", end=" &amp; TEXT(L$5, "YYYY-MM-DD") &amp; "))) for('"&amp;$B373&amp;"')")/100</f>
        <v>6.3250000000000001E-2</v>
      </c>
      <c r="M373" s="443">
        <f>_xll.BQL.QUERY("get(avg(px_last(start=" &amp; TEXT(L$5, "YYYY-MM-DD") &amp; ", end=" &amp; TEXT(M$5, "YYYY-MM-DD") &amp; "))) for('"&amp;$B373&amp;"')")/100</f>
        <v>-1.9E-2</v>
      </c>
      <c r="N373" s="443">
        <f>_xll.BQL.QUERY("get(avg(px_last(start=" &amp; TEXT(M$5, "YYYY-MM-DD") &amp; ", end=" &amp; TEXT(N$5, "YYYY-MM-DD") &amp; "))) for('"&amp;$B373&amp;"')")/100</f>
        <v>-5.5000000000000005E-3</v>
      </c>
      <c r="O373" s="444" t="e">
        <f>_xll.BQL.QUERY("get(avg(px_last(start=" &amp; TEXT(#REF!, "YYYY-MM-DD") &amp; ", end=" &amp; TEXT(O$5, "YYYY-MM-DD") &amp; "))) for('"&amp;$B373&amp;"')")/100</f>
        <v>#REF!</v>
      </c>
      <c r="P373" s="443">
        <f>_xll.BQL.QUERY("get(avg(px_last(start=" &amp; TEXT(O$5, "YYYY-MM-DD") &amp; ", end=" &amp; TEXT(P$5, "YYYY-MM-DD") &amp; "))) for('"&amp;$B373&amp;"')")/100</f>
        <v>-5.5249999999999994E-2</v>
      </c>
      <c r="Q373" s="443">
        <f>_xll.BQL.QUERY("get(avg(px_last(start=" &amp; TEXT(P$5, "YYYY-MM-DD") &amp; ", end=" &amp; TEXT(Q$5, "YYYY-MM-DD") &amp; "))) for('"&amp;$B373&amp;"')")/100</f>
        <v>-3.175E-2</v>
      </c>
      <c r="R373" s="443">
        <f>_xll.BQL.QUERY("get(avg(px_last(start=" &amp; TEXT(Q$5, "YYYY-MM-DD") &amp; ", end=" &amp; TEXT(R$5, "YYYY-MM-DD") &amp; "))) for('"&amp;$B373&amp;"')")/100</f>
        <v>6.0499999999999998E-2</v>
      </c>
      <c r="S373" s="443">
        <f>_xll.BQL.QUERY("get(avg(px_last(start=" &amp; TEXT(R$5, "YYYY-MM-DD") &amp; ", end=" &amp; TEXT(S$5, "YYYY-MM-DD") &amp; "))) for('"&amp;$B373&amp;"')")/100</f>
        <v>6.6750000000000004E-2</v>
      </c>
      <c r="T373" s="444">
        <f>_xll.BQL.QUERY("get(avg(px_last(start=" &amp; TEXT(O$5, "YYYY-MM-DD") &amp; ", end=" &amp; TEXT(T$5, "YYYY-MM-DD") &amp; "))) for('"&amp;$B373&amp;"')")/100</f>
        <v>1.3538461538461539E-2</v>
      </c>
      <c r="U373" s="443">
        <f>_xll.BQL.QUERY("get(avg(px_last(start=" &amp; TEXT(T$5, "YYYY-MM-DD") &amp; ", end=" &amp; TEXT(U$5, "YYYY-MM-DD") &amp; "))) for('"&amp;$B373&amp;"')")/100</f>
        <v>6.7000000000000004E-2</v>
      </c>
      <c r="V373" s="443">
        <f>_xll.BQL.QUERY("get(avg(px_last(start=" &amp; TEXT(U$5, "YYYY-MM-DD") &amp; ", end=" &amp; TEXT(V$5, "YYYY-MM-DD") &amp; "))) for('"&amp;$B373&amp;"')")/100</f>
        <v>3.4000000000000002E-2</v>
      </c>
      <c r="W373" s="443">
        <f>_xll.BQL.QUERY("get(avg(px_last(start=" &amp; TEXT(V$5, "YYYY-MM-DD") &amp; ", end=" &amp; TEXT(W$5, "YYYY-MM-DD") &amp; "))) for('"&amp;$B373&amp;"')")/100</f>
        <v>1.6500000000000001E-2</v>
      </c>
      <c r="X373" s="443">
        <f>_xll.BQL.QUERY("get(avg(px_last(start=" &amp; TEXT(W$5, "YYYY-MM-DD") &amp; ", end=" &amp; TEXT(X$5, "YYYY-MM-DD") &amp; "))) for('"&amp;$B373&amp;"')")/100</f>
        <v>0.03</v>
      </c>
      <c r="Y373" s="444">
        <f>_xll.BQL.QUERY("get(avg(px_last(start=" &amp; TEXT(T$5, "YYYY-MM-DD") &amp; ", end=" &amp; TEXT(Y$5, "YYYY-MM-DD") &amp; "))) for('"&amp;$B373&amp;"')")/100</f>
        <v>3.599999999999999E-2</v>
      </c>
      <c r="Z373" s="443">
        <f>_xll.BQL.QUERY("get(avg(px_last(start=" &amp; TEXT(Y$5, "YYYY-MM-DD") &amp; ", end=" &amp; TEXT(Z$5, "YYYY-MM-DD") &amp; "))) for('"&amp;$B373&amp;"')")/100</f>
        <v>5.8500000000000003E-2</v>
      </c>
      <c r="AA373" s="443">
        <f>_xll.BQL.QUERY("get(avg(px_last(start=" &amp; TEXT(Z$5, "YYYY-MM-DD") &amp; ", end=" &amp; TEXT(AA$5, "YYYY-MM-DD") &amp; "))) for('"&amp;$B373&amp;"')")/100</f>
        <v>7.1999999999999995E-2</v>
      </c>
      <c r="AB373" s="443">
        <f>_xll.BQL.QUERY("get(avg(px_last(start=" &amp; TEXT(AA$5, "YYYY-MM-DD") &amp; ", end=" &amp; TEXT(AB$5, "YYYY-MM-DD") &amp; "))) for('"&amp;$B373&amp;"')")/100</f>
        <v>0.11649999999999999</v>
      </c>
      <c r="AC373" s="443">
        <f>_xll.BQL.QUERY("get(avg(px_last(start=" &amp; TEXT(AB$5, "YYYY-MM-DD") &amp; ", end=" &amp; TEXT(AC$5, "YYYY-MM-DD") &amp; "))) for('"&amp;$B373&amp;"')")/100</f>
        <v>0.11650000000000001</v>
      </c>
      <c r="AD373" s="541">
        <f>_xll.BQL.QUERY("get(avg(px_last(start=" &amp; TEXT(Y$5, "YYYY-MM-DD") &amp; ", end=" &amp; TEXT(AD$5, "YYYY-MM-DD") &amp; "))) for('"&amp;$B373&amp;"')")/100</f>
        <v>8.9181818181818182E-2</v>
      </c>
      <c r="AE373" s="443" t="e">
        <f>_xll.BQL.QUERY("get(avg(px_last(start=" &amp; TEXT(AD$5, "YYYY-MM-DD") &amp; ", end=" &amp; TEXT(AE$5, "YYYY-MM-DD") &amp; "))) for('"&amp;$B373&amp;"')")/100</f>
        <v>#VALUE!</v>
      </c>
      <c r="AF373" s="443" t="e">
        <f>_xll.BQL.QUERY("get(avg(px_last(start=" &amp; TEXT(AE$5, "YYYY-MM-DD") &amp; ", end=" &amp; TEXT(AF$5, "YYYY-MM-DD") &amp; "))) for('"&amp;$B373&amp;"')")/100</f>
        <v>#VALUE!</v>
      </c>
      <c r="AG373" s="443" t="e">
        <f>_xll.BQL.QUERY("get(avg(px_last(start=" &amp; TEXT(AF$5, "YYYY-MM-DD") &amp; ", end=" &amp; TEXT(AG$5, "YYYY-MM-DD") &amp; "))) for('"&amp;$B373&amp;"')")/100</f>
        <v>#VALUE!</v>
      </c>
      <c r="AH373" s="443"/>
      <c r="AI373" s="320"/>
      <c r="AJ373" s="280"/>
      <c r="AK373" s="280"/>
      <c r="AL373" s="280"/>
      <c r="AM373" s="280"/>
      <c r="AN373" s="320"/>
      <c r="AO373" s="280"/>
      <c r="AP373" s="280"/>
      <c r="AQ373" s="280"/>
      <c r="AR373" s="280"/>
      <c r="AS373" s="320"/>
      <c r="AT373" s="315"/>
      <c r="AU373" s="508"/>
      <c r="AV373" s="143"/>
      <c r="AW373" s="143"/>
      <c r="AX373" s="143"/>
      <c r="AY373" s="143"/>
      <c r="AZ373" s="143"/>
      <c r="BA373" s="143"/>
      <c r="BB373" s="143"/>
      <c r="BC373" s="143"/>
      <c r="BD373" s="143"/>
      <c r="BE373" s="143"/>
      <c r="BF373" s="143"/>
      <c r="BG373" s="143"/>
      <c r="BH373" s="143"/>
      <c r="BI373" s="143"/>
      <c r="BJ373" s="143"/>
      <c r="BK373" s="143"/>
      <c r="BL373" s="143"/>
      <c r="BM373" s="143"/>
      <c r="BN373" s="143"/>
      <c r="BO373" s="143"/>
      <c r="BP373" s="143"/>
      <c r="BQ373" s="143"/>
      <c r="BR373" s="143"/>
      <c r="BS373" s="143"/>
      <c r="BT373" s="143"/>
      <c r="BU373" s="143"/>
      <c r="BV373" s="143"/>
      <c r="BW373" s="143"/>
      <c r="BX373" s="143"/>
      <c r="BY373" s="143"/>
      <c r="BZ373" s="143"/>
      <c r="CA373" s="143"/>
      <c r="CB373" s="143"/>
      <c r="CC373" s="143"/>
      <c r="CD373" s="143"/>
      <c r="CE373" s="143"/>
      <c r="CF373" s="143"/>
      <c r="CG373" s="143"/>
      <c r="CH373" s="143"/>
      <c r="CI373" s="143"/>
      <c r="CJ373" s="143"/>
      <c r="CK373" s="143"/>
      <c r="CL373" s="143"/>
      <c r="CM373" s="143"/>
      <c r="CN373" s="143"/>
      <c r="CO373" s="143"/>
      <c r="CP373" s="143"/>
      <c r="CQ373" s="143"/>
      <c r="CR373" s="143"/>
      <c r="CS373" s="143"/>
      <c r="CT373" s="143"/>
      <c r="CU373" s="143"/>
      <c r="CV373" s="143"/>
      <c r="CW373" s="143"/>
      <c r="CX373" s="143"/>
      <c r="CY373" s="143"/>
      <c r="CZ373" s="143"/>
      <c r="DA373" s="143"/>
      <c r="DB373" s="143"/>
      <c r="DC373" s="143"/>
      <c r="DD373" s="143"/>
      <c r="DE373" s="143"/>
      <c r="DF373" s="143"/>
      <c r="DG373" s="143"/>
      <c r="DH373" s="143"/>
      <c r="DI373" s="143"/>
      <c r="DJ373" s="143"/>
      <c r="DK373" s="143"/>
      <c r="DL373" s="143"/>
      <c r="DM373" s="143"/>
      <c r="DN373" s="143"/>
      <c r="DO373" s="143"/>
      <c r="DP373" s="143"/>
      <c r="DQ373" s="143"/>
      <c r="DR373" s="143"/>
      <c r="DS373" s="143"/>
      <c r="DT373" s="143"/>
      <c r="DU373" s="143"/>
      <c r="DV373" s="143"/>
      <c r="DW373" s="143"/>
      <c r="DX373" s="143"/>
      <c r="DY373" s="143"/>
      <c r="DZ373" s="143"/>
      <c r="EA373" s="143"/>
      <c r="EB373" s="143"/>
      <c r="EC373" s="143"/>
      <c r="ED373" s="143"/>
      <c r="EE373" s="143"/>
      <c r="EF373" s="143"/>
      <c r="EG373" s="143"/>
      <c r="EH373" s="143"/>
      <c r="EI373" s="143"/>
      <c r="EJ373" s="143"/>
      <c r="EK373" s="143"/>
      <c r="EL373" s="143"/>
      <c r="EM373" s="143"/>
      <c r="EN373" s="143"/>
      <c r="EO373" s="143"/>
      <c r="EP373" s="143"/>
      <c r="EQ373" s="143"/>
      <c r="ER373" s="143"/>
      <c r="ES373" s="143"/>
      <c r="ET373" s="143"/>
      <c r="EU373" s="143"/>
      <c r="EV373" s="143"/>
      <c r="EW373" s="143"/>
      <c r="EX373" s="143"/>
      <c r="EY373" s="143"/>
      <c r="EZ373" s="143"/>
      <c r="FA373" s="143"/>
      <c r="FB373" s="143"/>
      <c r="FC373" s="143"/>
      <c r="FD373" s="143"/>
      <c r="FE373" s="143"/>
      <c r="FF373" s="143"/>
      <c r="FG373" s="143"/>
      <c r="FH373" s="143"/>
      <c r="FI373" s="143"/>
      <c r="FJ373" s="143"/>
      <c r="FK373" s="143"/>
      <c r="FL373" s="143"/>
      <c r="FM373" s="143"/>
      <c r="FN373" s="143"/>
      <c r="FO373" s="143"/>
      <c r="FP373" s="143"/>
      <c r="FQ373" s="143"/>
      <c r="FR373" s="143"/>
      <c r="FS373" s="143"/>
      <c r="FT373" s="143"/>
      <c r="FU373" s="143"/>
      <c r="FV373" s="143"/>
      <c r="FW373" s="143"/>
      <c r="FX373" s="143"/>
      <c r="FY373" s="143"/>
      <c r="FZ373" s="143"/>
      <c r="GA373" s="143"/>
      <c r="GB373" s="143"/>
      <c r="GC373" s="143"/>
      <c r="GD373" s="143"/>
      <c r="GE373" s="143"/>
      <c r="GF373" s="143"/>
      <c r="GG373" s="143"/>
      <c r="GH373" s="143"/>
      <c r="GI373" s="143"/>
      <c r="GJ373" s="143"/>
      <c r="GK373" s="143"/>
      <c r="GL373" s="143"/>
      <c r="GM373" s="143"/>
      <c r="GN373" s="143"/>
      <c r="GO373" s="143"/>
      <c r="GP373" s="143"/>
      <c r="GQ373" s="143"/>
      <c r="GR373" s="143"/>
      <c r="GS373" s="143"/>
      <c r="GT373" s="143"/>
      <c r="GU373" s="143"/>
      <c r="GV373" s="143"/>
      <c r="GW373" s="143"/>
      <c r="GX373" s="143"/>
      <c r="GY373" s="143"/>
      <c r="GZ373" s="143"/>
      <c r="HA373" s="143"/>
      <c r="HB373" s="143"/>
      <c r="HC373" s="143"/>
      <c r="HD373" s="143"/>
      <c r="HE373" s="143"/>
      <c r="HF373" s="143"/>
      <c r="HG373" s="143"/>
      <c r="HH373" s="143"/>
      <c r="HI373" s="143"/>
      <c r="HJ373" s="143"/>
      <c r="HK373" s="143"/>
      <c r="HL373" s="143"/>
      <c r="HM373" s="143"/>
      <c r="HN373" s="143"/>
      <c r="HO373" s="143"/>
      <c r="HP373" s="143"/>
      <c r="HQ373" s="143"/>
      <c r="HR373" s="143"/>
      <c r="HS373" s="143"/>
      <c r="HT373" s="143"/>
      <c r="HU373" s="143"/>
      <c r="HV373" s="143"/>
      <c r="HW373" s="143"/>
      <c r="HX373" s="143"/>
      <c r="HY373" s="143"/>
      <c r="HZ373" s="143"/>
      <c r="IA373" s="143"/>
      <c r="IB373" s="143"/>
      <c r="IC373" s="143"/>
      <c r="ID373" s="143"/>
      <c r="IE373" s="143"/>
      <c r="IF373" s="143"/>
      <c r="IG373" s="143"/>
      <c r="IH373" s="143"/>
      <c r="II373" s="143"/>
      <c r="IJ373" s="143"/>
      <c r="IK373" s="143"/>
      <c r="IL373" s="143"/>
      <c r="IM373" s="143"/>
      <c r="IN373" s="143"/>
      <c r="IO373" s="143"/>
      <c r="IP373" s="143"/>
      <c r="IQ373" s="143"/>
      <c r="IR373" s="143"/>
      <c r="IS373" s="143"/>
      <c r="IT373" s="143"/>
      <c r="IU373" s="143"/>
      <c r="IV373" s="143"/>
      <c r="IW373" s="143"/>
      <c r="IX373" s="143"/>
      <c r="IY373" s="143"/>
      <c r="IZ373" s="143"/>
      <c r="JA373" s="143"/>
      <c r="JB373" s="143"/>
      <c r="JC373" s="143"/>
      <c r="JD373" s="143"/>
      <c r="JE373" s="143"/>
      <c r="JF373" s="143"/>
      <c r="JG373" s="143"/>
      <c r="JH373" s="143"/>
      <c r="JI373" s="143"/>
    </row>
    <row r="374" spans="1:269" hidden="1" outlineLevel="1">
      <c r="A374" s="436" t="s">
        <v>250</v>
      </c>
      <c r="B374" s="143"/>
      <c r="C374" s="444"/>
      <c r="D374" s="444"/>
      <c r="E374" s="444"/>
      <c r="F374" s="71">
        <v>1</v>
      </c>
      <c r="G374" s="71">
        <v>1</v>
      </c>
      <c r="H374" s="71">
        <v>1</v>
      </c>
      <c r="I374" s="71">
        <v>1</v>
      </c>
      <c r="J374" s="444"/>
      <c r="K374" s="71">
        <v>1</v>
      </c>
      <c r="L374" s="71">
        <v>1</v>
      </c>
      <c r="M374" s="71">
        <v>1</v>
      </c>
      <c r="N374" s="71">
        <v>1</v>
      </c>
      <c r="O374" s="444"/>
      <c r="P374" s="476">
        <f>(1+P373)*K374</f>
        <v>0.94474999999999998</v>
      </c>
      <c r="Q374" s="476">
        <f t="shared" ref="Q374:S374" si="763">(1+Q373)*L374</f>
        <v>0.96825000000000006</v>
      </c>
      <c r="R374" s="476">
        <f t="shared" si="763"/>
        <v>1.0605</v>
      </c>
      <c r="S374" s="476">
        <f t="shared" si="763"/>
        <v>1.0667500000000001</v>
      </c>
      <c r="T374" s="444"/>
      <c r="U374" s="476">
        <f t="shared" ref="U374:X374" si="764">(1+U373)*P374</f>
        <v>1.0080482499999999</v>
      </c>
      <c r="V374" s="476">
        <f t="shared" si="764"/>
        <v>1.0011705000000002</v>
      </c>
      <c r="W374" s="476">
        <f t="shared" si="764"/>
        <v>1.07799825</v>
      </c>
      <c r="X374" s="476">
        <f t="shared" si="764"/>
        <v>1.0987525</v>
      </c>
      <c r="Y374" s="444"/>
      <c r="Z374" s="476">
        <f t="shared" ref="Z374:AC374" si="765">(1+Z373)*U374</f>
        <v>1.067019072625</v>
      </c>
      <c r="AA374" s="476">
        <f t="shared" si="765"/>
        <v>1.0732547760000002</v>
      </c>
      <c r="AB374" s="476">
        <f t="shared" si="765"/>
        <v>1.2035850461250002</v>
      </c>
      <c r="AC374" s="476">
        <f t="shared" si="765"/>
        <v>1.2267571662500001</v>
      </c>
      <c r="AD374" s="541"/>
      <c r="AE374" s="476" t="e">
        <f t="shared" ref="AE374:AG374" si="766">(1+AE373)*Z374</f>
        <v>#VALUE!</v>
      </c>
      <c r="AF374" s="476" t="e">
        <f t="shared" si="766"/>
        <v>#VALUE!</v>
      </c>
      <c r="AG374" s="476" t="e">
        <f t="shared" si="766"/>
        <v>#VALUE!</v>
      </c>
      <c r="AH374" s="443"/>
      <c r="AI374" s="320"/>
      <c r="AJ374" s="280"/>
      <c r="AK374" s="280"/>
      <c r="AL374" s="280"/>
      <c r="AM374" s="280"/>
      <c r="AN374" s="320"/>
      <c r="AO374" s="280"/>
      <c r="AP374" s="280"/>
      <c r="AQ374" s="280"/>
      <c r="AR374" s="280"/>
      <c r="AS374" s="320"/>
      <c r="AT374" s="315"/>
      <c r="AU374" s="508"/>
      <c r="AV374" s="143"/>
      <c r="AW374" s="143"/>
      <c r="AX374" s="143"/>
      <c r="AY374" s="143"/>
      <c r="AZ374" s="143"/>
      <c r="BA374" s="143"/>
      <c r="BB374" s="143"/>
      <c r="BC374" s="143"/>
      <c r="BD374" s="143"/>
      <c r="BE374" s="143"/>
      <c r="BF374" s="143"/>
      <c r="BG374" s="143"/>
      <c r="BH374" s="143"/>
      <c r="BI374" s="143"/>
      <c r="BJ374" s="143"/>
      <c r="BK374" s="143"/>
      <c r="BL374" s="143"/>
      <c r="BM374" s="143"/>
      <c r="BN374" s="143"/>
      <c r="BO374" s="143"/>
      <c r="BP374" s="143"/>
      <c r="BQ374" s="143"/>
      <c r="BR374" s="143"/>
      <c r="BS374" s="143"/>
      <c r="BT374" s="143"/>
      <c r="BU374" s="143"/>
      <c r="BV374" s="143"/>
      <c r="BW374" s="143"/>
      <c r="BX374" s="143"/>
      <c r="BY374" s="143"/>
      <c r="BZ374" s="143"/>
      <c r="CA374" s="143"/>
      <c r="CB374" s="143"/>
      <c r="CC374" s="143"/>
      <c r="CD374" s="143"/>
      <c r="CE374" s="143"/>
      <c r="CF374" s="143"/>
      <c r="CG374" s="143"/>
      <c r="CH374" s="143"/>
      <c r="CI374" s="143"/>
      <c r="CJ374" s="143"/>
      <c r="CK374" s="143"/>
      <c r="CL374" s="143"/>
      <c r="CM374" s="143"/>
      <c r="CN374" s="143"/>
      <c r="CO374" s="143"/>
      <c r="CP374" s="143"/>
      <c r="CQ374" s="143"/>
      <c r="CR374" s="143"/>
      <c r="CS374" s="143"/>
      <c r="CT374" s="143"/>
      <c r="CU374" s="143"/>
      <c r="CV374" s="143"/>
      <c r="CW374" s="143"/>
      <c r="CX374" s="143"/>
      <c r="CY374" s="143"/>
      <c r="CZ374" s="143"/>
      <c r="DA374" s="143"/>
      <c r="DB374" s="143"/>
      <c r="DC374" s="143"/>
      <c r="DD374" s="143"/>
      <c r="DE374" s="143"/>
      <c r="DF374" s="143"/>
      <c r="DG374" s="143"/>
      <c r="DH374" s="143"/>
      <c r="DI374" s="143"/>
      <c r="DJ374" s="143"/>
      <c r="DK374" s="143"/>
      <c r="DL374" s="143"/>
      <c r="DM374" s="143"/>
      <c r="DN374" s="143"/>
      <c r="DO374" s="143"/>
      <c r="DP374" s="143"/>
      <c r="DQ374" s="143"/>
      <c r="DR374" s="143"/>
      <c r="DS374" s="143"/>
      <c r="DT374" s="143"/>
      <c r="DU374" s="143"/>
      <c r="DV374" s="143"/>
      <c r="DW374" s="143"/>
      <c r="DX374" s="143"/>
      <c r="DY374" s="143"/>
      <c r="DZ374" s="143"/>
      <c r="EA374" s="143"/>
      <c r="EB374" s="143"/>
      <c r="EC374" s="143"/>
      <c r="ED374" s="143"/>
      <c r="EE374" s="143"/>
      <c r="EF374" s="143"/>
      <c r="EG374" s="143"/>
      <c r="EH374" s="143"/>
      <c r="EI374" s="143"/>
      <c r="EJ374" s="143"/>
      <c r="EK374" s="143"/>
      <c r="EL374" s="143"/>
      <c r="EM374" s="143"/>
      <c r="EN374" s="143"/>
      <c r="EO374" s="143"/>
      <c r="EP374" s="143"/>
      <c r="EQ374" s="143"/>
      <c r="ER374" s="143"/>
      <c r="ES374" s="143"/>
      <c r="ET374" s="143"/>
      <c r="EU374" s="143"/>
      <c r="EV374" s="143"/>
      <c r="EW374" s="143"/>
      <c r="EX374" s="143"/>
      <c r="EY374" s="143"/>
      <c r="EZ374" s="143"/>
      <c r="FA374" s="143"/>
      <c r="FB374" s="143"/>
      <c r="FC374" s="143"/>
      <c r="FD374" s="143"/>
      <c r="FE374" s="143"/>
      <c r="FF374" s="143"/>
      <c r="FG374" s="143"/>
      <c r="FH374" s="143"/>
      <c r="FI374" s="143"/>
      <c r="FJ374" s="143"/>
      <c r="FK374" s="143"/>
      <c r="FL374" s="143"/>
      <c r="FM374" s="143"/>
      <c r="FN374" s="143"/>
      <c r="FO374" s="143"/>
      <c r="FP374" s="143"/>
      <c r="FQ374" s="143"/>
      <c r="FR374" s="143"/>
      <c r="FS374" s="143"/>
      <c r="FT374" s="143"/>
      <c r="FU374" s="143"/>
      <c r="FV374" s="143"/>
      <c r="FW374" s="143"/>
      <c r="FX374" s="143"/>
      <c r="FY374" s="143"/>
      <c r="FZ374" s="143"/>
      <c r="GA374" s="143"/>
      <c r="GB374" s="143"/>
      <c r="GC374" s="143"/>
      <c r="GD374" s="143"/>
      <c r="GE374" s="143"/>
      <c r="GF374" s="143"/>
      <c r="GG374" s="143"/>
      <c r="GH374" s="143"/>
      <c r="GI374" s="143"/>
      <c r="GJ374" s="143"/>
      <c r="GK374" s="143"/>
      <c r="GL374" s="143"/>
      <c r="GM374" s="143"/>
      <c r="GN374" s="143"/>
      <c r="GO374" s="143"/>
      <c r="GP374" s="143"/>
      <c r="GQ374" s="143"/>
      <c r="GR374" s="143"/>
      <c r="GS374" s="143"/>
      <c r="GT374" s="143"/>
      <c r="GU374" s="143"/>
      <c r="GV374" s="143"/>
      <c r="GW374" s="143"/>
      <c r="GX374" s="143"/>
      <c r="GY374" s="143"/>
      <c r="GZ374" s="143"/>
      <c r="HA374" s="143"/>
      <c r="HB374" s="143"/>
      <c r="HC374" s="143"/>
      <c r="HD374" s="143"/>
      <c r="HE374" s="143"/>
      <c r="HF374" s="143"/>
      <c r="HG374" s="143"/>
      <c r="HH374" s="143"/>
      <c r="HI374" s="143"/>
      <c r="HJ374" s="143"/>
      <c r="HK374" s="143"/>
      <c r="HL374" s="143"/>
      <c r="HM374" s="143"/>
      <c r="HN374" s="143"/>
      <c r="HO374" s="143"/>
      <c r="HP374" s="143"/>
      <c r="HQ374" s="143"/>
      <c r="HR374" s="143"/>
      <c r="HS374" s="143"/>
      <c r="HT374" s="143"/>
      <c r="HU374" s="143"/>
      <c r="HV374" s="143"/>
      <c r="HW374" s="143"/>
      <c r="HX374" s="143"/>
      <c r="HY374" s="143"/>
      <c r="HZ374" s="143"/>
      <c r="IA374" s="143"/>
      <c r="IB374" s="143"/>
      <c r="IC374" s="143"/>
      <c r="ID374" s="143"/>
      <c r="IE374" s="143"/>
      <c r="IF374" s="143"/>
      <c r="IG374" s="143"/>
      <c r="IH374" s="143"/>
      <c r="II374" s="143"/>
      <c r="IJ374" s="143"/>
      <c r="IK374" s="143"/>
      <c r="IL374" s="143"/>
      <c r="IM374" s="143"/>
      <c r="IN374" s="143"/>
      <c r="IO374" s="143"/>
      <c r="IP374" s="143"/>
      <c r="IQ374" s="143"/>
      <c r="IR374" s="143"/>
      <c r="IS374" s="143"/>
      <c r="IT374" s="143"/>
      <c r="IU374" s="143"/>
      <c r="IV374" s="143"/>
      <c r="IW374" s="143"/>
      <c r="IX374" s="143"/>
      <c r="IY374" s="143"/>
      <c r="IZ374" s="143"/>
      <c r="JA374" s="143"/>
      <c r="JB374" s="143"/>
      <c r="JC374" s="143"/>
      <c r="JD374" s="143"/>
      <c r="JE374" s="143"/>
      <c r="JF374" s="143"/>
      <c r="JG374" s="143"/>
      <c r="JH374" s="143"/>
      <c r="JI374" s="143"/>
    </row>
    <row r="375" spans="1:269" hidden="1" outlineLevel="1">
      <c r="A375" s="436"/>
      <c r="B375" s="143"/>
      <c r="C375" s="444"/>
      <c r="D375" s="444"/>
      <c r="E375" s="444"/>
      <c r="F375" s="71"/>
      <c r="G375" s="71"/>
      <c r="H375" s="71"/>
      <c r="I375" s="71"/>
      <c r="J375" s="444"/>
      <c r="K375" s="71"/>
      <c r="L375" s="71"/>
      <c r="M375" s="71"/>
      <c r="N375" s="71"/>
      <c r="O375" s="444"/>
      <c r="P375" s="476"/>
      <c r="Q375" s="476"/>
      <c r="R375" s="476"/>
      <c r="S375" s="476"/>
      <c r="T375" s="444"/>
      <c r="U375" s="476"/>
      <c r="V375" s="476"/>
      <c r="W375" s="476"/>
      <c r="X375" s="476"/>
      <c r="Y375" s="444"/>
      <c r="Z375" s="476"/>
      <c r="AA375" s="476"/>
      <c r="AB375" s="476"/>
      <c r="AC375" s="476"/>
      <c r="AD375" s="541"/>
      <c r="AE375" s="476"/>
      <c r="AF375" s="476"/>
      <c r="AG375" s="476"/>
      <c r="AH375" s="443"/>
      <c r="AI375" s="320"/>
      <c r="AJ375" s="280"/>
      <c r="AK375" s="280"/>
      <c r="AL375" s="280"/>
      <c r="AM375" s="280"/>
      <c r="AN375" s="320"/>
      <c r="AO375" s="280"/>
      <c r="AP375" s="280"/>
      <c r="AQ375" s="280"/>
      <c r="AR375" s="280"/>
      <c r="AS375" s="320"/>
      <c r="AT375" s="315"/>
      <c r="AU375" s="508"/>
      <c r="AV375" s="143"/>
      <c r="AW375" s="143"/>
      <c r="AX375" s="143"/>
      <c r="AY375" s="143"/>
      <c r="AZ375" s="143"/>
      <c r="BA375" s="143"/>
      <c r="BB375" s="143"/>
      <c r="BC375" s="143"/>
      <c r="BD375" s="143"/>
      <c r="BE375" s="143"/>
      <c r="BF375" s="143"/>
      <c r="BG375" s="143"/>
      <c r="BH375" s="143"/>
      <c r="BI375" s="143"/>
      <c r="BJ375" s="143"/>
      <c r="BK375" s="143"/>
      <c r="BL375" s="143"/>
      <c r="BM375" s="143"/>
      <c r="BN375" s="143"/>
      <c r="BO375" s="143"/>
      <c r="BP375" s="143"/>
      <c r="BQ375" s="143"/>
      <c r="BR375" s="143"/>
      <c r="BS375" s="143"/>
      <c r="BT375" s="143"/>
      <c r="BU375" s="143"/>
      <c r="BV375" s="143"/>
      <c r="BW375" s="143"/>
      <c r="BX375" s="143"/>
      <c r="BY375" s="143"/>
      <c r="BZ375" s="143"/>
      <c r="CA375" s="143"/>
      <c r="CB375" s="143"/>
      <c r="CC375" s="143"/>
      <c r="CD375" s="143"/>
      <c r="CE375" s="143"/>
      <c r="CF375" s="143"/>
      <c r="CG375" s="143"/>
      <c r="CH375" s="143"/>
      <c r="CI375" s="143"/>
      <c r="CJ375" s="143"/>
      <c r="CK375" s="143"/>
      <c r="CL375" s="143"/>
      <c r="CM375" s="143"/>
      <c r="CN375" s="143"/>
      <c r="CO375" s="143"/>
      <c r="CP375" s="143"/>
      <c r="CQ375" s="143"/>
      <c r="CR375" s="143"/>
      <c r="CS375" s="143"/>
      <c r="CT375" s="143"/>
      <c r="CU375" s="143"/>
      <c r="CV375" s="143"/>
      <c r="CW375" s="143"/>
      <c r="CX375" s="143"/>
      <c r="CY375" s="143"/>
      <c r="CZ375" s="143"/>
      <c r="DA375" s="143"/>
      <c r="DB375" s="143"/>
      <c r="DC375" s="143"/>
      <c r="DD375" s="143"/>
      <c r="DE375" s="143"/>
      <c r="DF375" s="143"/>
      <c r="DG375" s="143"/>
      <c r="DH375" s="143"/>
      <c r="DI375" s="143"/>
      <c r="DJ375" s="143"/>
      <c r="DK375" s="143"/>
      <c r="DL375" s="143"/>
      <c r="DM375" s="143"/>
      <c r="DN375" s="143"/>
      <c r="DO375" s="143"/>
      <c r="DP375" s="143"/>
      <c r="DQ375" s="143"/>
      <c r="DR375" s="143"/>
      <c r="DS375" s="143"/>
      <c r="DT375" s="143"/>
      <c r="DU375" s="143"/>
      <c r="DV375" s="143"/>
      <c r="DW375" s="143"/>
      <c r="DX375" s="143"/>
      <c r="DY375" s="143"/>
      <c r="DZ375" s="143"/>
      <c r="EA375" s="143"/>
      <c r="EB375" s="143"/>
      <c r="EC375" s="143"/>
      <c r="ED375" s="143"/>
      <c r="EE375" s="143"/>
      <c r="EF375" s="143"/>
      <c r="EG375" s="143"/>
      <c r="EH375" s="143"/>
      <c r="EI375" s="143"/>
      <c r="EJ375" s="143"/>
      <c r="EK375" s="143"/>
      <c r="EL375" s="143"/>
      <c r="EM375" s="143"/>
      <c r="EN375" s="143"/>
      <c r="EO375" s="143"/>
      <c r="EP375" s="143"/>
      <c r="EQ375" s="143"/>
      <c r="ER375" s="143"/>
      <c r="ES375" s="143"/>
      <c r="ET375" s="143"/>
      <c r="EU375" s="143"/>
      <c r="EV375" s="143"/>
      <c r="EW375" s="143"/>
      <c r="EX375" s="143"/>
      <c r="EY375" s="143"/>
      <c r="EZ375" s="143"/>
      <c r="FA375" s="143"/>
      <c r="FB375" s="143"/>
      <c r="FC375" s="143"/>
      <c r="FD375" s="143"/>
      <c r="FE375" s="143"/>
      <c r="FF375" s="143"/>
      <c r="FG375" s="143"/>
      <c r="FH375" s="143"/>
      <c r="FI375" s="143"/>
      <c r="FJ375" s="143"/>
      <c r="FK375" s="143"/>
      <c r="FL375" s="143"/>
      <c r="FM375" s="143"/>
      <c r="FN375" s="143"/>
      <c r="FO375" s="143"/>
      <c r="FP375" s="143"/>
      <c r="FQ375" s="143"/>
      <c r="FR375" s="143"/>
      <c r="FS375" s="143"/>
      <c r="FT375" s="143"/>
      <c r="FU375" s="143"/>
      <c r="FV375" s="143"/>
      <c r="FW375" s="143"/>
      <c r="FX375" s="143"/>
      <c r="FY375" s="143"/>
      <c r="FZ375" s="143"/>
      <c r="GA375" s="143"/>
      <c r="GB375" s="143"/>
      <c r="GC375" s="143"/>
      <c r="GD375" s="143"/>
      <c r="GE375" s="143"/>
      <c r="GF375" s="143"/>
      <c r="GG375" s="143"/>
      <c r="GH375" s="143"/>
      <c r="GI375" s="143"/>
      <c r="GJ375" s="143"/>
      <c r="GK375" s="143"/>
      <c r="GL375" s="143"/>
      <c r="GM375" s="143"/>
      <c r="GN375" s="143"/>
      <c r="GO375" s="143"/>
      <c r="GP375" s="143"/>
      <c r="GQ375" s="143"/>
      <c r="GR375" s="143"/>
      <c r="GS375" s="143"/>
      <c r="GT375" s="143"/>
      <c r="GU375" s="143"/>
      <c r="GV375" s="143"/>
      <c r="GW375" s="143"/>
      <c r="GX375" s="143"/>
      <c r="GY375" s="143"/>
      <c r="GZ375" s="143"/>
      <c r="HA375" s="143"/>
      <c r="HB375" s="143"/>
      <c r="HC375" s="143"/>
      <c r="HD375" s="143"/>
      <c r="HE375" s="143"/>
      <c r="HF375" s="143"/>
      <c r="HG375" s="143"/>
      <c r="HH375" s="143"/>
      <c r="HI375" s="143"/>
      <c r="HJ375" s="143"/>
      <c r="HK375" s="143"/>
      <c r="HL375" s="143"/>
      <c r="HM375" s="143"/>
      <c r="HN375" s="143"/>
      <c r="HO375" s="143"/>
      <c r="HP375" s="143"/>
      <c r="HQ375" s="143"/>
      <c r="HR375" s="143"/>
      <c r="HS375" s="143"/>
      <c r="HT375" s="143"/>
      <c r="HU375" s="143"/>
      <c r="HV375" s="143"/>
      <c r="HW375" s="143"/>
      <c r="HX375" s="143"/>
      <c r="HY375" s="143"/>
      <c r="HZ375" s="143"/>
      <c r="IA375" s="143"/>
      <c r="IB375" s="143"/>
      <c r="IC375" s="143"/>
      <c r="ID375" s="143"/>
      <c r="IE375" s="143"/>
      <c r="IF375" s="143"/>
      <c r="IG375" s="143"/>
      <c r="IH375" s="143"/>
      <c r="II375" s="143"/>
      <c r="IJ375" s="143"/>
      <c r="IK375" s="143"/>
      <c r="IL375" s="143"/>
      <c r="IM375" s="143"/>
      <c r="IN375" s="143"/>
      <c r="IO375" s="143"/>
      <c r="IP375" s="143"/>
      <c r="IQ375" s="143"/>
      <c r="IR375" s="143"/>
      <c r="IS375" s="143"/>
      <c r="IT375" s="143"/>
      <c r="IU375" s="143"/>
      <c r="IV375" s="143"/>
      <c r="IW375" s="143"/>
      <c r="IX375" s="143"/>
      <c r="IY375" s="143"/>
      <c r="IZ375" s="143"/>
      <c r="JA375" s="143"/>
      <c r="JB375" s="143"/>
      <c r="JC375" s="143"/>
      <c r="JD375" s="143"/>
      <c r="JE375" s="143"/>
      <c r="JF375" s="143"/>
      <c r="JG375" s="143"/>
      <c r="JH375" s="143"/>
      <c r="JI375" s="143"/>
    </row>
    <row r="376" spans="1:269" ht="15" hidden="1" outlineLevel="1" thickBot="1">
      <c r="A376" s="80" t="s">
        <v>277</v>
      </c>
      <c r="B376" s="67"/>
      <c r="C376" s="481"/>
      <c r="D376" s="481"/>
      <c r="E376" s="481"/>
      <c r="F376" s="480"/>
      <c r="G376" s="480"/>
      <c r="H376" s="480"/>
      <c r="I376" s="480"/>
      <c r="J376" s="481"/>
      <c r="K376" s="480"/>
      <c r="L376" s="480"/>
      <c r="M376" s="480"/>
      <c r="N376" s="480"/>
      <c r="O376" s="481"/>
      <c r="P376" s="480"/>
      <c r="Q376" s="480"/>
      <c r="R376" s="480"/>
      <c r="S376" s="480"/>
      <c r="T376" s="481"/>
      <c r="U376" s="480"/>
      <c r="V376" s="480"/>
      <c r="W376" s="480"/>
      <c r="X376" s="480"/>
      <c r="Y376" s="481"/>
      <c r="Z376" s="480"/>
      <c r="AA376" s="480"/>
      <c r="AB376" s="480"/>
      <c r="AC376" s="480"/>
      <c r="AD376" s="542"/>
      <c r="AE376" s="480"/>
      <c r="AF376" s="480"/>
      <c r="AG376" s="480"/>
      <c r="AH376" s="480"/>
      <c r="AI376" s="329"/>
      <c r="AJ376" s="72"/>
      <c r="AK376" s="72"/>
      <c r="AL376" s="72"/>
      <c r="AM376" s="72"/>
      <c r="AN376" s="329"/>
      <c r="AO376" s="72"/>
      <c r="AP376" s="72"/>
      <c r="AQ376" s="72"/>
      <c r="AR376" s="72"/>
      <c r="AS376" s="329"/>
      <c r="AT376" s="315"/>
      <c r="AU376" s="508"/>
      <c r="AV376" s="143"/>
      <c r="AW376" s="143"/>
      <c r="AX376" s="143"/>
      <c r="AY376" s="143"/>
      <c r="AZ376" s="143"/>
      <c r="BA376" s="143"/>
      <c r="BB376" s="143"/>
      <c r="BC376" s="143"/>
      <c r="BD376" s="143"/>
      <c r="BE376" s="143"/>
      <c r="BF376" s="143"/>
      <c r="BG376" s="143"/>
      <c r="BH376" s="143"/>
      <c r="BI376" s="143"/>
      <c r="BJ376" s="143"/>
      <c r="BK376" s="143"/>
      <c r="BL376" s="143"/>
      <c r="BM376" s="143"/>
      <c r="BN376" s="143"/>
      <c r="BO376" s="143"/>
      <c r="BP376" s="143"/>
      <c r="BQ376" s="143"/>
      <c r="BR376" s="143"/>
      <c r="BS376" s="143"/>
      <c r="BT376" s="143"/>
      <c r="BU376" s="143"/>
      <c r="BV376" s="143"/>
      <c r="BW376" s="143"/>
      <c r="BX376" s="143"/>
      <c r="BY376" s="143"/>
      <c r="BZ376" s="143"/>
      <c r="CA376" s="143"/>
      <c r="CB376" s="143"/>
      <c r="CC376" s="143"/>
      <c r="CD376" s="143"/>
      <c r="CE376" s="143"/>
      <c r="CF376" s="143"/>
      <c r="CG376" s="143"/>
      <c r="CH376" s="143"/>
      <c r="CI376" s="143"/>
      <c r="CJ376" s="143"/>
      <c r="CK376" s="143"/>
      <c r="CL376" s="143"/>
      <c r="CM376" s="143"/>
      <c r="CN376" s="143"/>
      <c r="CO376" s="143"/>
      <c r="CP376" s="143"/>
      <c r="CQ376" s="143"/>
      <c r="CR376" s="143"/>
      <c r="CS376" s="143"/>
      <c r="CT376" s="143"/>
      <c r="CU376" s="143"/>
      <c r="CV376" s="143"/>
      <c r="CW376" s="143"/>
      <c r="CX376" s="143"/>
      <c r="CY376" s="143"/>
      <c r="CZ376" s="143"/>
      <c r="DA376" s="143"/>
      <c r="DB376" s="143"/>
      <c r="DC376" s="143"/>
      <c r="DD376" s="143"/>
      <c r="DE376" s="143"/>
      <c r="DF376" s="143"/>
      <c r="DG376" s="143"/>
      <c r="DH376" s="143"/>
      <c r="DI376" s="143"/>
      <c r="DJ376" s="143"/>
      <c r="DK376" s="143"/>
      <c r="DL376" s="143"/>
      <c r="DM376" s="143"/>
      <c r="DN376" s="143"/>
      <c r="DO376" s="143"/>
      <c r="DP376" s="143"/>
      <c r="DQ376" s="143"/>
      <c r="DR376" s="143"/>
      <c r="DS376" s="143"/>
      <c r="DT376" s="143"/>
      <c r="DU376" s="143"/>
      <c r="DV376" s="143"/>
      <c r="DW376" s="143"/>
      <c r="DX376" s="143"/>
      <c r="DY376" s="143"/>
      <c r="DZ376" s="143"/>
      <c r="EA376" s="143"/>
      <c r="EB376" s="143"/>
      <c r="EC376" s="143"/>
      <c r="ED376" s="143"/>
      <c r="EE376" s="143"/>
      <c r="EF376" s="143"/>
      <c r="EG376" s="143"/>
      <c r="EH376" s="143"/>
      <c r="EI376" s="143"/>
      <c r="EJ376" s="143"/>
      <c r="EK376" s="143"/>
      <c r="EL376" s="143"/>
      <c r="EM376" s="143"/>
      <c r="EN376" s="143"/>
      <c r="EO376" s="143"/>
      <c r="EP376" s="143"/>
      <c r="EQ376" s="143"/>
      <c r="ER376" s="143"/>
      <c r="ES376" s="143"/>
      <c r="ET376" s="143"/>
      <c r="EU376" s="143"/>
      <c r="EV376" s="143"/>
      <c r="EW376" s="143"/>
      <c r="EX376" s="143"/>
      <c r="EY376" s="143"/>
      <c r="EZ376" s="143"/>
      <c r="FA376" s="143"/>
      <c r="FB376" s="143"/>
      <c r="FC376" s="143"/>
      <c r="FD376" s="143"/>
      <c r="FE376" s="143"/>
      <c r="FF376" s="143"/>
      <c r="FG376" s="143"/>
      <c r="FH376" s="143"/>
      <c r="FI376" s="143"/>
      <c r="FJ376" s="143"/>
      <c r="FK376" s="143"/>
      <c r="FL376" s="143"/>
      <c r="FM376" s="143"/>
      <c r="FN376" s="143"/>
      <c r="FO376" s="143"/>
      <c r="FP376" s="143"/>
      <c r="FQ376" s="143"/>
      <c r="FR376" s="143"/>
      <c r="FS376" s="143"/>
      <c r="FT376" s="143"/>
      <c r="FU376" s="143"/>
      <c r="FV376" s="143"/>
      <c r="FW376" s="143"/>
      <c r="FX376" s="143"/>
      <c r="FY376" s="143"/>
      <c r="FZ376" s="143"/>
      <c r="GA376" s="143"/>
      <c r="GB376" s="143"/>
      <c r="GC376" s="143"/>
      <c r="GD376" s="143"/>
      <c r="GE376" s="143"/>
      <c r="GF376" s="143"/>
      <c r="GG376" s="143"/>
      <c r="GH376" s="143"/>
      <c r="GI376" s="143"/>
      <c r="GJ376" s="143"/>
      <c r="GK376" s="143"/>
      <c r="GL376" s="143"/>
      <c r="GM376" s="143"/>
      <c r="GN376" s="143"/>
      <c r="GO376" s="143"/>
      <c r="GP376" s="143"/>
      <c r="GQ376" s="143"/>
      <c r="GR376" s="143"/>
      <c r="GS376" s="143"/>
      <c r="GT376" s="143"/>
      <c r="GU376" s="143"/>
      <c r="GV376" s="143"/>
      <c r="GW376" s="143"/>
      <c r="GX376" s="143"/>
      <c r="GY376" s="143"/>
      <c r="GZ376" s="143"/>
      <c r="HA376" s="143"/>
      <c r="HB376" s="143"/>
      <c r="HC376" s="143"/>
      <c r="HD376" s="143"/>
      <c r="HE376" s="143"/>
      <c r="HF376" s="143"/>
      <c r="HG376" s="143"/>
      <c r="HH376" s="143"/>
      <c r="HI376" s="143"/>
      <c r="HJ376" s="143"/>
      <c r="HK376" s="143"/>
      <c r="HL376" s="143"/>
      <c r="HM376" s="143"/>
      <c r="HN376" s="143"/>
      <c r="HO376" s="143"/>
      <c r="HP376" s="143"/>
      <c r="HQ376" s="143"/>
      <c r="HR376" s="143"/>
      <c r="HS376" s="143"/>
      <c r="HT376" s="143"/>
      <c r="HU376" s="143"/>
      <c r="HV376" s="143"/>
      <c r="HW376" s="143"/>
      <c r="HX376" s="143"/>
      <c r="HY376" s="143"/>
      <c r="HZ376" s="143"/>
      <c r="IA376" s="143"/>
      <c r="IB376" s="143"/>
      <c r="IC376" s="143"/>
      <c r="ID376" s="143"/>
      <c r="IE376" s="143"/>
      <c r="IF376" s="143"/>
      <c r="IG376" s="143"/>
      <c r="IH376" s="143"/>
      <c r="II376" s="143"/>
      <c r="IJ376" s="143"/>
      <c r="IK376" s="143"/>
      <c r="IL376" s="143"/>
      <c r="IM376" s="143"/>
      <c r="IN376" s="143"/>
      <c r="IO376" s="143"/>
      <c r="IP376" s="143"/>
      <c r="IQ376" s="143"/>
      <c r="IR376" s="143"/>
      <c r="IS376" s="143"/>
      <c r="IT376" s="143"/>
      <c r="IU376" s="143"/>
      <c r="IV376" s="143"/>
      <c r="IW376" s="143"/>
      <c r="IX376" s="143"/>
      <c r="IY376" s="143"/>
      <c r="IZ376" s="143"/>
      <c r="JA376" s="143"/>
      <c r="JB376" s="143"/>
      <c r="JC376" s="143"/>
      <c r="JD376" s="143"/>
      <c r="JE376" s="143"/>
      <c r="JF376" s="143"/>
      <c r="JG376" s="143"/>
      <c r="JH376" s="143"/>
      <c r="JI376" s="143"/>
    </row>
    <row r="377" spans="1:269" ht="15" hidden="1" outlineLevel="1" thickTop="1">
      <c r="A377" s="83" t="s">
        <v>239</v>
      </c>
      <c r="B377" s="143" t="s">
        <v>238</v>
      </c>
      <c r="C377" s="475" t="e">
        <f>_xll.BQL.QUERY("get(avg(px_last(start=" &amp; TEXT(#REF!, "YYYY-MM-DD") &amp; ", end=" &amp; TEXT(C$5, "YYYY-MM-DD") &amp; "))) for('"&amp;$B377&amp;"')")</f>
        <v>#REF!</v>
      </c>
      <c r="D377" s="475" t="e">
        <f>_xll.BQL.QUERY("get(avg(px_last(start=" &amp; TEXT(#REF!, "YYYY-MM-DD") &amp; ", end=" &amp; TEXT(D$5, "YYYY-MM-DD") &amp; "))) for('"&amp;$B377&amp;"')")</f>
        <v>#REF!</v>
      </c>
      <c r="E377" s="475" t="e">
        <f>_xll.BQL.QUERY("get(avg(px_last(start=" &amp; TEXT(#REF!, "YYYY-MM-DD") &amp; ", end=" &amp; TEXT(E$5, "YYYY-MM-DD") &amp; "))) for('"&amp;$B377&amp;"')")</f>
        <v>#REF!</v>
      </c>
      <c r="F377" s="335" t="e">
        <f>_xll.BQL.QUERY("get(avg(px_last(start=" &amp; TEXT(#REF!, "YYYY-MM-DD") &amp; ", end=" &amp; TEXT(F$5, "YYYY-MM-DD") &amp; "))) for('"&amp;$B377&amp;"')")</f>
        <v>#REF!</v>
      </c>
      <c r="G377" s="335">
        <f>_xll.BQL.QUERY("get(avg(px_last(start=" &amp; TEXT(F$5, "YYYY-MM-DD") &amp; ", end=" &amp; TEXT(G$5, "YYYY-MM-DD") &amp; "))) for('"&amp;$B377&amp;"')")</f>
        <v>114.7</v>
      </c>
      <c r="H377" s="335">
        <f>_xll.BQL.QUERY("get(avg(px_last(start=" &amp; TEXT(G$5, "YYYY-MM-DD") &amp; ", end=" &amp; TEXT(H$5, "YYYY-MM-DD") &amp; "))) for('"&amp;$B377&amp;"')")</f>
        <v>118.3</v>
      </c>
      <c r="I377" s="335">
        <f>_xll.BQL.QUERY("get(avg(px_last(start=" &amp; TEXT(H$5, "YYYY-MM-DD") &amp; ", end=" &amp; TEXT(I$5, "YYYY-MM-DD") &amp; "))) for('"&amp;$B377&amp;"')")</f>
        <v>120.6</v>
      </c>
      <c r="J377" s="475" t="e">
        <f>_xll.BQL.QUERY("get(avg(px_last(start=" &amp; TEXT(#REF!, "YYYY-MM-DD") &amp; ", end=" &amp; TEXT(J$5, "YYYY-MM-DD") &amp; "))) for('"&amp;$B377&amp;"')")</f>
        <v>#REF!</v>
      </c>
      <c r="K377" s="335" t="e">
        <f>_xll.BQL.QUERY("get(avg(px_last(start=" &amp; TEXT(#REF!, "YYYY-MM-DD") &amp; ", end=" &amp; TEXT(K$5, "YYYY-MM-DD") &amp; "))) for('"&amp;$B377&amp;"')")</f>
        <v>#REF!</v>
      </c>
      <c r="L377" s="335">
        <f>_xll.BQL.QUERY("get(avg(px_last(start=" &amp; TEXT(K$5, "YYYY-MM-DD") &amp; ", end=" &amp; TEXT(L$5, "YYYY-MM-DD") &amp; "))) for('"&amp;$B377&amp;"')")</f>
        <v>115.69999999999999</v>
      </c>
      <c r="M377" s="335">
        <f>_xll.BQL.QUERY("get(avg(px_last(start=" &amp; TEXT(L$5, "YYYY-MM-DD") &amp; ", end=" &amp; TEXT(M$5, "YYYY-MM-DD") &amp; "))) for('"&amp;$B377&amp;"')")</f>
        <v>115.44999999999999</v>
      </c>
      <c r="N377" s="335">
        <f>_xll.BQL.QUERY("get(avg(px_last(start=" &amp; TEXT(M$5, "YYYY-MM-DD") &amp; ", end=" &amp; TEXT(N$5, "YYYY-MM-DD") &amp; "))) for('"&amp;$B377&amp;"')")</f>
        <v>119.85</v>
      </c>
      <c r="O377" s="475" t="e">
        <f>_xll.BQL.QUERY("get(avg(px_last(start=" &amp; TEXT(#REF!, "YYYY-MM-DD") &amp; ", end=" &amp; TEXT(O$5, "YYYY-MM-DD") &amp; "))) for('"&amp;$B377&amp;"')")</f>
        <v>#REF!</v>
      </c>
      <c r="P377" s="335">
        <f>_xll.BQL.QUERY("get(avg(px_last(start=" &amp; TEXT(O$5, "YYYY-MM-DD") &amp; ", end=" &amp; TEXT(P$5, "YYYY-MM-DD") &amp; "))) for('"&amp;$B377&amp;"')")</f>
        <v>122.35</v>
      </c>
      <c r="Q377" s="335">
        <f>_xll.BQL.QUERY("get(avg(px_last(start=" &amp; TEXT(P$5, "YYYY-MM-DD") &amp; ", end=" &amp; TEXT(Q$5, "YYYY-MM-DD") &amp; "))) for('"&amp;$B377&amp;"')")</f>
        <v>120.69999999999999</v>
      </c>
      <c r="R377" s="335">
        <f>_xll.BQL.QUERY("get(avg(px_last(start=" &amp; TEXT(Q$5, "YYYY-MM-DD") &amp; ", end=" &amp; TEXT(R$5, "YYYY-MM-DD") &amp; "))) for('"&amp;$B377&amp;"')")</f>
        <v>120.44999999999999</v>
      </c>
      <c r="S377" s="335">
        <f>_xll.BQL.QUERY("get(avg(px_last(start=" &amp; TEXT(R$5, "YYYY-MM-DD") &amp; ", end=" &amp; TEXT(S$5, "YYYY-MM-DD") &amp; "))) for('"&amp;$B377&amp;"')")</f>
        <v>123.94999999999999</v>
      </c>
      <c r="T377" s="475">
        <f>_xll.BQL.QUERY("get(avg(px_last(start=" &amp; TEXT(O$5, "YYYY-MM-DD") &amp; ", end=" &amp; TEXT(T$5, "YYYY-MM-DD") &amp; "))) for('"&amp;$B377&amp;"')")</f>
        <v>122.53999999999999</v>
      </c>
      <c r="U377" s="335">
        <f>_xll.BQL.QUERY("get(avg(px_last(start=" &amp; TEXT(T$5, "YYYY-MM-DD") &amp; ", end=" &amp; TEXT(U$5, "YYYY-MM-DD") &amp; "))) for('"&amp;$B377&amp;"')")</f>
        <v>126.69999999999999</v>
      </c>
      <c r="V377" s="335">
        <f>_xll.BQL.QUERY("get(avg(px_last(start=" &amp; TEXT(U$5, "YYYY-MM-DD") &amp; ", end=" &amp; TEXT(V$5, "YYYY-MM-DD") &amp; "))) for('"&amp;$B377&amp;"')")</f>
        <v>127.75</v>
      </c>
      <c r="W377" s="335">
        <f>_xll.BQL.QUERY("get(avg(px_last(start=" &amp; TEXT(V$5, "YYYY-MM-DD") &amp; ", end=" &amp; TEXT(W$5, "YYYY-MM-DD") &amp; "))) for('"&amp;$B377&amp;"')")</f>
        <v>131.80000000000001</v>
      </c>
      <c r="X377" s="335">
        <f>_xll.BQL.QUERY("get(avg(px_last(start=" &amp; TEXT(W$5, "YYYY-MM-DD") &amp; ", end=" &amp; TEXT(X$5, "YYYY-MM-DD") &amp; "))) for('"&amp;$B377&amp;"')")</f>
        <v>141.69999999999999</v>
      </c>
      <c r="Y377" s="475">
        <f>_xll.BQL.QUERY("get(avg(px_last(start=" &amp; TEXT(T$5, "YYYY-MM-DD") &amp; ", end=" &amp; TEXT(Y$5, "YYYY-MM-DD") &amp; "))) for('"&amp;$B377&amp;"')")</f>
        <v>133.19999999999999</v>
      </c>
      <c r="Z377" s="335">
        <f>_xll.BQL.QUERY("get(avg(px_last(start=" &amp; TEXT(Y$5, "YYYY-MM-DD") &amp; ", end=" &amp; TEXT(Z$5, "YYYY-MM-DD") &amp; "))) for('"&amp;$B377&amp;"')")</f>
        <v>148.44999999999999</v>
      </c>
      <c r="AA377" s="335">
        <f>_xll.BQL.QUERY("get(avg(px_last(start=" &amp; TEXT(Z$5, "YYYY-MM-DD") &amp; ", end=" &amp; TEXT(AA$5, "YYYY-MM-DD") &amp; "))) for('"&amp;$B377&amp;"')")</f>
        <v>146.4</v>
      </c>
      <c r="AB377" s="335">
        <f>_xll.BQL.QUERY("get(avg(px_last(start=" &amp; TEXT(AA$5, "YYYY-MM-DD") &amp; ", end=" &amp; TEXT(AB$5, "YYYY-MM-DD") &amp; "))) for('"&amp;$B377&amp;"')")</f>
        <v>144.25</v>
      </c>
      <c r="AC377" s="335">
        <f>_xll.BQL.QUERY("get(avg(px_last(start=" &amp; TEXT(AB$5, "YYYY-MM-DD") &amp; ", end=" &amp; TEXT(AC$5, "YYYY-MM-DD") &amp; "))) for('"&amp;$B377&amp;"')")</f>
        <v>143.6</v>
      </c>
      <c r="AD377" s="540">
        <f>_xll.BQL.QUERY("get(avg(px_last(start=" &amp; TEXT(Y$5, "YYYY-MM-DD") &amp; ", end=" &amp; TEXT(AD$5, "YYYY-MM-DD") &amp; "))) for('"&amp;$B377&amp;"')")</f>
        <v>146.35</v>
      </c>
      <c r="AE377" s="335" t="str">
        <f>_xll.BQL.QUERY("get(avg(px_last(start=" &amp; TEXT(AD$5, "YYYY-MM-DD") &amp; ", end=" &amp; TEXT(AE$5, "YYYY-MM-DD") &amp; "))) for('"&amp;$B377&amp;"')")</f>
        <v>#N/A</v>
      </c>
      <c r="AF377" s="335" t="str">
        <f>_xll.BQL.QUERY("get(avg(px_last(start=" &amp; TEXT(AE$5, "YYYY-MM-DD") &amp; ", end=" &amp; TEXT(AF$5, "YYYY-MM-DD") &amp; "))) for('"&amp;$B377&amp;"')")</f>
        <v>#N/A</v>
      </c>
      <c r="AG377" s="335" t="str">
        <f>_xll.BQL.QUERY("get(avg(px_last(start=" &amp; TEXT(AF$5, "YYYY-MM-DD") &amp; ", end=" &amp; TEXT(AG$5, "YYYY-MM-DD") &amp; "))) for('"&amp;$B377&amp;"')")</f>
        <v>#N/A</v>
      </c>
      <c r="AH377" s="280"/>
      <c r="AI377" s="320"/>
      <c r="AJ377" s="280"/>
      <c r="AK377" s="280"/>
      <c r="AL377" s="280"/>
      <c r="AM377" s="280"/>
      <c r="AN377" s="320"/>
      <c r="AO377" s="280"/>
      <c r="AP377" s="280"/>
      <c r="AQ377" s="280"/>
      <c r="AR377" s="280"/>
      <c r="AS377" s="320"/>
      <c r="AT377" s="315"/>
      <c r="AU377" s="508"/>
      <c r="AV377" s="143"/>
      <c r="AW377" s="143"/>
      <c r="AX377" s="143"/>
      <c r="AY377" s="143"/>
      <c r="AZ377" s="143"/>
      <c r="BA377" s="143"/>
      <c r="BB377" s="143"/>
      <c r="BC377" s="143"/>
      <c r="BD377" s="143"/>
      <c r="BE377" s="143"/>
      <c r="BF377" s="143"/>
      <c r="BG377" s="143"/>
      <c r="BH377" s="143"/>
      <c r="BI377" s="143"/>
      <c r="BJ377" s="143"/>
      <c r="BK377" s="143"/>
      <c r="BL377" s="143"/>
      <c r="BM377" s="143"/>
      <c r="BN377" s="143"/>
      <c r="BO377" s="143"/>
      <c r="BP377" s="143"/>
      <c r="BQ377" s="143"/>
      <c r="BR377" s="143"/>
      <c r="BS377" s="143"/>
      <c r="BT377" s="143"/>
      <c r="BU377" s="143"/>
      <c r="BV377" s="143"/>
      <c r="BW377" s="143"/>
      <c r="BX377" s="143"/>
      <c r="BY377" s="143"/>
      <c r="BZ377" s="143"/>
      <c r="CA377" s="143"/>
      <c r="CB377" s="143"/>
      <c r="CC377" s="143"/>
      <c r="CD377" s="143"/>
      <c r="CE377" s="143"/>
      <c r="CF377" s="143"/>
      <c r="CG377" s="143"/>
      <c r="CH377" s="143"/>
      <c r="CI377" s="143"/>
      <c r="CJ377" s="143"/>
      <c r="CK377" s="143"/>
      <c r="CL377" s="143"/>
      <c r="CM377" s="143"/>
      <c r="CN377" s="143"/>
      <c r="CO377" s="143"/>
      <c r="CP377" s="143"/>
      <c r="CQ377" s="143"/>
      <c r="CR377" s="143"/>
      <c r="CS377" s="143"/>
      <c r="CT377" s="143"/>
      <c r="CU377" s="143"/>
      <c r="CV377" s="143"/>
      <c r="CW377" s="143"/>
      <c r="CX377" s="143"/>
      <c r="CY377" s="143"/>
      <c r="CZ377" s="143"/>
      <c r="DA377" s="143"/>
      <c r="DB377" s="143"/>
      <c r="DC377" s="143"/>
      <c r="DD377" s="143"/>
      <c r="DE377" s="143"/>
      <c r="DF377" s="143"/>
      <c r="DG377" s="143"/>
      <c r="DH377" s="143"/>
      <c r="DI377" s="143"/>
      <c r="DJ377" s="143"/>
      <c r="DK377" s="143"/>
      <c r="DL377" s="143"/>
      <c r="DM377" s="143"/>
      <c r="DN377" s="143"/>
      <c r="DO377" s="143"/>
      <c r="DP377" s="143"/>
      <c r="DQ377" s="143"/>
      <c r="DR377" s="143"/>
      <c r="DS377" s="143"/>
      <c r="DT377" s="143"/>
      <c r="DU377" s="143"/>
      <c r="DV377" s="143"/>
      <c r="DW377" s="143"/>
      <c r="DX377" s="143"/>
      <c r="DY377" s="143"/>
      <c r="DZ377" s="143"/>
      <c r="EA377" s="143"/>
      <c r="EB377" s="143"/>
      <c r="EC377" s="143"/>
      <c r="ED377" s="143"/>
      <c r="EE377" s="143"/>
      <c r="EF377" s="143"/>
      <c r="EG377" s="143"/>
      <c r="EH377" s="143"/>
      <c r="EI377" s="143"/>
      <c r="EJ377" s="143"/>
      <c r="EK377" s="143"/>
      <c r="EL377" s="143"/>
      <c r="EM377" s="143"/>
      <c r="EN377" s="143"/>
      <c r="EO377" s="143"/>
      <c r="EP377" s="143"/>
      <c r="EQ377" s="143"/>
      <c r="ER377" s="143"/>
      <c r="ES377" s="143"/>
      <c r="ET377" s="143"/>
      <c r="EU377" s="143"/>
      <c r="EV377" s="143"/>
      <c r="EW377" s="143"/>
      <c r="EX377" s="143"/>
      <c r="EY377" s="143"/>
      <c r="EZ377" s="143"/>
      <c r="FA377" s="143"/>
      <c r="FB377" s="143"/>
      <c r="FC377" s="143"/>
      <c r="FD377" s="143"/>
      <c r="FE377" s="143"/>
      <c r="FF377" s="143"/>
      <c r="FG377" s="143"/>
      <c r="FH377" s="143"/>
      <c r="FI377" s="143"/>
      <c r="FJ377" s="143"/>
      <c r="FK377" s="143"/>
      <c r="FL377" s="143"/>
      <c r="FM377" s="143"/>
      <c r="FN377" s="143"/>
      <c r="FO377" s="143"/>
      <c r="FP377" s="143"/>
      <c r="FQ377" s="143"/>
      <c r="FR377" s="143"/>
      <c r="FS377" s="143"/>
      <c r="FT377" s="143"/>
      <c r="FU377" s="143"/>
      <c r="FV377" s="143"/>
      <c r="FW377" s="143"/>
      <c r="FX377" s="143"/>
      <c r="FY377" s="143"/>
      <c r="FZ377" s="143"/>
      <c r="GA377" s="143"/>
      <c r="GB377" s="143"/>
      <c r="GC377" s="143"/>
      <c r="GD377" s="143"/>
      <c r="GE377" s="143"/>
      <c r="GF377" s="143"/>
      <c r="GG377" s="143"/>
      <c r="GH377" s="143"/>
      <c r="GI377" s="143"/>
      <c r="GJ377" s="143"/>
      <c r="GK377" s="143"/>
      <c r="GL377" s="143"/>
      <c r="GM377" s="143"/>
      <c r="GN377" s="143"/>
      <c r="GO377" s="143"/>
      <c r="GP377" s="143"/>
      <c r="GQ377" s="143"/>
      <c r="GR377" s="143"/>
      <c r="GS377" s="143"/>
      <c r="GT377" s="143"/>
      <c r="GU377" s="143"/>
      <c r="GV377" s="143"/>
      <c r="GW377" s="143"/>
      <c r="GX377" s="143"/>
      <c r="GY377" s="143"/>
      <c r="GZ377" s="143"/>
      <c r="HA377" s="143"/>
      <c r="HB377" s="143"/>
      <c r="HC377" s="143"/>
      <c r="HD377" s="143"/>
      <c r="HE377" s="143"/>
      <c r="HF377" s="143"/>
      <c r="HG377" s="143"/>
      <c r="HH377" s="143"/>
      <c r="HI377" s="143"/>
      <c r="HJ377" s="143"/>
      <c r="HK377" s="143"/>
      <c r="HL377" s="143"/>
      <c r="HM377" s="143"/>
      <c r="HN377" s="143"/>
      <c r="HO377" s="143"/>
      <c r="HP377" s="143"/>
      <c r="HQ377" s="143"/>
      <c r="HR377" s="143"/>
      <c r="HS377" s="143"/>
      <c r="HT377" s="143"/>
      <c r="HU377" s="143"/>
      <c r="HV377" s="143"/>
      <c r="HW377" s="143"/>
      <c r="HX377" s="143"/>
      <c r="HY377" s="143"/>
      <c r="HZ377" s="143"/>
      <c r="IA377" s="143"/>
      <c r="IB377" s="143"/>
      <c r="IC377" s="143"/>
      <c r="ID377" s="143"/>
      <c r="IE377" s="143"/>
      <c r="IF377" s="143"/>
      <c r="IG377" s="143"/>
      <c r="IH377" s="143"/>
      <c r="II377" s="143"/>
      <c r="IJ377" s="143"/>
      <c r="IK377" s="143"/>
      <c r="IL377" s="143"/>
      <c r="IM377" s="143"/>
      <c r="IN377" s="143"/>
      <c r="IO377" s="143"/>
      <c r="IP377" s="143"/>
      <c r="IQ377" s="143"/>
      <c r="IR377" s="143"/>
      <c r="IS377" s="143"/>
      <c r="IT377" s="143"/>
      <c r="IU377" s="143"/>
      <c r="IV377" s="143"/>
      <c r="IW377" s="143"/>
      <c r="IX377" s="143"/>
      <c r="IY377" s="143"/>
      <c r="IZ377" s="143"/>
      <c r="JA377" s="143"/>
      <c r="JB377" s="143"/>
      <c r="JC377" s="143"/>
      <c r="JD377" s="143"/>
      <c r="JE377" s="143"/>
      <c r="JF377" s="143"/>
      <c r="JG377" s="143"/>
      <c r="JH377" s="143"/>
      <c r="JI377" s="143"/>
    </row>
    <row r="378" spans="1:269" hidden="1" outlineLevel="1">
      <c r="A378" s="437" t="s">
        <v>208</v>
      </c>
      <c r="B378" s="143"/>
      <c r="C378" s="417" t="e">
        <f>C377/#REF!-1</f>
        <v>#REF!</v>
      </c>
      <c r="D378" s="417" t="e">
        <f>D377/#REF!-1</f>
        <v>#REF!</v>
      </c>
      <c r="E378" s="417" t="e">
        <f>E377/#REF!-1</f>
        <v>#REF!</v>
      </c>
      <c r="F378" s="414" t="e">
        <f>F377/#REF!-1</f>
        <v>#REF!</v>
      </c>
      <c r="G378" s="414" t="e">
        <f>G377/#REF!-1</f>
        <v>#REF!</v>
      </c>
      <c r="H378" s="414" t="e">
        <f>H377/#REF!-1</f>
        <v>#REF!</v>
      </c>
      <c r="I378" s="414" t="e">
        <f>I377/#REF!-1</f>
        <v>#REF!</v>
      </c>
      <c r="J378" s="417" t="e">
        <f>J377/#REF!-1</f>
        <v>#REF!</v>
      </c>
      <c r="K378" s="414" t="e">
        <f>K377/#REF!-1</f>
        <v>#REF!</v>
      </c>
      <c r="L378" s="414" t="e">
        <f>L377/#REF!-1</f>
        <v>#REF!</v>
      </c>
      <c r="M378" s="414" t="e">
        <f>M377/#REF!-1</f>
        <v>#REF!</v>
      </c>
      <c r="N378" s="414" t="e">
        <f>N377/#REF!-1</f>
        <v>#REF!</v>
      </c>
      <c r="O378" s="417" t="e">
        <f>O377/#REF!-1</f>
        <v>#REF!</v>
      </c>
      <c r="P378" s="414" t="e">
        <f t="shared" ref="P378" si="767">P377/K377-1</f>
        <v>#REF!</v>
      </c>
      <c r="Q378" s="414">
        <f t="shared" ref="Q378" si="768">Q377/L377-1</f>
        <v>4.3215211754537686E-2</v>
      </c>
      <c r="R378" s="414">
        <f t="shared" ref="R378" si="769">R377/M377-1</f>
        <v>4.3308791684711911E-2</v>
      </c>
      <c r="S378" s="414">
        <f t="shared" ref="S378" si="770">S377/N377-1</f>
        <v>3.4209428452231849E-2</v>
      </c>
      <c r="T378" s="417" t="e">
        <f t="shared" ref="T378" si="771">T377/O377-1</f>
        <v>#REF!</v>
      </c>
      <c r="U378" s="414">
        <f t="shared" ref="U378" si="772">U377/P377-1</f>
        <v>3.5553739272578655E-2</v>
      </c>
      <c r="V378" s="414">
        <f t="shared" ref="V378" si="773">V377/Q377-1</f>
        <v>5.8409279204639786E-2</v>
      </c>
      <c r="W378" s="414">
        <f t="shared" ref="W378" si="774">W377/R377-1</f>
        <v>9.4229970942300012E-2</v>
      </c>
      <c r="X378" s="414">
        <f t="shared" ref="X378" si="775">X377/S377-1</f>
        <v>0.14320290439693428</v>
      </c>
      <c r="Y378" s="417">
        <f t="shared" ref="Y378" si="776">Y377/T377-1</f>
        <v>8.6992002611392172E-2</v>
      </c>
      <c r="Z378" s="414">
        <f t="shared" ref="Z378" si="777">Z377/U377-1</f>
        <v>0.17166535122336235</v>
      </c>
      <c r="AA378" s="414">
        <f t="shared" ref="AA378" si="778">AA377/V377-1</f>
        <v>0.14598825831702555</v>
      </c>
      <c r="AB378" s="414">
        <f t="shared" ref="AB378" si="779">AB377/W377-1</f>
        <v>9.4461305007587093E-2</v>
      </c>
      <c r="AC378" s="414">
        <f t="shared" ref="AC378" si="780">AC377/X377-1</f>
        <v>1.3408609738885024E-2</v>
      </c>
      <c r="AD378" s="422">
        <f t="shared" ref="AD378" si="781">AD377/Y377-1</f>
        <v>9.8723723723723733E-2</v>
      </c>
      <c r="AE378" s="414" t="e">
        <f t="shared" ref="AE378" si="782">AE377/Z377-1</f>
        <v>#VALUE!</v>
      </c>
      <c r="AF378" s="414" t="e">
        <f t="shared" ref="AF378" si="783">AF377/AA377-1</f>
        <v>#VALUE!</v>
      </c>
      <c r="AG378" s="414" t="e">
        <f t="shared" ref="AG378" si="784">AG377/AB377-1</f>
        <v>#VALUE!</v>
      </c>
      <c r="AH378" s="280"/>
      <c r="AI378" s="320"/>
      <c r="AJ378" s="280"/>
      <c r="AK378" s="280"/>
      <c r="AL378" s="280"/>
      <c r="AM378" s="280"/>
      <c r="AN378" s="320"/>
      <c r="AO378" s="280"/>
      <c r="AP378" s="280"/>
      <c r="AQ378" s="280"/>
      <c r="AR378" s="280"/>
      <c r="AS378" s="320"/>
      <c r="AT378" s="315"/>
      <c r="AU378" s="508"/>
      <c r="AV378" s="143"/>
      <c r="AW378" s="143"/>
      <c r="AX378" s="143"/>
      <c r="AY378" s="143"/>
      <c r="AZ378" s="143"/>
      <c r="BA378" s="143"/>
      <c r="BB378" s="143"/>
      <c r="BC378" s="143"/>
      <c r="BD378" s="143"/>
      <c r="BE378" s="143"/>
      <c r="BF378" s="143"/>
      <c r="BG378" s="143"/>
      <c r="BH378" s="143"/>
      <c r="BI378" s="143"/>
      <c r="BJ378" s="143"/>
      <c r="BK378" s="143"/>
      <c r="BL378" s="143"/>
      <c r="BM378" s="143"/>
      <c r="BN378" s="143"/>
      <c r="BO378" s="143"/>
      <c r="BP378" s="143"/>
      <c r="BQ378" s="143"/>
      <c r="BR378" s="143"/>
      <c r="BS378" s="143"/>
      <c r="BT378" s="143"/>
      <c r="BU378" s="143"/>
      <c r="BV378" s="143"/>
      <c r="BW378" s="143"/>
      <c r="BX378" s="143"/>
      <c r="BY378" s="143"/>
      <c r="BZ378" s="143"/>
      <c r="CA378" s="143"/>
      <c r="CB378" s="143"/>
      <c r="CC378" s="143"/>
      <c r="CD378" s="143"/>
      <c r="CE378" s="143"/>
      <c r="CF378" s="143"/>
      <c r="CG378" s="143"/>
      <c r="CH378" s="143"/>
      <c r="CI378" s="143"/>
      <c r="CJ378" s="143"/>
      <c r="CK378" s="143"/>
      <c r="CL378" s="143"/>
      <c r="CM378" s="143"/>
      <c r="CN378" s="143"/>
      <c r="CO378" s="143"/>
      <c r="CP378" s="143"/>
      <c r="CQ378" s="143"/>
      <c r="CR378" s="143"/>
      <c r="CS378" s="143"/>
      <c r="CT378" s="143"/>
      <c r="CU378" s="143"/>
      <c r="CV378" s="143"/>
      <c r="CW378" s="143"/>
      <c r="CX378" s="143"/>
      <c r="CY378" s="143"/>
      <c r="CZ378" s="143"/>
      <c r="DA378" s="143"/>
      <c r="DB378" s="143"/>
      <c r="DC378" s="143"/>
      <c r="DD378" s="143"/>
      <c r="DE378" s="143"/>
      <c r="DF378" s="143"/>
      <c r="DG378" s="143"/>
      <c r="DH378" s="143"/>
      <c r="DI378" s="143"/>
      <c r="DJ378" s="143"/>
      <c r="DK378" s="143"/>
      <c r="DL378" s="143"/>
      <c r="DM378" s="143"/>
      <c r="DN378" s="143"/>
      <c r="DO378" s="143"/>
      <c r="DP378" s="143"/>
      <c r="DQ378" s="143"/>
      <c r="DR378" s="143"/>
      <c r="DS378" s="143"/>
      <c r="DT378" s="143"/>
      <c r="DU378" s="143"/>
      <c r="DV378" s="143"/>
      <c r="DW378" s="143"/>
      <c r="DX378" s="143"/>
      <c r="DY378" s="143"/>
      <c r="DZ378" s="143"/>
      <c r="EA378" s="143"/>
      <c r="EB378" s="143"/>
      <c r="EC378" s="143"/>
      <c r="ED378" s="143"/>
      <c r="EE378" s="143"/>
      <c r="EF378" s="143"/>
      <c r="EG378" s="143"/>
      <c r="EH378" s="143"/>
      <c r="EI378" s="143"/>
      <c r="EJ378" s="143"/>
      <c r="EK378" s="143"/>
      <c r="EL378" s="143"/>
      <c r="EM378" s="143"/>
      <c r="EN378" s="143"/>
      <c r="EO378" s="143"/>
      <c r="EP378" s="143"/>
      <c r="EQ378" s="143"/>
      <c r="ER378" s="143"/>
      <c r="ES378" s="143"/>
      <c r="ET378" s="143"/>
      <c r="EU378" s="143"/>
      <c r="EV378" s="143"/>
      <c r="EW378" s="143"/>
      <c r="EX378" s="143"/>
      <c r="EY378" s="143"/>
      <c r="EZ378" s="143"/>
      <c r="FA378" s="143"/>
      <c r="FB378" s="143"/>
      <c r="FC378" s="143"/>
      <c r="FD378" s="143"/>
      <c r="FE378" s="143"/>
      <c r="FF378" s="143"/>
      <c r="FG378" s="143"/>
      <c r="FH378" s="143"/>
      <c r="FI378" s="143"/>
      <c r="FJ378" s="143"/>
      <c r="FK378" s="143"/>
      <c r="FL378" s="143"/>
      <c r="FM378" s="143"/>
      <c r="FN378" s="143"/>
      <c r="FO378" s="143"/>
      <c r="FP378" s="143"/>
      <c r="FQ378" s="143"/>
      <c r="FR378" s="143"/>
      <c r="FS378" s="143"/>
      <c r="FT378" s="143"/>
      <c r="FU378" s="143"/>
      <c r="FV378" s="143"/>
      <c r="FW378" s="143"/>
      <c r="FX378" s="143"/>
      <c r="FY378" s="143"/>
      <c r="FZ378" s="143"/>
      <c r="GA378" s="143"/>
      <c r="GB378" s="143"/>
      <c r="GC378" s="143"/>
      <c r="GD378" s="143"/>
      <c r="GE378" s="143"/>
      <c r="GF378" s="143"/>
      <c r="GG378" s="143"/>
      <c r="GH378" s="143"/>
      <c r="GI378" s="143"/>
      <c r="GJ378" s="143"/>
      <c r="GK378" s="143"/>
      <c r="GL378" s="143"/>
      <c r="GM378" s="143"/>
      <c r="GN378" s="143"/>
      <c r="GO378" s="143"/>
      <c r="GP378" s="143"/>
      <c r="GQ378" s="143"/>
      <c r="GR378" s="143"/>
      <c r="GS378" s="143"/>
      <c r="GT378" s="143"/>
      <c r="GU378" s="143"/>
      <c r="GV378" s="143"/>
      <c r="GW378" s="143"/>
      <c r="GX378" s="143"/>
      <c r="GY378" s="143"/>
      <c r="GZ378" s="143"/>
      <c r="HA378" s="143"/>
      <c r="HB378" s="143"/>
      <c r="HC378" s="143"/>
      <c r="HD378" s="143"/>
      <c r="HE378" s="143"/>
      <c r="HF378" s="143"/>
      <c r="HG378" s="143"/>
      <c r="HH378" s="143"/>
      <c r="HI378" s="143"/>
      <c r="HJ378" s="143"/>
      <c r="HK378" s="143"/>
      <c r="HL378" s="143"/>
      <c r="HM378" s="143"/>
      <c r="HN378" s="143"/>
      <c r="HO378" s="143"/>
      <c r="HP378" s="143"/>
      <c r="HQ378" s="143"/>
      <c r="HR378" s="143"/>
      <c r="HS378" s="143"/>
      <c r="HT378" s="143"/>
      <c r="HU378" s="143"/>
      <c r="HV378" s="143"/>
      <c r="HW378" s="143"/>
      <c r="HX378" s="143"/>
      <c r="HY378" s="143"/>
      <c r="HZ378" s="143"/>
      <c r="IA378" s="143"/>
      <c r="IB378" s="143"/>
      <c r="IC378" s="143"/>
      <c r="ID378" s="143"/>
      <c r="IE378" s="143"/>
      <c r="IF378" s="143"/>
      <c r="IG378" s="143"/>
      <c r="IH378" s="143"/>
      <c r="II378" s="143"/>
      <c r="IJ378" s="143"/>
      <c r="IK378" s="143"/>
      <c r="IL378" s="143"/>
      <c r="IM378" s="143"/>
      <c r="IN378" s="143"/>
      <c r="IO378" s="143"/>
      <c r="IP378" s="143"/>
      <c r="IQ378" s="143"/>
      <c r="IR378" s="143"/>
      <c r="IS378" s="143"/>
      <c r="IT378" s="143"/>
      <c r="IU378" s="143"/>
      <c r="IV378" s="143"/>
      <c r="IW378" s="143"/>
      <c r="IX378" s="143"/>
      <c r="IY378" s="143"/>
      <c r="IZ378" s="143"/>
      <c r="JA378" s="143"/>
      <c r="JB378" s="143"/>
      <c r="JC378" s="143"/>
      <c r="JD378" s="143"/>
      <c r="JE378" s="143"/>
      <c r="JF378" s="143"/>
      <c r="JG378" s="143"/>
      <c r="JH378" s="143"/>
      <c r="JI378" s="143"/>
    </row>
    <row r="379" spans="1:269" hidden="1" outlineLevel="1">
      <c r="A379" s="437" t="s">
        <v>207</v>
      </c>
      <c r="B379" s="143"/>
      <c r="C379" s="417" t="e">
        <f>C377/#REF!-1</f>
        <v>#REF!</v>
      </c>
      <c r="D379" s="417" t="e">
        <f>D377/#REF!-1</f>
        <v>#REF!</v>
      </c>
      <c r="E379" s="417" t="e">
        <f>E377/#REF!-1</f>
        <v>#REF!</v>
      </c>
      <c r="F379" s="414" t="e">
        <f>F377/#REF!-1</f>
        <v>#REF!</v>
      </c>
      <c r="G379" s="414" t="e">
        <f>G377/#REF!-1</f>
        <v>#REF!</v>
      </c>
      <c r="H379" s="414" t="e">
        <f>H377/#REF!-1</f>
        <v>#REF!</v>
      </c>
      <c r="I379" s="414" t="e">
        <f>I377/#REF!-1</f>
        <v>#REF!</v>
      </c>
      <c r="J379" s="417" t="e">
        <f>J377/#REF!-1</f>
        <v>#REF!</v>
      </c>
      <c r="K379" s="414" t="e">
        <f>K377/#REF!-1</f>
        <v>#REF!</v>
      </c>
      <c r="L379" s="414" t="e">
        <f>L377/#REF!-1</f>
        <v>#REF!</v>
      </c>
      <c r="M379" s="414" t="e">
        <f>M377/#REF!-1</f>
        <v>#REF!</v>
      </c>
      <c r="N379" s="414" t="e">
        <f>N377/#REF!-1</f>
        <v>#REF!</v>
      </c>
      <c r="O379" s="417" t="e">
        <f>O377/#REF!-1</f>
        <v>#REF!</v>
      </c>
      <c r="P379" s="414" t="e">
        <f>P377/#REF!-1</f>
        <v>#REF!</v>
      </c>
      <c r="Q379" s="414" t="e">
        <f>Q377/#REF!-1</f>
        <v>#REF!</v>
      </c>
      <c r="R379" s="414" t="e">
        <f>R377/#REF!-1</f>
        <v>#REF!</v>
      </c>
      <c r="S379" s="414" t="e">
        <f>S377/#REF!-1</f>
        <v>#REF!</v>
      </c>
      <c r="T379" s="417" t="e">
        <f>T377/#REF!-1</f>
        <v>#REF!</v>
      </c>
      <c r="U379" s="414" t="e">
        <f>U377/#REF!-1</f>
        <v>#REF!</v>
      </c>
      <c r="V379" s="414" t="e">
        <f>V377/#REF!-1</f>
        <v>#REF!</v>
      </c>
      <c r="W379" s="414" t="e">
        <f>W377/#REF!-1</f>
        <v>#REF!</v>
      </c>
      <c r="X379" s="414" t="e">
        <f>X377/#REF!-1</f>
        <v>#REF!</v>
      </c>
      <c r="Y379" s="417" t="e">
        <f>Y377/#REF!-1</f>
        <v>#REF!</v>
      </c>
      <c r="Z379" s="414" t="e">
        <f>Z377/#REF!-1</f>
        <v>#REF!</v>
      </c>
      <c r="AA379" s="414" t="e">
        <f>AA377/#REF!-1</f>
        <v>#REF!</v>
      </c>
      <c r="AB379" s="414" t="e">
        <f>AB377/#REF!-1</f>
        <v>#REF!</v>
      </c>
      <c r="AC379" s="414" t="e">
        <f>AC377/#REF!-1</f>
        <v>#REF!</v>
      </c>
      <c r="AD379" s="422" t="e">
        <f>AD377/#REF!-1</f>
        <v>#REF!</v>
      </c>
      <c r="AE379" s="414" t="e">
        <f>AE377/#REF!-1</f>
        <v>#VALUE!</v>
      </c>
      <c r="AF379" s="414" t="e">
        <f>AF377/#REF!-1</f>
        <v>#VALUE!</v>
      </c>
      <c r="AG379" s="414" t="e">
        <f>AG377/#REF!-1</f>
        <v>#VALUE!</v>
      </c>
      <c r="AH379" s="280"/>
      <c r="AI379" s="320"/>
      <c r="AJ379" s="280"/>
      <c r="AK379" s="280"/>
      <c r="AL379" s="280"/>
      <c r="AM379" s="280"/>
      <c r="AN379" s="320"/>
      <c r="AO379" s="280"/>
      <c r="AP379" s="280"/>
      <c r="AQ379" s="280"/>
      <c r="AR379" s="280"/>
      <c r="AS379" s="320"/>
      <c r="AT379" s="315"/>
      <c r="AU379" s="508"/>
      <c r="AV379" s="143"/>
      <c r="AW379" s="143"/>
      <c r="AX379" s="143"/>
      <c r="AY379" s="143"/>
      <c r="AZ379" s="143"/>
      <c r="BA379" s="143"/>
      <c r="BB379" s="143"/>
      <c r="BC379" s="143"/>
      <c r="BD379" s="143"/>
      <c r="BE379" s="143"/>
      <c r="BF379" s="143"/>
      <c r="BG379" s="143"/>
      <c r="BH379" s="143"/>
      <c r="BI379" s="143"/>
      <c r="BJ379" s="143"/>
      <c r="BK379" s="143"/>
      <c r="BL379" s="143"/>
      <c r="BM379" s="143"/>
      <c r="BN379" s="143"/>
      <c r="BO379" s="143"/>
      <c r="BP379" s="143"/>
      <c r="BQ379" s="143"/>
      <c r="BR379" s="143"/>
      <c r="BS379" s="143"/>
      <c r="BT379" s="143"/>
      <c r="BU379" s="143"/>
      <c r="BV379" s="143"/>
      <c r="BW379" s="143"/>
      <c r="BX379" s="143"/>
      <c r="BY379" s="143"/>
      <c r="BZ379" s="143"/>
      <c r="CA379" s="143"/>
      <c r="CB379" s="143"/>
      <c r="CC379" s="143"/>
      <c r="CD379" s="143"/>
      <c r="CE379" s="143"/>
      <c r="CF379" s="143"/>
      <c r="CG379" s="143"/>
      <c r="CH379" s="143"/>
      <c r="CI379" s="143"/>
      <c r="CJ379" s="143"/>
      <c r="CK379" s="143"/>
      <c r="CL379" s="143"/>
      <c r="CM379" s="143"/>
      <c r="CN379" s="143"/>
      <c r="CO379" s="143"/>
      <c r="CP379" s="143"/>
      <c r="CQ379" s="143"/>
      <c r="CR379" s="143"/>
      <c r="CS379" s="143"/>
      <c r="CT379" s="143"/>
      <c r="CU379" s="143"/>
      <c r="CV379" s="143"/>
      <c r="CW379" s="143"/>
      <c r="CX379" s="143"/>
      <c r="CY379" s="143"/>
      <c r="CZ379" s="143"/>
      <c r="DA379" s="143"/>
      <c r="DB379" s="143"/>
      <c r="DC379" s="143"/>
      <c r="DD379" s="143"/>
      <c r="DE379" s="143"/>
      <c r="DF379" s="143"/>
      <c r="DG379" s="143"/>
      <c r="DH379" s="143"/>
      <c r="DI379" s="143"/>
      <c r="DJ379" s="143"/>
      <c r="DK379" s="143"/>
      <c r="DL379" s="143"/>
      <c r="DM379" s="143"/>
      <c r="DN379" s="143"/>
      <c r="DO379" s="143"/>
      <c r="DP379" s="143"/>
      <c r="DQ379" s="143"/>
      <c r="DR379" s="143"/>
      <c r="DS379" s="143"/>
      <c r="DT379" s="143"/>
      <c r="DU379" s="143"/>
      <c r="DV379" s="143"/>
      <c r="DW379" s="143"/>
      <c r="DX379" s="143"/>
      <c r="DY379" s="143"/>
      <c r="DZ379" s="143"/>
      <c r="EA379" s="143"/>
      <c r="EB379" s="143"/>
      <c r="EC379" s="143"/>
      <c r="ED379" s="143"/>
      <c r="EE379" s="143"/>
      <c r="EF379" s="143"/>
      <c r="EG379" s="143"/>
      <c r="EH379" s="143"/>
      <c r="EI379" s="143"/>
      <c r="EJ379" s="143"/>
      <c r="EK379" s="143"/>
      <c r="EL379" s="143"/>
      <c r="EM379" s="143"/>
      <c r="EN379" s="143"/>
      <c r="EO379" s="143"/>
      <c r="EP379" s="143"/>
      <c r="EQ379" s="143"/>
      <c r="ER379" s="143"/>
      <c r="ES379" s="143"/>
      <c r="ET379" s="143"/>
      <c r="EU379" s="143"/>
      <c r="EV379" s="143"/>
      <c r="EW379" s="143"/>
      <c r="EX379" s="143"/>
      <c r="EY379" s="143"/>
      <c r="EZ379" s="143"/>
      <c r="FA379" s="143"/>
      <c r="FB379" s="143"/>
      <c r="FC379" s="143"/>
      <c r="FD379" s="143"/>
      <c r="FE379" s="143"/>
      <c r="FF379" s="143"/>
      <c r="FG379" s="143"/>
      <c r="FH379" s="143"/>
      <c r="FI379" s="143"/>
      <c r="FJ379" s="143"/>
      <c r="FK379" s="143"/>
      <c r="FL379" s="143"/>
      <c r="FM379" s="143"/>
      <c r="FN379" s="143"/>
      <c r="FO379" s="143"/>
      <c r="FP379" s="143"/>
      <c r="FQ379" s="143"/>
      <c r="FR379" s="143"/>
      <c r="FS379" s="143"/>
      <c r="FT379" s="143"/>
      <c r="FU379" s="143"/>
      <c r="FV379" s="143"/>
      <c r="FW379" s="143"/>
      <c r="FX379" s="143"/>
      <c r="FY379" s="143"/>
      <c r="FZ379" s="143"/>
      <c r="GA379" s="143"/>
      <c r="GB379" s="143"/>
      <c r="GC379" s="143"/>
      <c r="GD379" s="143"/>
      <c r="GE379" s="143"/>
      <c r="GF379" s="143"/>
      <c r="GG379" s="143"/>
      <c r="GH379" s="143"/>
      <c r="GI379" s="143"/>
      <c r="GJ379" s="143"/>
      <c r="GK379" s="143"/>
      <c r="GL379" s="143"/>
      <c r="GM379" s="143"/>
      <c r="GN379" s="143"/>
      <c r="GO379" s="143"/>
      <c r="GP379" s="143"/>
      <c r="GQ379" s="143"/>
      <c r="GR379" s="143"/>
      <c r="GS379" s="143"/>
      <c r="GT379" s="143"/>
      <c r="GU379" s="143"/>
      <c r="GV379" s="143"/>
      <c r="GW379" s="143"/>
      <c r="GX379" s="143"/>
      <c r="GY379" s="143"/>
      <c r="GZ379" s="143"/>
      <c r="HA379" s="143"/>
      <c r="HB379" s="143"/>
      <c r="HC379" s="143"/>
      <c r="HD379" s="143"/>
      <c r="HE379" s="143"/>
      <c r="HF379" s="143"/>
      <c r="HG379" s="143"/>
      <c r="HH379" s="143"/>
      <c r="HI379" s="143"/>
      <c r="HJ379" s="143"/>
      <c r="HK379" s="143"/>
      <c r="HL379" s="143"/>
      <c r="HM379" s="143"/>
      <c r="HN379" s="143"/>
      <c r="HO379" s="143"/>
      <c r="HP379" s="143"/>
      <c r="HQ379" s="143"/>
      <c r="HR379" s="143"/>
      <c r="HS379" s="143"/>
      <c r="HT379" s="143"/>
      <c r="HU379" s="143"/>
      <c r="HV379" s="143"/>
      <c r="HW379" s="143"/>
      <c r="HX379" s="143"/>
      <c r="HY379" s="143"/>
      <c r="HZ379" s="143"/>
      <c r="IA379" s="143"/>
      <c r="IB379" s="143"/>
      <c r="IC379" s="143"/>
      <c r="ID379" s="143"/>
      <c r="IE379" s="143"/>
      <c r="IF379" s="143"/>
      <c r="IG379" s="143"/>
      <c r="IH379" s="143"/>
      <c r="II379" s="143"/>
      <c r="IJ379" s="143"/>
      <c r="IK379" s="143"/>
      <c r="IL379" s="143"/>
      <c r="IM379" s="143"/>
      <c r="IN379" s="143"/>
      <c r="IO379" s="143"/>
      <c r="IP379" s="143"/>
      <c r="IQ379" s="143"/>
      <c r="IR379" s="143"/>
      <c r="IS379" s="143"/>
      <c r="IT379" s="143"/>
      <c r="IU379" s="143"/>
      <c r="IV379" s="143"/>
      <c r="IW379" s="143"/>
      <c r="IX379" s="143"/>
      <c r="IY379" s="143"/>
      <c r="IZ379" s="143"/>
      <c r="JA379" s="143"/>
      <c r="JB379" s="143"/>
      <c r="JC379" s="143"/>
      <c r="JD379" s="143"/>
      <c r="JE379" s="143"/>
      <c r="JF379" s="143"/>
      <c r="JG379" s="143"/>
      <c r="JH379" s="143"/>
      <c r="JI379" s="143"/>
    </row>
    <row r="380" spans="1:269" hidden="1" outlineLevel="1">
      <c r="A380" s="437"/>
      <c r="B380" s="143"/>
      <c r="C380" s="417"/>
      <c r="D380" s="417"/>
      <c r="E380" s="417"/>
      <c r="F380" s="414"/>
      <c r="G380" s="414"/>
      <c r="H380" s="414"/>
      <c r="I380" s="414"/>
      <c r="J380" s="417"/>
      <c r="K380" s="414"/>
      <c r="L380" s="414"/>
      <c r="M380" s="414"/>
      <c r="N380" s="414"/>
      <c r="O380" s="417"/>
      <c r="P380" s="414"/>
      <c r="Q380" s="414"/>
      <c r="R380" s="414"/>
      <c r="S380" s="414"/>
      <c r="T380" s="417"/>
      <c r="U380" s="414"/>
      <c r="V380" s="414"/>
      <c r="W380" s="414"/>
      <c r="X380" s="414"/>
      <c r="Y380" s="417"/>
      <c r="Z380" s="414"/>
      <c r="AA380" s="414"/>
      <c r="AB380" s="414"/>
      <c r="AC380" s="414"/>
      <c r="AD380" s="422"/>
      <c r="AE380" s="414"/>
      <c r="AF380" s="414"/>
      <c r="AG380" s="414"/>
      <c r="AH380" s="280"/>
      <c r="AI380" s="320"/>
      <c r="AJ380" s="280"/>
      <c r="AK380" s="280"/>
      <c r="AL380" s="280"/>
      <c r="AM380" s="280"/>
      <c r="AN380" s="320"/>
      <c r="AO380" s="280"/>
      <c r="AP380" s="280"/>
      <c r="AQ380" s="280"/>
      <c r="AR380" s="280"/>
      <c r="AS380" s="320"/>
      <c r="AT380" s="315"/>
      <c r="AU380" s="508"/>
      <c r="AV380" s="143"/>
      <c r="AW380" s="143"/>
      <c r="AX380" s="143"/>
      <c r="AY380" s="143"/>
      <c r="AZ380" s="143"/>
      <c r="BA380" s="143"/>
      <c r="BB380" s="143"/>
      <c r="BC380" s="143"/>
      <c r="BD380" s="143"/>
      <c r="BE380" s="143"/>
      <c r="BF380" s="143"/>
      <c r="BG380" s="143"/>
      <c r="BH380" s="143"/>
      <c r="BI380" s="143"/>
      <c r="BJ380" s="143"/>
      <c r="BK380" s="143"/>
      <c r="BL380" s="143"/>
      <c r="BM380" s="143"/>
      <c r="BN380" s="143"/>
      <c r="BO380" s="143"/>
      <c r="BP380" s="143"/>
      <c r="BQ380" s="143"/>
      <c r="BR380" s="143"/>
      <c r="BS380" s="143"/>
      <c r="BT380" s="143"/>
      <c r="BU380" s="143"/>
      <c r="BV380" s="143"/>
      <c r="BW380" s="143"/>
      <c r="BX380" s="143"/>
      <c r="BY380" s="143"/>
      <c r="BZ380" s="143"/>
      <c r="CA380" s="143"/>
      <c r="CB380" s="143"/>
      <c r="CC380" s="143"/>
      <c r="CD380" s="143"/>
      <c r="CE380" s="143"/>
      <c r="CF380" s="143"/>
      <c r="CG380" s="143"/>
      <c r="CH380" s="143"/>
      <c r="CI380" s="143"/>
      <c r="CJ380" s="143"/>
      <c r="CK380" s="143"/>
      <c r="CL380" s="143"/>
      <c r="CM380" s="143"/>
      <c r="CN380" s="143"/>
      <c r="CO380" s="143"/>
      <c r="CP380" s="143"/>
      <c r="CQ380" s="143"/>
      <c r="CR380" s="143"/>
      <c r="CS380" s="143"/>
      <c r="CT380" s="143"/>
      <c r="CU380" s="143"/>
      <c r="CV380" s="143"/>
      <c r="CW380" s="143"/>
      <c r="CX380" s="143"/>
      <c r="CY380" s="143"/>
      <c r="CZ380" s="143"/>
      <c r="DA380" s="143"/>
      <c r="DB380" s="143"/>
      <c r="DC380" s="143"/>
      <c r="DD380" s="143"/>
      <c r="DE380" s="143"/>
      <c r="DF380" s="143"/>
      <c r="DG380" s="143"/>
      <c r="DH380" s="143"/>
      <c r="DI380" s="143"/>
      <c r="DJ380" s="143"/>
      <c r="DK380" s="143"/>
      <c r="DL380" s="143"/>
      <c r="DM380" s="143"/>
      <c r="DN380" s="143"/>
      <c r="DO380" s="143"/>
      <c r="DP380" s="143"/>
      <c r="DQ380" s="143"/>
      <c r="DR380" s="143"/>
      <c r="DS380" s="143"/>
      <c r="DT380" s="143"/>
      <c r="DU380" s="143"/>
      <c r="DV380" s="143"/>
      <c r="DW380" s="143"/>
      <c r="DX380" s="143"/>
      <c r="DY380" s="143"/>
      <c r="DZ380" s="143"/>
      <c r="EA380" s="143"/>
      <c r="EB380" s="143"/>
      <c r="EC380" s="143"/>
      <c r="ED380" s="143"/>
      <c r="EE380" s="143"/>
      <c r="EF380" s="143"/>
      <c r="EG380" s="143"/>
      <c r="EH380" s="143"/>
      <c r="EI380" s="143"/>
      <c r="EJ380" s="143"/>
      <c r="EK380" s="143"/>
      <c r="EL380" s="143"/>
      <c r="EM380" s="143"/>
      <c r="EN380" s="143"/>
      <c r="EO380" s="143"/>
      <c r="EP380" s="143"/>
      <c r="EQ380" s="143"/>
      <c r="ER380" s="143"/>
      <c r="ES380" s="143"/>
      <c r="ET380" s="143"/>
      <c r="EU380" s="143"/>
      <c r="EV380" s="143"/>
      <c r="EW380" s="143"/>
      <c r="EX380" s="143"/>
      <c r="EY380" s="143"/>
      <c r="EZ380" s="143"/>
      <c r="FA380" s="143"/>
      <c r="FB380" s="143"/>
      <c r="FC380" s="143"/>
      <c r="FD380" s="143"/>
      <c r="FE380" s="143"/>
      <c r="FF380" s="143"/>
      <c r="FG380" s="143"/>
      <c r="FH380" s="143"/>
      <c r="FI380" s="143"/>
      <c r="FJ380" s="143"/>
      <c r="FK380" s="143"/>
      <c r="FL380" s="143"/>
      <c r="FM380" s="143"/>
      <c r="FN380" s="143"/>
      <c r="FO380" s="143"/>
      <c r="FP380" s="143"/>
      <c r="FQ380" s="143"/>
      <c r="FR380" s="143"/>
      <c r="FS380" s="143"/>
      <c r="FT380" s="143"/>
      <c r="FU380" s="143"/>
      <c r="FV380" s="143"/>
      <c r="FW380" s="143"/>
      <c r="FX380" s="143"/>
      <c r="FY380" s="143"/>
      <c r="FZ380" s="143"/>
      <c r="GA380" s="143"/>
      <c r="GB380" s="143"/>
      <c r="GC380" s="143"/>
      <c r="GD380" s="143"/>
      <c r="GE380" s="143"/>
      <c r="GF380" s="143"/>
      <c r="GG380" s="143"/>
      <c r="GH380" s="143"/>
      <c r="GI380" s="143"/>
      <c r="GJ380" s="143"/>
      <c r="GK380" s="143"/>
      <c r="GL380" s="143"/>
      <c r="GM380" s="143"/>
      <c r="GN380" s="143"/>
      <c r="GO380" s="143"/>
      <c r="GP380" s="143"/>
      <c r="GQ380" s="143"/>
      <c r="GR380" s="143"/>
      <c r="GS380" s="143"/>
      <c r="GT380" s="143"/>
      <c r="GU380" s="143"/>
      <c r="GV380" s="143"/>
      <c r="GW380" s="143"/>
      <c r="GX380" s="143"/>
      <c r="GY380" s="143"/>
      <c r="GZ380" s="143"/>
      <c r="HA380" s="143"/>
      <c r="HB380" s="143"/>
      <c r="HC380" s="143"/>
      <c r="HD380" s="143"/>
      <c r="HE380" s="143"/>
      <c r="HF380" s="143"/>
      <c r="HG380" s="143"/>
      <c r="HH380" s="143"/>
      <c r="HI380" s="143"/>
      <c r="HJ380" s="143"/>
      <c r="HK380" s="143"/>
      <c r="HL380" s="143"/>
      <c r="HM380" s="143"/>
      <c r="HN380" s="143"/>
      <c r="HO380" s="143"/>
      <c r="HP380" s="143"/>
      <c r="HQ380" s="143"/>
      <c r="HR380" s="143"/>
      <c r="HS380" s="143"/>
      <c r="HT380" s="143"/>
      <c r="HU380" s="143"/>
      <c r="HV380" s="143"/>
      <c r="HW380" s="143"/>
      <c r="HX380" s="143"/>
      <c r="HY380" s="143"/>
      <c r="HZ380" s="143"/>
      <c r="IA380" s="143"/>
      <c r="IB380" s="143"/>
      <c r="IC380" s="143"/>
      <c r="ID380" s="143"/>
      <c r="IE380" s="143"/>
      <c r="IF380" s="143"/>
      <c r="IG380" s="143"/>
      <c r="IH380" s="143"/>
      <c r="II380" s="143"/>
      <c r="IJ380" s="143"/>
      <c r="IK380" s="143"/>
      <c r="IL380" s="143"/>
      <c r="IM380" s="143"/>
      <c r="IN380" s="143"/>
      <c r="IO380" s="143"/>
      <c r="IP380" s="143"/>
      <c r="IQ380" s="143"/>
      <c r="IR380" s="143"/>
      <c r="IS380" s="143"/>
      <c r="IT380" s="143"/>
      <c r="IU380" s="143"/>
      <c r="IV380" s="143"/>
      <c r="IW380" s="143"/>
      <c r="IX380" s="143"/>
      <c r="IY380" s="143"/>
      <c r="IZ380" s="143"/>
      <c r="JA380" s="143"/>
      <c r="JB380" s="143"/>
      <c r="JC380" s="143"/>
      <c r="JD380" s="143"/>
      <c r="JE380" s="143"/>
      <c r="JF380" s="143"/>
      <c r="JG380" s="143"/>
      <c r="JH380" s="143"/>
      <c r="JI380" s="143"/>
    </row>
    <row r="381" spans="1:269" hidden="1" outlineLevel="1">
      <c r="A381" s="83" t="s">
        <v>256</v>
      </c>
      <c r="B381" s="143" t="s">
        <v>257</v>
      </c>
      <c r="C381" s="475" t="e">
        <f>_xll.BQL.QUERY("get(avg(px_last(start=" &amp; TEXT(#REF!, "YYYY-MM-DD") &amp; ", end=" &amp; TEXT(C$5, "YYYY-MM-DD") &amp; "))) for('"&amp;$B381&amp;"')")</f>
        <v>#REF!</v>
      </c>
      <c r="D381" s="475" t="e">
        <f>_xll.BQL.QUERY("get(avg(px_last(start=" &amp; TEXT(#REF!, "YYYY-MM-DD") &amp; ", end=" &amp; TEXT(D$5, "YYYY-MM-DD") &amp; "))) for('"&amp;$B381&amp;"')")</f>
        <v>#REF!</v>
      </c>
      <c r="E381" s="475" t="e">
        <f>_xll.BQL.QUERY("get(avg(px_last(start=" &amp; TEXT(#REF!, "YYYY-MM-DD") &amp; ", end=" &amp; TEXT(E$5, "YYYY-MM-DD") &amp; "))) for('"&amp;$B381&amp;"')")</f>
        <v>#REF!</v>
      </c>
      <c r="F381" s="335" t="e">
        <f>_xll.BQL.QUERY("get(avg(px_last(start=" &amp; TEXT(#REF!, "YYYY-MM-DD") &amp; ", end=" &amp; TEXT(F$5, "YYYY-MM-DD") &amp; "))) for('"&amp;$B381&amp;"')")</f>
        <v>#REF!</v>
      </c>
      <c r="G381" s="335">
        <f>_xll.BQL.QUERY("get(avg(px_last(start=" &amp; TEXT(F$5, "YYYY-MM-DD") &amp; ", end=" &amp; TEXT(G$5, "YYYY-MM-DD") &amp; "))) for('"&amp;$B381&amp;"')")</f>
        <v>114.8</v>
      </c>
      <c r="H381" s="335">
        <f>_xll.BQL.QUERY("get(avg(px_last(start=" &amp; TEXT(G$5, "YYYY-MM-DD") &amp; ", end=" &amp; TEXT(H$5, "YYYY-MM-DD") &amp; "))) for('"&amp;$B381&amp;"')")</f>
        <v>115.4</v>
      </c>
      <c r="I381" s="335">
        <f>_xll.BQL.QUERY("get(avg(px_last(start=" &amp; TEXT(H$5, "YYYY-MM-DD") &amp; ", end=" &amp; TEXT(I$5, "YYYY-MM-DD") &amp; "))) for('"&amp;$B381&amp;"')")</f>
        <v>116.2</v>
      </c>
      <c r="J381" s="475" t="e">
        <f>_xll.BQL.QUERY("get(avg(px_last(start=" &amp; TEXT(#REF!, "YYYY-MM-DD") &amp; ", end=" &amp; TEXT(J$5, "YYYY-MM-DD") &amp; "))) for('"&amp;$B381&amp;"')")</f>
        <v>#REF!</v>
      </c>
      <c r="K381" s="335" t="e">
        <f>_xll.BQL.QUERY("get(avg(px_last(start=" &amp; TEXT(#REF!, "YYYY-MM-DD") &amp; ", end=" &amp; TEXT(K$5, "YYYY-MM-DD") &amp; "))) for('"&amp;$B381&amp;"')")</f>
        <v>#REF!</v>
      </c>
      <c r="L381" s="335">
        <f>_xll.BQL.QUERY("get(avg(px_last(start=" &amp; TEXT(K$5, "YYYY-MM-DD") &amp; ", end=" &amp; TEXT(L$5, "YYYY-MM-DD") &amp; "))) for('"&amp;$B381&amp;"')")</f>
        <v>115.5</v>
      </c>
      <c r="M381" s="335">
        <f>_xll.BQL.QUERY("get(avg(px_last(start=" &amp; TEXT(L$5, "YYYY-MM-DD") &amp; ", end=" &amp; TEXT(M$5, "YYYY-MM-DD") &amp; "))) for('"&amp;$B381&amp;"')")</f>
        <v>115.30000000000001</v>
      </c>
      <c r="N381" s="335">
        <f>_xll.BQL.QUERY("get(avg(px_last(start=" &amp; TEXT(M$5, "YYYY-MM-DD") &amp; ", end=" &amp; TEXT(N$5, "YYYY-MM-DD") &amp; "))) for('"&amp;$B381&amp;"')")</f>
        <v>116.7</v>
      </c>
      <c r="O381" s="475" t="e">
        <f>_xll.BQL.QUERY("get(avg(px_last(start=" &amp; TEXT(#REF!, "YYYY-MM-DD") &amp; ", end=" &amp; TEXT(O$5, "YYYY-MM-DD") &amp; "))) for('"&amp;$B381&amp;"')")</f>
        <v>#REF!</v>
      </c>
      <c r="P381" s="335">
        <f>_xll.BQL.QUERY("get(avg(px_last(start=" &amp; TEXT(O$5, "YYYY-MM-DD") &amp; ", end=" &amp; TEXT(P$5, "YYYY-MM-DD") &amp; "))) for('"&amp;$B381&amp;"')")</f>
        <v>117.55000000000001</v>
      </c>
      <c r="Q381" s="335">
        <f>_xll.BQL.QUERY("get(avg(px_last(start=" &amp; TEXT(P$5, "YYYY-MM-DD") &amp; ", end=" &amp; TEXT(Q$5, "YYYY-MM-DD") &amp; "))) for('"&amp;$B381&amp;"')")</f>
        <v>118.35</v>
      </c>
      <c r="R381" s="335">
        <f>_xll.BQL.QUERY("get(avg(px_last(start=" &amp; TEXT(Q$5, "YYYY-MM-DD") &amp; ", end=" &amp; TEXT(R$5, "YYYY-MM-DD") &amp; "))) for('"&amp;$B381&amp;"')")</f>
        <v>119.25</v>
      </c>
      <c r="S381" s="335">
        <f>_xll.BQL.QUERY("get(avg(px_last(start=" &amp; TEXT(R$5, "YYYY-MM-DD") &amp; ", end=" &amp; TEXT(S$5, "YYYY-MM-DD") &amp; "))) for('"&amp;$B381&amp;"')")</f>
        <v>120.5</v>
      </c>
      <c r="T381" s="475">
        <f>_xll.BQL.QUERY("get(avg(px_last(start=" &amp; TEXT(O$5, "YYYY-MM-DD") &amp; ", end=" &amp; TEXT(T$5, "YYYY-MM-DD") &amp; "))) for('"&amp;$B381&amp;"')")</f>
        <v>118.97999999999999</v>
      </c>
      <c r="U381" s="335">
        <f>_xll.BQL.QUERY("get(avg(px_last(start=" &amp; TEXT(T$5, "YYYY-MM-DD") &amp; ", end=" &amp; TEXT(U$5, "YYYY-MM-DD") &amp; "))) for('"&amp;$B381&amp;"')")</f>
        <v>122.6</v>
      </c>
      <c r="V381" s="335">
        <f>_xll.BQL.QUERY("get(avg(px_last(start=" &amp; TEXT(U$5, "YYYY-MM-DD") &amp; ", end=" &amp; TEXT(V$5, "YYYY-MM-DD") &amp; "))) for('"&amp;$B381&amp;"')")</f>
        <v>125</v>
      </c>
      <c r="W381" s="335">
        <f>_xll.BQL.QUERY("get(avg(px_last(start=" &amp; TEXT(V$5, "YYYY-MM-DD") &amp; ", end=" &amp; TEXT(W$5, "YYYY-MM-DD") &amp; "))) for('"&amp;$B381&amp;"')")</f>
        <v>127.25</v>
      </c>
      <c r="X381" s="335">
        <f>_xll.BQL.QUERY("get(avg(px_last(start=" &amp; TEXT(W$5, "YYYY-MM-DD") &amp; ", end=" &amp; TEXT(X$5, "YYYY-MM-DD") &amp; "))) for('"&amp;$B381&amp;"')")</f>
        <v>129.60000000000002</v>
      </c>
      <c r="Y381" s="475">
        <f>_xll.BQL.QUERY("get(avg(px_last(start=" &amp; TEXT(T$5, "YYYY-MM-DD") &amp; ", end=" &amp; TEXT(Y$5, "YYYY-MM-DD") &amp; "))) for('"&amp;$B381&amp;"')")</f>
        <v>126.1</v>
      </c>
      <c r="Z381" s="335">
        <f>_xll.BQL.QUERY("get(avg(px_last(start=" &amp; TEXT(Y$5, "YYYY-MM-DD") &amp; ", end=" &amp; TEXT(Z$5, "YYYY-MM-DD") &amp; "))) for('"&amp;$B381&amp;"')")</f>
        <v>131.69999999999999</v>
      </c>
      <c r="AA381" s="335">
        <f>_xll.BQL.QUERY("get(avg(px_last(start=" &amp; TEXT(Z$5, "YYYY-MM-DD") &amp; ", end=" &amp; TEXT(AA$5, "YYYY-MM-DD") &amp; "))) for('"&amp;$B381&amp;"')")</f>
        <v>133.14999999999998</v>
      </c>
      <c r="AB381" s="335">
        <f>_xll.BQL.QUERY("get(avg(px_last(start=" &amp; TEXT(AA$5, "YYYY-MM-DD") &amp; ", end=" &amp; TEXT(AB$5, "YYYY-MM-DD") &amp; "))) for('"&amp;$B381&amp;"')")</f>
        <v>134.5</v>
      </c>
      <c r="AC381" s="335">
        <f>_xll.BQL.QUERY("get(avg(px_last(start=" &amp; TEXT(AB$5, "YYYY-MM-DD") &amp; ", end=" &amp; TEXT(AC$5, "YYYY-MM-DD") &amp; "))) for('"&amp;$B381&amp;"')")</f>
        <v>135.30000000000001</v>
      </c>
      <c r="AD381" s="540">
        <f>_xll.BQL.QUERY("get(avg(px_last(start=" &amp; TEXT(Y$5, "YYYY-MM-DD") &amp; ", end=" &amp; TEXT(AD$5, "YYYY-MM-DD") &amp; "))) for('"&amp;$B381&amp;"')")</f>
        <v>133.1</v>
      </c>
      <c r="AE381" s="335" t="str">
        <f>_xll.BQL.QUERY("get(avg(px_last(start=" &amp; TEXT(AD$5, "YYYY-MM-DD") &amp; ", end=" &amp; TEXT(AE$5, "YYYY-MM-DD") &amp; "))) for('"&amp;$B381&amp;"')")</f>
        <v>#N/A</v>
      </c>
      <c r="AF381" s="335" t="str">
        <f>_xll.BQL.QUERY("get(avg(px_last(start=" &amp; TEXT(AE$5, "YYYY-MM-DD") &amp; ", end=" &amp; TEXT(AF$5, "YYYY-MM-DD") &amp; "))) for('"&amp;$B381&amp;"')")</f>
        <v>#N/A</v>
      </c>
      <c r="AG381" s="335" t="str">
        <f>_xll.BQL.QUERY("get(avg(px_last(start=" &amp; TEXT(AF$5, "YYYY-MM-DD") &amp; ", end=" &amp; TEXT(AG$5, "YYYY-MM-DD") &amp; "))) for('"&amp;$B381&amp;"')")</f>
        <v>#N/A</v>
      </c>
      <c r="AH381" s="280"/>
      <c r="AI381" s="320"/>
      <c r="AJ381" s="280"/>
      <c r="AK381" s="280"/>
      <c r="AL381" s="280"/>
      <c r="AM381" s="280"/>
      <c r="AN381" s="320"/>
      <c r="AO381" s="280"/>
      <c r="AP381" s="280"/>
      <c r="AQ381" s="280"/>
      <c r="AR381" s="280"/>
      <c r="AS381" s="320"/>
      <c r="AT381" s="315"/>
      <c r="AU381" s="508"/>
      <c r="AV381" s="143"/>
      <c r="AW381" s="143"/>
      <c r="AX381" s="143"/>
      <c r="AY381" s="143"/>
      <c r="AZ381" s="143"/>
      <c r="BA381" s="143"/>
      <c r="BB381" s="143"/>
      <c r="BC381" s="143"/>
      <c r="BD381" s="143"/>
      <c r="BE381" s="143"/>
      <c r="BF381" s="143"/>
      <c r="BG381" s="143"/>
      <c r="BH381" s="143"/>
      <c r="BI381" s="143"/>
      <c r="BJ381" s="143"/>
      <c r="BK381" s="143"/>
      <c r="BL381" s="143"/>
      <c r="BM381" s="143"/>
      <c r="BN381" s="143"/>
      <c r="BO381" s="143"/>
      <c r="BP381" s="143"/>
      <c r="BQ381" s="143"/>
      <c r="BR381" s="143"/>
      <c r="BS381" s="143"/>
      <c r="BT381" s="143"/>
      <c r="BU381" s="143"/>
      <c r="BV381" s="143"/>
      <c r="BW381" s="143"/>
      <c r="BX381" s="143"/>
      <c r="BY381" s="143"/>
      <c r="BZ381" s="143"/>
      <c r="CA381" s="143"/>
      <c r="CB381" s="143"/>
      <c r="CC381" s="143"/>
      <c r="CD381" s="143"/>
      <c r="CE381" s="143"/>
      <c r="CF381" s="143"/>
      <c r="CG381" s="143"/>
      <c r="CH381" s="143"/>
      <c r="CI381" s="143"/>
      <c r="CJ381" s="143"/>
      <c r="CK381" s="143"/>
      <c r="CL381" s="143"/>
      <c r="CM381" s="143"/>
      <c r="CN381" s="143"/>
      <c r="CO381" s="143"/>
      <c r="CP381" s="143"/>
      <c r="CQ381" s="143"/>
      <c r="CR381" s="143"/>
      <c r="CS381" s="143"/>
      <c r="CT381" s="143"/>
      <c r="CU381" s="143"/>
      <c r="CV381" s="143"/>
      <c r="CW381" s="143"/>
      <c r="CX381" s="143"/>
      <c r="CY381" s="143"/>
      <c r="CZ381" s="143"/>
      <c r="DA381" s="143"/>
      <c r="DB381" s="143"/>
      <c r="DC381" s="143"/>
      <c r="DD381" s="143"/>
      <c r="DE381" s="143"/>
      <c r="DF381" s="143"/>
      <c r="DG381" s="143"/>
      <c r="DH381" s="143"/>
      <c r="DI381" s="143"/>
      <c r="DJ381" s="143"/>
      <c r="DK381" s="143"/>
      <c r="DL381" s="143"/>
      <c r="DM381" s="143"/>
      <c r="DN381" s="143"/>
      <c r="DO381" s="143"/>
      <c r="DP381" s="143"/>
      <c r="DQ381" s="143"/>
      <c r="DR381" s="143"/>
      <c r="DS381" s="143"/>
      <c r="DT381" s="143"/>
      <c r="DU381" s="143"/>
      <c r="DV381" s="143"/>
      <c r="DW381" s="143"/>
      <c r="DX381" s="143"/>
      <c r="DY381" s="143"/>
      <c r="DZ381" s="143"/>
      <c r="EA381" s="143"/>
      <c r="EB381" s="143"/>
      <c r="EC381" s="143"/>
      <c r="ED381" s="143"/>
      <c r="EE381" s="143"/>
      <c r="EF381" s="143"/>
      <c r="EG381" s="143"/>
      <c r="EH381" s="143"/>
      <c r="EI381" s="143"/>
      <c r="EJ381" s="143"/>
      <c r="EK381" s="143"/>
      <c r="EL381" s="143"/>
      <c r="EM381" s="143"/>
      <c r="EN381" s="143"/>
      <c r="EO381" s="143"/>
      <c r="EP381" s="143"/>
      <c r="EQ381" s="143"/>
      <c r="ER381" s="143"/>
      <c r="ES381" s="143"/>
      <c r="ET381" s="143"/>
      <c r="EU381" s="143"/>
      <c r="EV381" s="143"/>
      <c r="EW381" s="143"/>
      <c r="EX381" s="143"/>
      <c r="EY381" s="143"/>
      <c r="EZ381" s="143"/>
      <c r="FA381" s="143"/>
      <c r="FB381" s="143"/>
      <c r="FC381" s="143"/>
      <c r="FD381" s="143"/>
      <c r="FE381" s="143"/>
      <c r="FF381" s="143"/>
      <c r="FG381" s="143"/>
      <c r="FH381" s="143"/>
      <c r="FI381" s="143"/>
      <c r="FJ381" s="143"/>
      <c r="FK381" s="143"/>
      <c r="FL381" s="143"/>
      <c r="FM381" s="143"/>
      <c r="FN381" s="143"/>
      <c r="FO381" s="143"/>
      <c r="FP381" s="143"/>
      <c r="FQ381" s="143"/>
      <c r="FR381" s="143"/>
      <c r="FS381" s="143"/>
      <c r="FT381" s="143"/>
      <c r="FU381" s="143"/>
      <c r="FV381" s="143"/>
      <c r="FW381" s="143"/>
      <c r="FX381" s="143"/>
      <c r="FY381" s="143"/>
      <c r="FZ381" s="143"/>
      <c r="GA381" s="143"/>
      <c r="GB381" s="143"/>
      <c r="GC381" s="143"/>
      <c r="GD381" s="143"/>
      <c r="GE381" s="143"/>
      <c r="GF381" s="143"/>
      <c r="GG381" s="143"/>
      <c r="GH381" s="143"/>
      <c r="GI381" s="143"/>
      <c r="GJ381" s="143"/>
      <c r="GK381" s="143"/>
      <c r="GL381" s="143"/>
      <c r="GM381" s="143"/>
      <c r="GN381" s="143"/>
      <c r="GO381" s="143"/>
      <c r="GP381" s="143"/>
      <c r="GQ381" s="143"/>
      <c r="GR381" s="143"/>
      <c r="GS381" s="143"/>
      <c r="GT381" s="143"/>
      <c r="GU381" s="143"/>
      <c r="GV381" s="143"/>
      <c r="GW381" s="143"/>
      <c r="GX381" s="143"/>
      <c r="GY381" s="143"/>
      <c r="GZ381" s="143"/>
      <c r="HA381" s="143"/>
      <c r="HB381" s="143"/>
      <c r="HC381" s="143"/>
      <c r="HD381" s="143"/>
      <c r="HE381" s="143"/>
      <c r="HF381" s="143"/>
      <c r="HG381" s="143"/>
      <c r="HH381" s="143"/>
      <c r="HI381" s="143"/>
      <c r="HJ381" s="143"/>
      <c r="HK381" s="143"/>
      <c r="HL381" s="143"/>
      <c r="HM381" s="143"/>
      <c r="HN381" s="143"/>
      <c r="HO381" s="143"/>
      <c r="HP381" s="143"/>
      <c r="HQ381" s="143"/>
      <c r="HR381" s="143"/>
      <c r="HS381" s="143"/>
      <c r="HT381" s="143"/>
      <c r="HU381" s="143"/>
      <c r="HV381" s="143"/>
      <c r="HW381" s="143"/>
      <c r="HX381" s="143"/>
      <c r="HY381" s="143"/>
      <c r="HZ381" s="143"/>
      <c r="IA381" s="143"/>
      <c r="IB381" s="143"/>
      <c r="IC381" s="143"/>
      <c r="ID381" s="143"/>
      <c r="IE381" s="143"/>
      <c r="IF381" s="143"/>
      <c r="IG381" s="143"/>
      <c r="IH381" s="143"/>
      <c r="II381" s="143"/>
      <c r="IJ381" s="143"/>
      <c r="IK381" s="143"/>
      <c r="IL381" s="143"/>
      <c r="IM381" s="143"/>
      <c r="IN381" s="143"/>
      <c r="IO381" s="143"/>
      <c r="IP381" s="143"/>
      <c r="IQ381" s="143"/>
      <c r="IR381" s="143"/>
      <c r="IS381" s="143"/>
      <c r="IT381" s="143"/>
      <c r="IU381" s="143"/>
      <c r="IV381" s="143"/>
      <c r="IW381" s="143"/>
      <c r="IX381" s="143"/>
      <c r="IY381" s="143"/>
      <c r="IZ381" s="143"/>
      <c r="JA381" s="143"/>
      <c r="JB381" s="143"/>
      <c r="JC381" s="143"/>
      <c r="JD381" s="143"/>
      <c r="JE381" s="143"/>
      <c r="JF381" s="143"/>
      <c r="JG381" s="143"/>
      <c r="JH381" s="143"/>
      <c r="JI381" s="143"/>
    </row>
    <row r="382" spans="1:269" hidden="1" outlineLevel="1">
      <c r="A382" s="437" t="s">
        <v>208</v>
      </c>
      <c r="B382" s="143"/>
      <c r="C382" s="417" t="e">
        <f>C381/#REF!-1</f>
        <v>#REF!</v>
      </c>
      <c r="D382" s="417" t="e">
        <f>D381/#REF!-1</f>
        <v>#REF!</v>
      </c>
      <c r="E382" s="417" t="e">
        <f>E381/#REF!-1</f>
        <v>#REF!</v>
      </c>
      <c r="F382" s="414" t="e">
        <f>F381/#REF!-1</f>
        <v>#REF!</v>
      </c>
      <c r="G382" s="414" t="e">
        <f>G381/#REF!-1</f>
        <v>#REF!</v>
      </c>
      <c r="H382" s="414" t="e">
        <f>H381/#REF!-1</f>
        <v>#REF!</v>
      </c>
      <c r="I382" s="414" t="e">
        <f>I381/#REF!-1</f>
        <v>#REF!</v>
      </c>
      <c r="J382" s="417" t="e">
        <f>J381/#REF!-1</f>
        <v>#REF!</v>
      </c>
      <c r="K382" s="414" t="e">
        <f>K381/#REF!-1</f>
        <v>#REF!</v>
      </c>
      <c r="L382" s="414" t="e">
        <f>L381/#REF!-1</f>
        <v>#REF!</v>
      </c>
      <c r="M382" s="414" t="e">
        <f>M381/#REF!-1</f>
        <v>#REF!</v>
      </c>
      <c r="N382" s="414" t="e">
        <f>N381/#REF!-1</f>
        <v>#REF!</v>
      </c>
      <c r="O382" s="417" t="e">
        <f>O381/#REF!-1</f>
        <v>#REF!</v>
      </c>
      <c r="P382" s="414" t="e">
        <f t="shared" ref="P382" si="785">P381/K381-1</f>
        <v>#REF!</v>
      </c>
      <c r="Q382" s="414">
        <f t="shared" ref="Q382" si="786">Q381/L381-1</f>
        <v>2.4675324675324628E-2</v>
      </c>
      <c r="R382" s="414">
        <f t="shared" ref="R382" si="787">R381/M381-1</f>
        <v>3.4258456201214038E-2</v>
      </c>
      <c r="S382" s="414">
        <f t="shared" ref="S382" si="788">S381/N381-1</f>
        <v>3.2562125107112205E-2</v>
      </c>
      <c r="T382" s="417" t="e">
        <f t="shared" ref="T382" si="789">T381/O381-1</f>
        <v>#REF!</v>
      </c>
      <c r="U382" s="414">
        <f t="shared" ref="U382" si="790">U381/P381-1</f>
        <v>4.2960442364951001E-2</v>
      </c>
      <c r="V382" s="414">
        <f t="shared" ref="V382" si="791">V381/Q381-1</f>
        <v>5.618926911702582E-2</v>
      </c>
      <c r="W382" s="414">
        <f t="shared" ref="W382" si="792">W381/R381-1</f>
        <v>6.7085953878406768E-2</v>
      </c>
      <c r="X382" s="414">
        <f t="shared" ref="X382" si="793">X381/S381-1</f>
        <v>7.55186721991703E-2</v>
      </c>
      <c r="Y382" s="417">
        <f t="shared" ref="Y382" si="794">Y381/T381-1</f>
        <v>5.9841990250462329E-2</v>
      </c>
      <c r="Z382" s="414">
        <f t="shared" ref="Z382" si="795">Z381/U381-1</f>
        <v>7.4225122349102834E-2</v>
      </c>
      <c r="AA382" s="414">
        <f t="shared" ref="AA382" si="796">AA381/V381-1</f>
        <v>6.5199999999999925E-2</v>
      </c>
      <c r="AB382" s="414">
        <f t="shared" ref="AB382" si="797">AB381/W381-1</f>
        <v>5.6974459724950854E-2</v>
      </c>
      <c r="AC382" s="414">
        <f t="shared" ref="AC382" si="798">AC381/X381-1</f>
        <v>4.3981481481481399E-2</v>
      </c>
      <c r="AD382" s="422">
        <f t="shared" ref="AD382" si="799">AD381/Y381-1</f>
        <v>5.5511498810467907E-2</v>
      </c>
      <c r="AE382" s="414" t="e">
        <f t="shared" ref="AE382" si="800">AE381/Z381-1</f>
        <v>#VALUE!</v>
      </c>
      <c r="AF382" s="414" t="e">
        <f t="shared" ref="AF382" si="801">AF381/AA381-1</f>
        <v>#VALUE!</v>
      </c>
      <c r="AG382" s="414" t="e">
        <f t="shared" ref="AG382" si="802">AG381/AB381-1</f>
        <v>#VALUE!</v>
      </c>
      <c r="AH382" s="280"/>
      <c r="AI382" s="320"/>
      <c r="AJ382" s="280"/>
      <c r="AK382" s="280"/>
      <c r="AL382" s="280"/>
      <c r="AM382" s="280"/>
      <c r="AN382" s="320"/>
      <c r="AO382" s="280"/>
      <c r="AP382" s="280"/>
      <c r="AQ382" s="280"/>
      <c r="AR382" s="280"/>
      <c r="AS382" s="320"/>
      <c r="AT382" s="315"/>
      <c r="AU382" s="508"/>
      <c r="AV382" s="143"/>
      <c r="AW382" s="143"/>
      <c r="AX382" s="143"/>
      <c r="AY382" s="143"/>
      <c r="AZ382" s="143"/>
      <c r="BA382" s="143"/>
      <c r="BB382" s="143"/>
      <c r="BC382" s="143"/>
      <c r="BD382" s="143"/>
      <c r="BE382" s="143"/>
      <c r="BF382" s="143"/>
      <c r="BG382" s="143"/>
      <c r="BH382" s="143"/>
      <c r="BI382" s="143"/>
      <c r="BJ382" s="143"/>
      <c r="BK382" s="143"/>
      <c r="BL382" s="143"/>
      <c r="BM382" s="143"/>
      <c r="BN382" s="143"/>
      <c r="BO382" s="143"/>
      <c r="BP382" s="143"/>
      <c r="BQ382" s="143"/>
      <c r="BR382" s="143"/>
      <c r="BS382" s="143"/>
      <c r="BT382" s="143"/>
      <c r="BU382" s="143"/>
      <c r="BV382" s="143"/>
      <c r="BW382" s="143"/>
      <c r="BX382" s="143"/>
      <c r="BY382" s="143"/>
      <c r="BZ382" s="143"/>
      <c r="CA382" s="143"/>
      <c r="CB382" s="143"/>
      <c r="CC382" s="143"/>
      <c r="CD382" s="143"/>
      <c r="CE382" s="143"/>
      <c r="CF382" s="143"/>
      <c r="CG382" s="143"/>
      <c r="CH382" s="143"/>
      <c r="CI382" s="143"/>
      <c r="CJ382" s="143"/>
      <c r="CK382" s="143"/>
      <c r="CL382" s="143"/>
      <c r="CM382" s="143"/>
      <c r="CN382" s="143"/>
      <c r="CO382" s="143"/>
      <c r="CP382" s="143"/>
      <c r="CQ382" s="143"/>
      <c r="CR382" s="143"/>
      <c r="CS382" s="143"/>
      <c r="CT382" s="143"/>
      <c r="CU382" s="143"/>
      <c r="CV382" s="143"/>
      <c r="CW382" s="143"/>
      <c r="CX382" s="143"/>
      <c r="CY382" s="143"/>
      <c r="CZ382" s="143"/>
      <c r="DA382" s="143"/>
      <c r="DB382" s="143"/>
      <c r="DC382" s="143"/>
      <c r="DD382" s="143"/>
      <c r="DE382" s="143"/>
      <c r="DF382" s="143"/>
      <c r="DG382" s="143"/>
      <c r="DH382" s="143"/>
      <c r="DI382" s="143"/>
      <c r="DJ382" s="143"/>
      <c r="DK382" s="143"/>
      <c r="DL382" s="143"/>
      <c r="DM382" s="143"/>
      <c r="DN382" s="143"/>
      <c r="DO382" s="143"/>
      <c r="DP382" s="143"/>
      <c r="DQ382" s="143"/>
      <c r="DR382" s="143"/>
      <c r="DS382" s="143"/>
      <c r="DT382" s="143"/>
      <c r="DU382" s="143"/>
      <c r="DV382" s="143"/>
      <c r="DW382" s="143"/>
      <c r="DX382" s="143"/>
      <c r="DY382" s="143"/>
      <c r="DZ382" s="143"/>
      <c r="EA382" s="143"/>
      <c r="EB382" s="143"/>
      <c r="EC382" s="143"/>
      <c r="ED382" s="143"/>
      <c r="EE382" s="143"/>
      <c r="EF382" s="143"/>
      <c r="EG382" s="143"/>
      <c r="EH382" s="143"/>
      <c r="EI382" s="143"/>
      <c r="EJ382" s="143"/>
      <c r="EK382" s="143"/>
      <c r="EL382" s="143"/>
      <c r="EM382" s="143"/>
      <c r="EN382" s="143"/>
      <c r="EO382" s="143"/>
      <c r="EP382" s="143"/>
      <c r="EQ382" s="143"/>
      <c r="ER382" s="143"/>
      <c r="ES382" s="143"/>
      <c r="ET382" s="143"/>
      <c r="EU382" s="143"/>
      <c r="EV382" s="143"/>
      <c r="EW382" s="143"/>
      <c r="EX382" s="143"/>
      <c r="EY382" s="143"/>
      <c r="EZ382" s="143"/>
      <c r="FA382" s="143"/>
      <c r="FB382" s="143"/>
      <c r="FC382" s="143"/>
      <c r="FD382" s="143"/>
      <c r="FE382" s="143"/>
      <c r="FF382" s="143"/>
      <c r="FG382" s="143"/>
      <c r="FH382" s="143"/>
      <c r="FI382" s="143"/>
      <c r="FJ382" s="143"/>
      <c r="FK382" s="143"/>
      <c r="FL382" s="143"/>
      <c r="FM382" s="143"/>
      <c r="FN382" s="143"/>
      <c r="FO382" s="143"/>
      <c r="FP382" s="143"/>
      <c r="FQ382" s="143"/>
      <c r="FR382" s="143"/>
      <c r="FS382" s="143"/>
      <c r="FT382" s="143"/>
      <c r="FU382" s="143"/>
      <c r="FV382" s="143"/>
      <c r="FW382" s="143"/>
      <c r="FX382" s="143"/>
      <c r="FY382" s="143"/>
      <c r="FZ382" s="143"/>
      <c r="GA382" s="143"/>
      <c r="GB382" s="143"/>
      <c r="GC382" s="143"/>
      <c r="GD382" s="143"/>
      <c r="GE382" s="143"/>
      <c r="GF382" s="143"/>
      <c r="GG382" s="143"/>
      <c r="GH382" s="143"/>
      <c r="GI382" s="143"/>
      <c r="GJ382" s="143"/>
      <c r="GK382" s="143"/>
      <c r="GL382" s="143"/>
      <c r="GM382" s="143"/>
      <c r="GN382" s="143"/>
      <c r="GO382" s="143"/>
      <c r="GP382" s="143"/>
      <c r="GQ382" s="143"/>
      <c r="GR382" s="143"/>
      <c r="GS382" s="143"/>
      <c r="GT382" s="143"/>
      <c r="GU382" s="143"/>
      <c r="GV382" s="143"/>
      <c r="GW382" s="143"/>
      <c r="GX382" s="143"/>
      <c r="GY382" s="143"/>
      <c r="GZ382" s="143"/>
      <c r="HA382" s="143"/>
      <c r="HB382" s="143"/>
      <c r="HC382" s="143"/>
      <c r="HD382" s="143"/>
      <c r="HE382" s="143"/>
      <c r="HF382" s="143"/>
      <c r="HG382" s="143"/>
      <c r="HH382" s="143"/>
      <c r="HI382" s="143"/>
      <c r="HJ382" s="143"/>
      <c r="HK382" s="143"/>
      <c r="HL382" s="143"/>
      <c r="HM382" s="143"/>
      <c r="HN382" s="143"/>
      <c r="HO382" s="143"/>
      <c r="HP382" s="143"/>
      <c r="HQ382" s="143"/>
      <c r="HR382" s="143"/>
      <c r="HS382" s="143"/>
      <c r="HT382" s="143"/>
      <c r="HU382" s="143"/>
      <c r="HV382" s="143"/>
      <c r="HW382" s="143"/>
      <c r="HX382" s="143"/>
      <c r="HY382" s="143"/>
      <c r="HZ382" s="143"/>
      <c r="IA382" s="143"/>
      <c r="IB382" s="143"/>
      <c r="IC382" s="143"/>
      <c r="ID382" s="143"/>
      <c r="IE382" s="143"/>
      <c r="IF382" s="143"/>
      <c r="IG382" s="143"/>
      <c r="IH382" s="143"/>
      <c r="II382" s="143"/>
      <c r="IJ382" s="143"/>
      <c r="IK382" s="143"/>
      <c r="IL382" s="143"/>
      <c r="IM382" s="143"/>
      <c r="IN382" s="143"/>
      <c r="IO382" s="143"/>
      <c r="IP382" s="143"/>
      <c r="IQ382" s="143"/>
      <c r="IR382" s="143"/>
      <c r="IS382" s="143"/>
      <c r="IT382" s="143"/>
      <c r="IU382" s="143"/>
      <c r="IV382" s="143"/>
      <c r="IW382" s="143"/>
      <c r="IX382" s="143"/>
      <c r="IY382" s="143"/>
      <c r="IZ382" s="143"/>
      <c r="JA382" s="143"/>
      <c r="JB382" s="143"/>
      <c r="JC382" s="143"/>
      <c r="JD382" s="143"/>
      <c r="JE382" s="143"/>
      <c r="JF382" s="143"/>
      <c r="JG382" s="143"/>
      <c r="JH382" s="143"/>
      <c r="JI382" s="143"/>
    </row>
    <row r="383" spans="1:269" hidden="1" outlineLevel="1">
      <c r="A383" s="437" t="s">
        <v>207</v>
      </c>
      <c r="B383" s="143"/>
      <c r="C383" s="417" t="e">
        <f>C381/#REF!-1</f>
        <v>#REF!</v>
      </c>
      <c r="D383" s="417" t="e">
        <f>D381/#REF!-1</f>
        <v>#REF!</v>
      </c>
      <c r="E383" s="417" t="e">
        <f>E381/#REF!-1</f>
        <v>#REF!</v>
      </c>
      <c r="F383" s="414" t="e">
        <f>F381/#REF!-1</f>
        <v>#REF!</v>
      </c>
      <c r="G383" s="414" t="e">
        <f>G381/#REF!-1</f>
        <v>#REF!</v>
      </c>
      <c r="H383" s="414" t="e">
        <f>H381/#REF!-1</f>
        <v>#REF!</v>
      </c>
      <c r="I383" s="414" t="e">
        <f>I381/#REF!-1</f>
        <v>#REF!</v>
      </c>
      <c r="J383" s="417" t="e">
        <f>J381/#REF!-1</f>
        <v>#REF!</v>
      </c>
      <c r="K383" s="414" t="e">
        <f>K381/#REF!-1</f>
        <v>#REF!</v>
      </c>
      <c r="L383" s="414" t="e">
        <f>L381/#REF!-1</f>
        <v>#REF!</v>
      </c>
      <c r="M383" s="414" t="e">
        <f>M381/#REF!-1</f>
        <v>#REF!</v>
      </c>
      <c r="N383" s="414" t="e">
        <f>N381/#REF!-1</f>
        <v>#REF!</v>
      </c>
      <c r="O383" s="417" t="e">
        <f>O381/#REF!-1</f>
        <v>#REF!</v>
      </c>
      <c r="P383" s="414" t="e">
        <f>P381/#REF!-1</f>
        <v>#REF!</v>
      </c>
      <c r="Q383" s="414" t="e">
        <f>Q381/#REF!-1</f>
        <v>#REF!</v>
      </c>
      <c r="R383" s="414" t="e">
        <f>R381/#REF!-1</f>
        <v>#REF!</v>
      </c>
      <c r="S383" s="414" t="e">
        <f>S381/#REF!-1</f>
        <v>#REF!</v>
      </c>
      <c r="T383" s="417" t="e">
        <f>T381/#REF!-1</f>
        <v>#REF!</v>
      </c>
      <c r="U383" s="414" t="e">
        <f>U381/#REF!-1</f>
        <v>#REF!</v>
      </c>
      <c r="V383" s="414" t="e">
        <f>V381/#REF!-1</f>
        <v>#REF!</v>
      </c>
      <c r="W383" s="414" t="e">
        <f>W381/#REF!-1</f>
        <v>#REF!</v>
      </c>
      <c r="X383" s="414" t="e">
        <f>X381/#REF!-1</f>
        <v>#REF!</v>
      </c>
      <c r="Y383" s="417" t="e">
        <f>Y381/#REF!-1</f>
        <v>#REF!</v>
      </c>
      <c r="Z383" s="414" t="e">
        <f>Z381/#REF!-1</f>
        <v>#REF!</v>
      </c>
      <c r="AA383" s="414" t="e">
        <f>AA381/#REF!-1</f>
        <v>#REF!</v>
      </c>
      <c r="AB383" s="414" t="e">
        <f>AB381/#REF!-1</f>
        <v>#REF!</v>
      </c>
      <c r="AC383" s="414" t="e">
        <f>AC381/#REF!-1</f>
        <v>#REF!</v>
      </c>
      <c r="AD383" s="422" t="e">
        <f>AD381/#REF!-1</f>
        <v>#REF!</v>
      </c>
      <c r="AE383" s="414" t="e">
        <f>AE381/#REF!-1</f>
        <v>#VALUE!</v>
      </c>
      <c r="AF383" s="414" t="e">
        <f>AF381/#REF!-1</f>
        <v>#VALUE!</v>
      </c>
      <c r="AG383" s="414" t="e">
        <f>AG381/#REF!-1</f>
        <v>#VALUE!</v>
      </c>
      <c r="AH383" s="280"/>
      <c r="AI383" s="320"/>
      <c r="AJ383" s="280"/>
      <c r="AK383" s="280"/>
      <c r="AL383" s="280"/>
      <c r="AM383" s="280"/>
      <c r="AN383" s="320"/>
      <c r="AO383" s="280"/>
      <c r="AP383" s="280"/>
      <c r="AQ383" s="280"/>
      <c r="AR383" s="280"/>
      <c r="AS383" s="320"/>
      <c r="AT383" s="315"/>
      <c r="AU383" s="508"/>
      <c r="AV383" s="143"/>
      <c r="AW383" s="143"/>
      <c r="AX383" s="143"/>
      <c r="AY383" s="143"/>
      <c r="AZ383" s="143"/>
      <c r="BA383" s="143"/>
      <c r="BB383" s="143"/>
      <c r="BC383" s="143"/>
      <c r="BD383" s="143"/>
      <c r="BE383" s="143"/>
      <c r="BF383" s="143"/>
      <c r="BG383" s="143"/>
      <c r="BH383" s="143"/>
      <c r="BI383" s="143"/>
      <c r="BJ383" s="143"/>
      <c r="BK383" s="143"/>
      <c r="BL383" s="143"/>
      <c r="BM383" s="143"/>
      <c r="BN383" s="143"/>
      <c r="BO383" s="143"/>
      <c r="BP383" s="143"/>
      <c r="BQ383" s="143"/>
      <c r="BR383" s="143"/>
      <c r="BS383" s="143"/>
      <c r="BT383" s="143"/>
      <c r="BU383" s="143"/>
      <c r="BV383" s="143"/>
      <c r="BW383" s="143"/>
      <c r="BX383" s="143"/>
      <c r="BY383" s="143"/>
      <c r="BZ383" s="143"/>
      <c r="CA383" s="143"/>
      <c r="CB383" s="143"/>
      <c r="CC383" s="143"/>
      <c r="CD383" s="143"/>
      <c r="CE383" s="143"/>
      <c r="CF383" s="143"/>
      <c r="CG383" s="143"/>
      <c r="CH383" s="143"/>
      <c r="CI383" s="143"/>
      <c r="CJ383" s="143"/>
      <c r="CK383" s="143"/>
      <c r="CL383" s="143"/>
      <c r="CM383" s="143"/>
      <c r="CN383" s="143"/>
      <c r="CO383" s="143"/>
      <c r="CP383" s="143"/>
      <c r="CQ383" s="143"/>
      <c r="CR383" s="143"/>
      <c r="CS383" s="143"/>
      <c r="CT383" s="143"/>
      <c r="CU383" s="143"/>
      <c r="CV383" s="143"/>
      <c r="CW383" s="143"/>
      <c r="CX383" s="143"/>
      <c r="CY383" s="143"/>
      <c r="CZ383" s="143"/>
      <c r="DA383" s="143"/>
      <c r="DB383" s="143"/>
      <c r="DC383" s="143"/>
      <c r="DD383" s="143"/>
      <c r="DE383" s="143"/>
      <c r="DF383" s="143"/>
      <c r="DG383" s="143"/>
      <c r="DH383" s="143"/>
      <c r="DI383" s="143"/>
      <c r="DJ383" s="143"/>
      <c r="DK383" s="143"/>
      <c r="DL383" s="143"/>
      <c r="DM383" s="143"/>
      <c r="DN383" s="143"/>
      <c r="DO383" s="143"/>
      <c r="DP383" s="143"/>
      <c r="DQ383" s="143"/>
      <c r="DR383" s="143"/>
      <c r="DS383" s="143"/>
      <c r="DT383" s="143"/>
      <c r="DU383" s="143"/>
      <c r="DV383" s="143"/>
      <c r="DW383" s="143"/>
      <c r="DX383" s="143"/>
      <c r="DY383" s="143"/>
      <c r="DZ383" s="143"/>
      <c r="EA383" s="143"/>
      <c r="EB383" s="143"/>
      <c r="EC383" s="143"/>
      <c r="ED383" s="143"/>
      <c r="EE383" s="143"/>
      <c r="EF383" s="143"/>
      <c r="EG383" s="143"/>
      <c r="EH383" s="143"/>
      <c r="EI383" s="143"/>
      <c r="EJ383" s="143"/>
      <c r="EK383" s="143"/>
      <c r="EL383" s="143"/>
      <c r="EM383" s="143"/>
      <c r="EN383" s="143"/>
      <c r="EO383" s="143"/>
      <c r="EP383" s="143"/>
      <c r="EQ383" s="143"/>
      <c r="ER383" s="143"/>
      <c r="ES383" s="143"/>
      <c r="ET383" s="143"/>
      <c r="EU383" s="143"/>
      <c r="EV383" s="143"/>
      <c r="EW383" s="143"/>
      <c r="EX383" s="143"/>
      <c r="EY383" s="143"/>
      <c r="EZ383" s="143"/>
      <c r="FA383" s="143"/>
      <c r="FB383" s="143"/>
      <c r="FC383" s="143"/>
      <c r="FD383" s="143"/>
      <c r="FE383" s="143"/>
      <c r="FF383" s="143"/>
      <c r="FG383" s="143"/>
      <c r="FH383" s="143"/>
      <c r="FI383" s="143"/>
      <c r="FJ383" s="143"/>
      <c r="FK383" s="143"/>
      <c r="FL383" s="143"/>
      <c r="FM383" s="143"/>
      <c r="FN383" s="143"/>
      <c r="FO383" s="143"/>
      <c r="FP383" s="143"/>
      <c r="FQ383" s="143"/>
      <c r="FR383" s="143"/>
      <c r="FS383" s="143"/>
      <c r="FT383" s="143"/>
      <c r="FU383" s="143"/>
      <c r="FV383" s="143"/>
      <c r="FW383" s="143"/>
      <c r="FX383" s="143"/>
      <c r="FY383" s="143"/>
      <c r="FZ383" s="143"/>
      <c r="GA383" s="143"/>
      <c r="GB383" s="143"/>
      <c r="GC383" s="143"/>
      <c r="GD383" s="143"/>
      <c r="GE383" s="143"/>
      <c r="GF383" s="143"/>
      <c r="GG383" s="143"/>
      <c r="GH383" s="143"/>
      <c r="GI383" s="143"/>
      <c r="GJ383" s="143"/>
      <c r="GK383" s="143"/>
      <c r="GL383" s="143"/>
      <c r="GM383" s="143"/>
      <c r="GN383" s="143"/>
      <c r="GO383" s="143"/>
      <c r="GP383" s="143"/>
      <c r="GQ383" s="143"/>
      <c r="GR383" s="143"/>
      <c r="GS383" s="143"/>
      <c r="GT383" s="143"/>
      <c r="GU383" s="143"/>
      <c r="GV383" s="143"/>
      <c r="GW383" s="143"/>
      <c r="GX383" s="143"/>
      <c r="GY383" s="143"/>
      <c r="GZ383" s="143"/>
      <c r="HA383" s="143"/>
      <c r="HB383" s="143"/>
      <c r="HC383" s="143"/>
      <c r="HD383" s="143"/>
      <c r="HE383" s="143"/>
      <c r="HF383" s="143"/>
      <c r="HG383" s="143"/>
      <c r="HH383" s="143"/>
      <c r="HI383" s="143"/>
      <c r="HJ383" s="143"/>
      <c r="HK383" s="143"/>
      <c r="HL383" s="143"/>
      <c r="HM383" s="143"/>
      <c r="HN383" s="143"/>
      <c r="HO383" s="143"/>
      <c r="HP383" s="143"/>
      <c r="HQ383" s="143"/>
      <c r="HR383" s="143"/>
      <c r="HS383" s="143"/>
      <c r="HT383" s="143"/>
      <c r="HU383" s="143"/>
      <c r="HV383" s="143"/>
      <c r="HW383" s="143"/>
      <c r="HX383" s="143"/>
      <c r="HY383" s="143"/>
      <c r="HZ383" s="143"/>
      <c r="IA383" s="143"/>
      <c r="IB383" s="143"/>
      <c r="IC383" s="143"/>
      <c r="ID383" s="143"/>
      <c r="IE383" s="143"/>
      <c r="IF383" s="143"/>
      <c r="IG383" s="143"/>
      <c r="IH383" s="143"/>
      <c r="II383" s="143"/>
      <c r="IJ383" s="143"/>
      <c r="IK383" s="143"/>
      <c r="IL383" s="143"/>
      <c r="IM383" s="143"/>
      <c r="IN383" s="143"/>
      <c r="IO383" s="143"/>
      <c r="IP383" s="143"/>
      <c r="IQ383" s="143"/>
      <c r="IR383" s="143"/>
      <c r="IS383" s="143"/>
      <c r="IT383" s="143"/>
      <c r="IU383" s="143"/>
      <c r="IV383" s="143"/>
      <c r="IW383" s="143"/>
      <c r="IX383" s="143"/>
      <c r="IY383" s="143"/>
      <c r="IZ383" s="143"/>
      <c r="JA383" s="143"/>
      <c r="JB383" s="143"/>
      <c r="JC383" s="143"/>
      <c r="JD383" s="143"/>
      <c r="JE383" s="143"/>
      <c r="JF383" s="143"/>
      <c r="JG383" s="143"/>
      <c r="JH383" s="143"/>
      <c r="JI383" s="143"/>
    </row>
    <row r="384" spans="1:269" hidden="1" outlineLevel="1">
      <c r="A384" s="437"/>
      <c r="B384" s="143"/>
      <c r="C384" s="417"/>
      <c r="D384" s="417"/>
      <c r="E384" s="417"/>
      <c r="F384" s="414"/>
      <c r="G384" s="414"/>
      <c r="H384" s="414"/>
      <c r="I384" s="414"/>
      <c r="J384" s="417"/>
      <c r="K384" s="414"/>
      <c r="L384" s="414"/>
      <c r="M384" s="414"/>
      <c r="N384" s="414"/>
      <c r="O384" s="417"/>
      <c r="P384" s="414"/>
      <c r="Q384" s="414"/>
      <c r="R384" s="414"/>
      <c r="S384" s="414"/>
      <c r="T384" s="417"/>
      <c r="U384" s="414"/>
      <c r="V384" s="414"/>
      <c r="W384" s="414"/>
      <c r="X384" s="414"/>
      <c r="Y384" s="417"/>
      <c r="Z384" s="414"/>
      <c r="AA384" s="414"/>
      <c r="AB384" s="414"/>
      <c r="AC384" s="414"/>
      <c r="AD384" s="422"/>
      <c r="AE384" s="414"/>
      <c r="AF384" s="414"/>
      <c r="AG384" s="414"/>
      <c r="AH384" s="280"/>
      <c r="AI384" s="320"/>
      <c r="AJ384" s="280"/>
      <c r="AK384" s="280"/>
      <c r="AL384" s="280"/>
      <c r="AM384" s="280"/>
      <c r="AN384" s="320"/>
      <c r="AO384" s="280"/>
      <c r="AP384" s="280"/>
      <c r="AQ384" s="280"/>
      <c r="AR384" s="280"/>
      <c r="AS384" s="320"/>
      <c r="AT384" s="315"/>
      <c r="AU384" s="508"/>
      <c r="AV384" s="143"/>
      <c r="AW384" s="143"/>
      <c r="AX384" s="143"/>
      <c r="AY384" s="143"/>
      <c r="AZ384" s="143"/>
      <c r="BA384" s="143"/>
      <c r="BB384" s="143"/>
      <c r="BC384" s="143"/>
      <c r="BD384" s="143"/>
      <c r="BE384" s="143"/>
      <c r="BF384" s="143"/>
      <c r="BG384" s="143"/>
      <c r="BH384" s="143"/>
      <c r="BI384" s="143"/>
      <c r="BJ384" s="143"/>
      <c r="BK384" s="143"/>
      <c r="BL384" s="143"/>
      <c r="BM384" s="143"/>
      <c r="BN384" s="143"/>
      <c r="BO384" s="143"/>
      <c r="BP384" s="143"/>
      <c r="BQ384" s="143"/>
      <c r="BR384" s="143"/>
      <c r="BS384" s="143"/>
      <c r="BT384" s="143"/>
      <c r="BU384" s="143"/>
      <c r="BV384" s="143"/>
      <c r="BW384" s="143"/>
      <c r="BX384" s="143"/>
      <c r="BY384" s="143"/>
      <c r="BZ384" s="143"/>
      <c r="CA384" s="143"/>
      <c r="CB384" s="143"/>
      <c r="CC384" s="143"/>
      <c r="CD384" s="143"/>
      <c r="CE384" s="143"/>
      <c r="CF384" s="143"/>
      <c r="CG384" s="143"/>
      <c r="CH384" s="143"/>
      <c r="CI384" s="143"/>
      <c r="CJ384" s="143"/>
      <c r="CK384" s="143"/>
      <c r="CL384" s="143"/>
      <c r="CM384" s="143"/>
      <c r="CN384" s="143"/>
      <c r="CO384" s="143"/>
      <c r="CP384" s="143"/>
      <c r="CQ384" s="143"/>
      <c r="CR384" s="143"/>
      <c r="CS384" s="143"/>
      <c r="CT384" s="143"/>
      <c r="CU384" s="143"/>
      <c r="CV384" s="143"/>
      <c r="CW384" s="143"/>
      <c r="CX384" s="143"/>
      <c r="CY384" s="143"/>
      <c r="CZ384" s="143"/>
      <c r="DA384" s="143"/>
      <c r="DB384" s="143"/>
      <c r="DC384" s="143"/>
      <c r="DD384" s="143"/>
      <c r="DE384" s="143"/>
      <c r="DF384" s="143"/>
      <c r="DG384" s="143"/>
      <c r="DH384" s="143"/>
      <c r="DI384" s="143"/>
      <c r="DJ384" s="143"/>
      <c r="DK384" s="143"/>
      <c r="DL384" s="143"/>
      <c r="DM384" s="143"/>
      <c r="DN384" s="143"/>
      <c r="DO384" s="143"/>
      <c r="DP384" s="143"/>
      <c r="DQ384" s="143"/>
      <c r="DR384" s="143"/>
      <c r="DS384" s="143"/>
      <c r="DT384" s="143"/>
      <c r="DU384" s="143"/>
      <c r="DV384" s="143"/>
      <c r="DW384" s="143"/>
      <c r="DX384" s="143"/>
      <c r="DY384" s="143"/>
      <c r="DZ384" s="143"/>
      <c r="EA384" s="143"/>
      <c r="EB384" s="143"/>
      <c r="EC384" s="143"/>
      <c r="ED384" s="143"/>
      <c r="EE384" s="143"/>
      <c r="EF384" s="143"/>
      <c r="EG384" s="143"/>
      <c r="EH384" s="143"/>
      <c r="EI384" s="143"/>
      <c r="EJ384" s="143"/>
      <c r="EK384" s="143"/>
      <c r="EL384" s="143"/>
      <c r="EM384" s="143"/>
      <c r="EN384" s="143"/>
      <c r="EO384" s="143"/>
      <c r="EP384" s="143"/>
      <c r="EQ384" s="143"/>
      <c r="ER384" s="143"/>
      <c r="ES384" s="143"/>
      <c r="ET384" s="143"/>
      <c r="EU384" s="143"/>
      <c r="EV384" s="143"/>
      <c r="EW384" s="143"/>
      <c r="EX384" s="143"/>
      <c r="EY384" s="143"/>
      <c r="EZ384" s="143"/>
      <c r="FA384" s="143"/>
      <c r="FB384" s="143"/>
      <c r="FC384" s="143"/>
      <c r="FD384" s="143"/>
      <c r="FE384" s="143"/>
      <c r="FF384" s="143"/>
      <c r="FG384" s="143"/>
      <c r="FH384" s="143"/>
      <c r="FI384" s="143"/>
      <c r="FJ384" s="143"/>
      <c r="FK384" s="143"/>
      <c r="FL384" s="143"/>
      <c r="FM384" s="143"/>
      <c r="FN384" s="143"/>
      <c r="FO384" s="143"/>
      <c r="FP384" s="143"/>
      <c r="FQ384" s="143"/>
      <c r="FR384" s="143"/>
      <c r="FS384" s="143"/>
      <c r="FT384" s="143"/>
      <c r="FU384" s="143"/>
      <c r="FV384" s="143"/>
      <c r="FW384" s="143"/>
      <c r="FX384" s="143"/>
      <c r="FY384" s="143"/>
      <c r="FZ384" s="143"/>
      <c r="GA384" s="143"/>
      <c r="GB384" s="143"/>
      <c r="GC384" s="143"/>
      <c r="GD384" s="143"/>
      <c r="GE384" s="143"/>
      <c r="GF384" s="143"/>
      <c r="GG384" s="143"/>
      <c r="GH384" s="143"/>
      <c r="GI384" s="143"/>
      <c r="GJ384" s="143"/>
      <c r="GK384" s="143"/>
      <c r="GL384" s="143"/>
      <c r="GM384" s="143"/>
      <c r="GN384" s="143"/>
      <c r="GO384" s="143"/>
      <c r="GP384" s="143"/>
      <c r="GQ384" s="143"/>
      <c r="GR384" s="143"/>
      <c r="GS384" s="143"/>
      <c r="GT384" s="143"/>
      <c r="GU384" s="143"/>
      <c r="GV384" s="143"/>
      <c r="GW384" s="143"/>
      <c r="GX384" s="143"/>
      <c r="GY384" s="143"/>
      <c r="GZ384" s="143"/>
      <c r="HA384" s="143"/>
      <c r="HB384" s="143"/>
      <c r="HC384" s="143"/>
      <c r="HD384" s="143"/>
      <c r="HE384" s="143"/>
      <c r="HF384" s="143"/>
      <c r="HG384" s="143"/>
      <c r="HH384" s="143"/>
      <c r="HI384" s="143"/>
      <c r="HJ384" s="143"/>
      <c r="HK384" s="143"/>
      <c r="HL384" s="143"/>
      <c r="HM384" s="143"/>
      <c r="HN384" s="143"/>
      <c r="HO384" s="143"/>
      <c r="HP384" s="143"/>
      <c r="HQ384" s="143"/>
      <c r="HR384" s="143"/>
      <c r="HS384" s="143"/>
      <c r="HT384" s="143"/>
      <c r="HU384" s="143"/>
      <c r="HV384" s="143"/>
      <c r="HW384" s="143"/>
      <c r="HX384" s="143"/>
      <c r="HY384" s="143"/>
      <c r="HZ384" s="143"/>
      <c r="IA384" s="143"/>
      <c r="IB384" s="143"/>
      <c r="IC384" s="143"/>
      <c r="ID384" s="143"/>
      <c r="IE384" s="143"/>
      <c r="IF384" s="143"/>
      <c r="IG384" s="143"/>
      <c r="IH384" s="143"/>
      <c r="II384" s="143"/>
      <c r="IJ384" s="143"/>
      <c r="IK384" s="143"/>
      <c r="IL384" s="143"/>
      <c r="IM384" s="143"/>
      <c r="IN384" s="143"/>
      <c r="IO384" s="143"/>
      <c r="IP384" s="143"/>
      <c r="IQ384" s="143"/>
      <c r="IR384" s="143"/>
      <c r="IS384" s="143"/>
      <c r="IT384" s="143"/>
      <c r="IU384" s="143"/>
      <c r="IV384" s="143"/>
      <c r="IW384" s="143"/>
      <c r="IX384" s="143"/>
      <c r="IY384" s="143"/>
      <c r="IZ384" s="143"/>
      <c r="JA384" s="143"/>
      <c r="JB384" s="143"/>
      <c r="JC384" s="143"/>
      <c r="JD384" s="143"/>
      <c r="JE384" s="143"/>
      <c r="JF384" s="143"/>
      <c r="JG384" s="143"/>
      <c r="JH384" s="143"/>
      <c r="JI384" s="143"/>
    </row>
    <row r="385" spans="1:269" hidden="1" outlineLevel="1">
      <c r="A385" s="83" t="s">
        <v>258</v>
      </c>
      <c r="B385" s="143" t="s">
        <v>259</v>
      </c>
      <c r="C385" s="74" t="e">
        <f>SUM(#REF!)</f>
        <v>#REF!</v>
      </c>
      <c r="D385" s="74" t="e">
        <f>SUM(#REF!)</f>
        <v>#REF!</v>
      </c>
      <c r="E385" s="74" t="e">
        <f>SUM(#REF!)</f>
        <v>#REF!</v>
      </c>
      <c r="F385" s="445" t="e">
        <f>_xll.BQL.QUERY("get(sum(px_last(start=" &amp; TEXT(#REF!, "YYYY-MM-DD") &amp; ", end=" &amp; TEXT(F$5, "YYYY-MM-DD") &amp; "))) for('"&amp;$B385&amp;"')")</f>
        <v>#REF!</v>
      </c>
      <c r="G385" s="445">
        <f>_xll.BQL.QUERY("get(sum(px_last(start=" &amp; TEXT(F$5, "YYYY-MM-DD") &amp; ", end=" &amp; TEXT(G$5, "YYYY-MM-DD") &amp; "))) for('"&amp;$B385&amp;"')")</f>
        <v>4824400</v>
      </c>
      <c r="H385" s="445">
        <f>_xll.BQL.QUERY("get(sum(px_last(start=" &amp; TEXT(G$5, "YYYY-MM-DD") &amp; ", end=" &amp; TEXT(H$5, "YYYY-MM-DD") &amp; "))) for('"&amp;$B385&amp;"')")</f>
        <v>5537550</v>
      </c>
      <c r="I385" s="445">
        <f>_xll.BQL.QUERY("get(sum(px_last(start=" &amp; TEXT(H$5, "YYYY-MM-DD") &amp; ", end=" &amp; TEXT(I$5, "YYYY-MM-DD") &amp; "))) for('"&amp;$B385&amp;"')")</f>
        <v>5590390</v>
      </c>
      <c r="J385" s="74" t="e">
        <f>SUM(#REF!)</f>
        <v>#REF!</v>
      </c>
      <c r="K385" s="445" t="e">
        <f>_xll.BQL.QUERY("get(sum(px_last(start=" &amp; TEXT(#REF!, "YYYY-MM-DD") &amp; ", end=" &amp; TEXT(K$5, "YYYY-MM-DD") &amp; "))) for('"&amp;$B385&amp;"')")</f>
        <v>#REF!</v>
      </c>
      <c r="L385" s="445">
        <f>_xll.BQL.QUERY("get(sum(px_last(start=" &amp; TEXT(K$5, "YYYY-MM-DD") &amp; ", end=" &amp; TEXT(L$5, "YYYY-MM-DD") &amp; "))) for('"&amp;$B385&amp;"')")</f>
        <v>987360</v>
      </c>
      <c r="M385" s="445">
        <f>_xll.BQL.QUERY("get(sum(px_last(start=" &amp; TEXT(L$5, "YYYY-MM-DD") &amp; ", end=" &amp; TEXT(M$5, "YYYY-MM-DD") &amp; "))) for('"&amp;$B385&amp;"')")</f>
        <v>73520</v>
      </c>
      <c r="N385" s="445">
        <f>_xll.BQL.QUERY("get(sum(px_last(start=" &amp; TEXT(M$5, "YYYY-MM-DD") &amp; ", end=" &amp; TEXT(N$5, "YYYY-MM-DD") &amp; "))) for('"&amp;$B385&amp;"')")</f>
        <v>103910</v>
      </c>
      <c r="O385" s="74" t="e">
        <f>SUM(K385:N385)</f>
        <v>#REF!</v>
      </c>
      <c r="P385" s="445">
        <f>_xll.BQL.QUERY("get(sum(px_last(start=" &amp; TEXT(O$5, "YYYY-MM-DD") &amp; ", end=" &amp; TEXT(P$5, "YYYY-MM-DD") &amp; "))) for('"&amp;$B385&amp;"')")</f>
        <v>123030</v>
      </c>
      <c r="Q385" s="445">
        <f>_xll.BQL.QUERY("get(sum(px_last(start=" &amp; TEXT(P$5, "YYYY-MM-DD") &amp; ", end=" &amp; TEXT(Q$5, "YYYY-MM-DD") &amp; "))) for('"&amp;$B385&amp;"')")</f>
        <v>302900</v>
      </c>
      <c r="R385" s="445">
        <f>_xll.BQL.QUERY("get(sum(px_last(start=" &amp; TEXT(Q$5, "YYYY-MM-DD") &amp; ", end=" &amp; TEXT(R$5, "YYYY-MM-DD") &amp; "))) for('"&amp;$B385&amp;"')")</f>
        <v>223210</v>
      </c>
      <c r="S385" s="445">
        <f>_xll.BQL.QUERY("get(sum(px_last(start=" &amp; TEXT(R$5, "YYYY-MM-DD") &amp; ", end=" &amp; TEXT(S$5, "YYYY-MM-DD") &amp; "))) for('"&amp;$B385&amp;"')")</f>
        <v>303910</v>
      </c>
      <c r="T385" s="74">
        <f>SUM(P385:S385)</f>
        <v>953050</v>
      </c>
      <c r="U385" s="445">
        <f>_xll.BQL.QUERY("get(sum(px_last(start=" &amp; TEXT(T$5, "YYYY-MM-DD") &amp; ", end=" &amp; TEXT(U$5, "YYYY-MM-DD") &amp; "))) for('"&amp;$B385&amp;"')")</f>
        <v>1107340</v>
      </c>
      <c r="V385" s="445">
        <f>_xll.BQL.QUERY("get(sum(px_last(start=" &amp; TEXT(U$5, "YYYY-MM-DD") &amp; ", end=" &amp; TEXT(V$5, "YYYY-MM-DD") &amp; "))) for('"&amp;$B385&amp;"')")</f>
        <v>2329480</v>
      </c>
      <c r="W385" s="445">
        <f>_xll.BQL.QUERY("get(sum(px_last(start=" &amp; TEXT(V$5, "YYYY-MM-DD") &amp; ", end=" &amp; TEXT(W$5, "YYYY-MM-DD") &amp; "))) for('"&amp;$B385&amp;"')")</f>
        <v>3911230</v>
      </c>
      <c r="X385" s="445">
        <f>_xll.BQL.QUERY("get(sum(px_last(start=" &amp; TEXT(W$5, "YYYY-MM-DD") &amp; ", end=" &amp; TEXT(X$5, "YYYY-MM-DD") &amp; "))) for('"&amp;$B385&amp;"')")</f>
        <v>4734840</v>
      </c>
      <c r="Y385" s="74">
        <f>SUM(U385:X385)</f>
        <v>12082890</v>
      </c>
      <c r="Z385" s="445">
        <f>_xll.BQL.QUERY("get(sum(px_last(start=" &amp; TEXT(Y$5, "YYYY-MM-DD") &amp; ", end=" &amp; TEXT(Z$5, "YYYY-MM-DD") &amp; "))) for('"&amp;$B385&amp;"')")</f>
        <v>5588660</v>
      </c>
      <c r="AA385" s="445">
        <f>_xll.BQL.QUERY("get(sum(px_last(start=" &amp; TEXT(Z$5, "YYYY-MM-DD") &amp; ", end=" &amp; TEXT(AA$5, "YYYY-MM-DD") &amp; "))) for('"&amp;$B385&amp;"')")</f>
        <v>5369440</v>
      </c>
      <c r="AB385" s="445">
        <f>_xll.BQL.QUERY("get(sum(px_last(start=" &amp; TEXT(AA$5, "YYYY-MM-DD") &amp; ", end=" &amp; TEXT(AB$5, "YYYY-MM-DD") &amp; "))) for('"&amp;$B385&amp;"')")</f>
        <v>6248490</v>
      </c>
      <c r="AC385" s="445">
        <f>_xll.BQL.QUERY("get(sum(px_last(start=" &amp; TEXT(AB$5, "YYYY-MM-DD") &amp; ", end=" &amp; TEXT(AC$5, "YYYY-MM-DD") &amp; "))) for('"&amp;$B385&amp;"')")</f>
        <v>1602720</v>
      </c>
      <c r="AD385" s="283">
        <f>SUM(Z385:AC385)</f>
        <v>18809310</v>
      </c>
      <c r="AE385" s="445" t="str">
        <f>_xll.BQL.QUERY("get(sum(px_last(start=" &amp; TEXT(AD$5, "YYYY-MM-DD") &amp; ", end=" &amp; TEXT(AE$5, "YYYY-MM-DD") &amp; "))) for('"&amp;$B385&amp;"')")</f>
        <v>#N/A</v>
      </c>
      <c r="AF385" s="445" t="str">
        <f>_xll.BQL.QUERY("get(sum(px_last(start=" &amp; TEXT(AE$5, "YYYY-MM-DD") &amp; ", end=" &amp; TEXT(AF$5, "YYYY-MM-DD") &amp; "))) for('"&amp;$B385&amp;"')")</f>
        <v>#N/A</v>
      </c>
      <c r="AG385" s="445"/>
      <c r="AH385" s="280"/>
      <c r="AI385" s="320"/>
      <c r="AJ385" s="280"/>
      <c r="AK385" s="280"/>
      <c r="AL385" s="280"/>
      <c r="AM385" s="280"/>
      <c r="AN385" s="320"/>
      <c r="AO385" s="280"/>
      <c r="AP385" s="280"/>
      <c r="AQ385" s="280"/>
      <c r="AR385" s="280"/>
      <c r="AS385" s="320"/>
      <c r="AT385" s="315"/>
      <c r="AU385" s="508"/>
      <c r="AV385" s="143"/>
      <c r="AW385" s="143"/>
      <c r="AX385" s="143"/>
      <c r="AY385" s="143"/>
      <c r="AZ385" s="143"/>
      <c r="BA385" s="143"/>
      <c r="BB385" s="143"/>
      <c r="BC385" s="143"/>
      <c r="BD385" s="143"/>
      <c r="BE385" s="143"/>
      <c r="BF385" s="143"/>
      <c r="BG385" s="143"/>
      <c r="BH385" s="143"/>
      <c r="BI385" s="143"/>
      <c r="BJ385" s="143"/>
      <c r="BK385" s="143"/>
      <c r="BL385" s="143"/>
      <c r="BM385" s="143"/>
      <c r="BN385" s="143"/>
      <c r="BO385" s="143"/>
      <c r="BP385" s="143"/>
      <c r="BQ385" s="143"/>
      <c r="BR385" s="143"/>
      <c r="BS385" s="143"/>
      <c r="BT385" s="143"/>
      <c r="BU385" s="143"/>
      <c r="BV385" s="143"/>
      <c r="BW385" s="143"/>
      <c r="BX385" s="143"/>
      <c r="BY385" s="143"/>
      <c r="BZ385" s="143"/>
      <c r="CA385" s="143"/>
      <c r="CB385" s="143"/>
      <c r="CC385" s="143"/>
      <c r="CD385" s="143"/>
      <c r="CE385" s="143"/>
      <c r="CF385" s="143"/>
      <c r="CG385" s="143"/>
      <c r="CH385" s="143"/>
      <c r="CI385" s="143"/>
      <c r="CJ385" s="143"/>
      <c r="CK385" s="143"/>
      <c r="CL385" s="143"/>
      <c r="CM385" s="143"/>
      <c r="CN385" s="143"/>
      <c r="CO385" s="143"/>
      <c r="CP385" s="143"/>
      <c r="CQ385" s="143"/>
      <c r="CR385" s="143"/>
      <c r="CS385" s="143"/>
      <c r="CT385" s="143"/>
      <c r="CU385" s="143"/>
      <c r="CV385" s="143"/>
      <c r="CW385" s="143"/>
      <c r="CX385" s="143"/>
      <c r="CY385" s="143"/>
      <c r="CZ385" s="143"/>
      <c r="DA385" s="143"/>
      <c r="DB385" s="143"/>
      <c r="DC385" s="143"/>
      <c r="DD385" s="143"/>
      <c r="DE385" s="143"/>
      <c r="DF385" s="143"/>
      <c r="DG385" s="143"/>
      <c r="DH385" s="143"/>
      <c r="DI385" s="143"/>
      <c r="DJ385" s="143"/>
      <c r="DK385" s="143"/>
      <c r="DL385" s="143"/>
      <c r="DM385" s="143"/>
      <c r="DN385" s="143"/>
      <c r="DO385" s="143"/>
      <c r="DP385" s="143"/>
      <c r="DQ385" s="143"/>
      <c r="DR385" s="143"/>
      <c r="DS385" s="143"/>
      <c r="DT385" s="143"/>
      <c r="DU385" s="143"/>
      <c r="DV385" s="143"/>
      <c r="DW385" s="143"/>
      <c r="DX385" s="143"/>
      <c r="DY385" s="143"/>
      <c r="DZ385" s="143"/>
      <c r="EA385" s="143"/>
      <c r="EB385" s="143"/>
      <c r="EC385" s="143"/>
      <c r="ED385" s="143"/>
      <c r="EE385" s="143"/>
      <c r="EF385" s="143"/>
      <c r="EG385" s="143"/>
      <c r="EH385" s="143"/>
      <c r="EI385" s="143"/>
      <c r="EJ385" s="143"/>
      <c r="EK385" s="143"/>
      <c r="EL385" s="143"/>
      <c r="EM385" s="143"/>
      <c r="EN385" s="143"/>
      <c r="EO385" s="143"/>
      <c r="EP385" s="143"/>
      <c r="EQ385" s="143"/>
      <c r="ER385" s="143"/>
      <c r="ES385" s="143"/>
      <c r="ET385" s="143"/>
      <c r="EU385" s="143"/>
      <c r="EV385" s="143"/>
      <c r="EW385" s="143"/>
      <c r="EX385" s="143"/>
      <c r="EY385" s="143"/>
      <c r="EZ385" s="143"/>
      <c r="FA385" s="143"/>
      <c r="FB385" s="143"/>
      <c r="FC385" s="143"/>
      <c r="FD385" s="143"/>
      <c r="FE385" s="143"/>
      <c r="FF385" s="143"/>
      <c r="FG385" s="143"/>
      <c r="FH385" s="143"/>
      <c r="FI385" s="143"/>
      <c r="FJ385" s="143"/>
      <c r="FK385" s="143"/>
      <c r="FL385" s="143"/>
      <c r="FM385" s="143"/>
      <c r="FN385" s="143"/>
      <c r="FO385" s="143"/>
      <c r="FP385" s="143"/>
      <c r="FQ385" s="143"/>
      <c r="FR385" s="143"/>
      <c r="FS385" s="143"/>
      <c r="FT385" s="143"/>
      <c r="FU385" s="143"/>
      <c r="FV385" s="143"/>
      <c r="FW385" s="143"/>
      <c r="FX385" s="143"/>
      <c r="FY385" s="143"/>
      <c r="FZ385" s="143"/>
      <c r="GA385" s="143"/>
      <c r="GB385" s="143"/>
      <c r="GC385" s="143"/>
      <c r="GD385" s="143"/>
      <c r="GE385" s="143"/>
      <c r="GF385" s="143"/>
      <c r="GG385" s="143"/>
      <c r="GH385" s="143"/>
      <c r="GI385" s="143"/>
      <c r="GJ385" s="143"/>
      <c r="GK385" s="143"/>
      <c r="GL385" s="143"/>
      <c r="GM385" s="143"/>
      <c r="GN385" s="143"/>
      <c r="GO385" s="143"/>
      <c r="GP385" s="143"/>
      <c r="GQ385" s="143"/>
      <c r="GR385" s="143"/>
      <c r="GS385" s="143"/>
      <c r="GT385" s="143"/>
      <c r="GU385" s="143"/>
      <c r="GV385" s="143"/>
      <c r="GW385" s="143"/>
      <c r="GX385" s="143"/>
      <c r="GY385" s="143"/>
      <c r="GZ385" s="143"/>
      <c r="HA385" s="143"/>
      <c r="HB385" s="143"/>
      <c r="HC385" s="143"/>
      <c r="HD385" s="143"/>
      <c r="HE385" s="143"/>
      <c r="HF385" s="143"/>
      <c r="HG385" s="143"/>
      <c r="HH385" s="143"/>
      <c r="HI385" s="143"/>
      <c r="HJ385" s="143"/>
      <c r="HK385" s="143"/>
      <c r="HL385" s="143"/>
      <c r="HM385" s="143"/>
      <c r="HN385" s="143"/>
      <c r="HO385" s="143"/>
      <c r="HP385" s="143"/>
      <c r="HQ385" s="143"/>
      <c r="HR385" s="143"/>
      <c r="HS385" s="143"/>
      <c r="HT385" s="143"/>
      <c r="HU385" s="143"/>
      <c r="HV385" s="143"/>
      <c r="HW385" s="143"/>
      <c r="HX385" s="143"/>
      <c r="HY385" s="143"/>
      <c r="HZ385" s="143"/>
      <c r="IA385" s="143"/>
      <c r="IB385" s="143"/>
      <c r="IC385" s="143"/>
      <c r="ID385" s="143"/>
      <c r="IE385" s="143"/>
      <c r="IF385" s="143"/>
      <c r="IG385" s="143"/>
      <c r="IH385" s="143"/>
      <c r="II385" s="143"/>
      <c r="IJ385" s="143"/>
      <c r="IK385" s="143"/>
      <c r="IL385" s="143"/>
      <c r="IM385" s="143"/>
      <c r="IN385" s="143"/>
      <c r="IO385" s="143"/>
      <c r="IP385" s="143"/>
      <c r="IQ385" s="143"/>
      <c r="IR385" s="143"/>
      <c r="IS385" s="143"/>
      <c r="IT385" s="143"/>
      <c r="IU385" s="143"/>
      <c r="IV385" s="143"/>
      <c r="IW385" s="143"/>
      <c r="IX385" s="143"/>
      <c r="IY385" s="143"/>
      <c r="IZ385" s="143"/>
      <c r="JA385" s="143"/>
      <c r="JB385" s="143"/>
      <c r="JC385" s="143"/>
      <c r="JD385" s="143"/>
      <c r="JE385" s="143"/>
      <c r="JF385" s="143"/>
      <c r="JG385" s="143"/>
      <c r="JH385" s="143"/>
      <c r="JI385" s="143"/>
    </row>
    <row r="386" spans="1:269" hidden="1" outlineLevel="1">
      <c r="A386" s="437" t="s">
        <v>208</v>
      </c>
      <c r="B386" s="143"/>
      <c r="C386" s="417" t="e">
        <f>C385/#REF!-1</f>
        <v>#REF!</v>
      </c>
      <c r="D386" s="417" t="e">
        <f>D385/#REF!-1</f>
        <v>#REF!</v>
      </c>
      <c r="E386" s="417" t="e">
        <f>E385/#REF!-1</f>
        <v>#REF!</v>
      </c>
      <c r="F386" s="414" t="e">
        <f>F385/#REF!-1</f>
        <v>#REF!</v>
      </c>
      <c r="G386" s="414" t="e">
        <f>G385/#REF!-1</f>
        <v>#REF!</v>
      </c>
      <c r="H386" s="414" t="e">
        <f>H385/#REF!-1</f>
        <v>#REF!</v>
      </c>
      <c r="I386" s="414" t="e">
        <f>I385/#REF!-1</f>
        <v>#REF!</v>
      </c>
      <c r="J386" s="417" t="e">
        <f>J385/#REF!-1</f>
        <v>#REF!</v>
      </c>
      <c r="K386" s="414" t="e">
        <f>K385/#REF!-1</f>
        <v>#REF!</v>
      </c>
      <c r="L386" s="414" t="e">
        <f>L385/#REF!-1</f>
        <v>#REF!</v>
      </c>
      <c r="M386" s="414" t="e">
        <f>M385/#REF!-1</f>
        <v>#REF!</v>
      </c>
      <c r="N386" s="414" t="e">
        <f>N385/#REF!-1</f>
        <v>#REF!</v>
      </c>
      <c r="O386" s="417" t="e">
        <f>O385/#REF!-1</f>
        <v>#REF!</v>
      </c>
      <c r="P386" s="414" t="e">
        <f t="shared" ref="P386" si="803">P385/K385-1</f>
        <v>#REF!</v>
      </c>
      <c r="Q386" s="414">
        <f t="shared" ref="Q386" si="804">Q385/L385-1</f>
        <v>-0.69322233025441582</v>
      </c>
      <c r="R386" s="414">
        <f t="shared" ref="R386" si="805">R385/M385-1</f>
        <v>2.0360446137105548</v>
      </c>
      <c r="S386" s="414">
        <f t="shared" ref="S386" si="806">S385/N385-1</f>
        <v>1.9247425656818402</v>
      </c>
      <c r="T386" s="417" t="e">
        <f t="shared" ref="T386" si="807">T385/O385-1</f>
        <v>#REF!</v>
      </c>
      <c r="U386" s="414">
        <f t="shared" ref="U386" si="808">U385/P385-1</f>
        <v>8.0005689669186371</v>
      </c>
      <c r="V386" s="414">
        <f t="shared" ref="V386" si="809">V385/Q385-1</f>
        <v>6.6905909541102675</v>
      </c>
      <c r="W386" s="414">
        <f t="shared" ref="W386" si="810">W385/R385-1</f>
        <v>16.522646834819227</v>
      </c>
      <c r="X386" s="414">
        <f t="shared" ref="X386" si="811">X385/S385-1</f>
        <v>14.579744003158829</v>
      </c>
      <c r="Y386" s="417">
        <f t="shared" ref="Y386" si="812">Y385/T385-1</f>
        <v>11.678128114999213</v>
      </c>
      <c r="Z386" s="414">
        <f t="shared" ref="Z386" si="813">Z385/U385-1</f>
        <v>4.0469232575360774</v>
      </c>
      <c r="AA386" s="414">
        <f t="shared" ref="AA386" si="814">AA385/V385-1</f>
        <v>1.3049951062039598</v>
      </c>
      <c r="AB386" s="414">
        <f t="shared" ref="AB386" si="815">AB385/W385-1</f>
        <v>0.59757672138943496</v>
      </c>
      <c r="AC386" s="414">
        <f t="shared" ref="AC386" si="816">AC385/X385-1</f>
        <v>-0.66150492941683359</v>
      </c>
      <c r="AD386" s="422">
        <f t="shared" ref="AD386" si="817">AD385/Y385-1</f>
        <v>0.55668966613119863</v>
      </c>
      <c r="AE386" s="414" t="e">
        <f t="shared" ref="AE386" si="818">AE385/Z385-1</f>
        <v>#VALUE!</v>
      </c>
      <c r="AF386" s="414" t="e">
        <f t="shared" ref="AF386" si="819">AF385/AA385-1</f>
        <v>#VALUE!</v>
      </c>
      <c r="AG386" s="414"/>
      <c r="AH386" s="280"/>
      <c r="AI386" s="320"/>
      <c r="AJ386" s="280"/>
      <c r="AK386" s="280"/>
      <c r="AL386" s="280"/>
      <c r="AM386" s="280"/>
      <c r="AN386" s="320"/>
      <c r="AO386" s="280"/>
      <c r="AP386" s="280"/>
      <c r="AQ386" s="280"/>
      <c r="AR386" s="280"/>
      <c r="AS386" s="320"/>
      <c r="AT386" s="315"/>
      <c r="AU386" s="508"/>
      <c r="AV386" s="143"/>
      <c r="AW386" s="143"/>
      <c r="AX386" s="143"/>
      <c r="AY386" s="143"/>
      <c r="AZ386" s="143"/>
      <c r="BA386" s="143"/>
      <c r="BB386" s="143"/>
      <c r="BC386" s="143"/>
      <c r="BD386" s="143"/>
      <c r="BE386" s="143"/>
      <c r="BF386" s="143"/>
      <c r="BG386" s="143"/>
      <c r="BH386" s="143"/>
      <c r="BI386" s="143"/>
      <c r="BJ386" s="143"/>
      <c r="BK386" s="143"/>
      <c r="BL386" s="143"/>
      <c r="BM386" s="143"/>
      <c r="BN386" s="143"/>
      <c r="BO386" s="143"/>
      <c r="BP386" s="143"/>
      <c r="BQ386" s="143"/>
      <c r="BR386" s="143"/>
      <c r="BS386" s="143"/>
      <c r="BT386" s="143"/>
      <c r="BU386" s="143"/>
      <c r="BV386" s="143"/>
      <c r="BW386" s="143"/>
      <c r="BX386" s="143"/>
      <c r="BY386" s="143"/>
      <c r="BZ386" s="143"/>
      <c r="CA386" s="143"/>
      <c r="CB386" s="143"/>
      <c r="CC386" s="143"/>
      <c r="CD386" s="143"/>
      <c r="CE386" s="143"/>
      <c r="CF386" s="143"/>
      <c r="CG386" s="143"/>
      <c r="CH386" s="143"/>
      <c r="CI386" s="143"/>
      <c r="CJ386" s="143"/>
      <c r="CK386" s="143"/>
      <c r="CL386" s="143"/>
      <c r="CM386" s="143"/>
      <c r="CN386" s="143"/>
      <c r="CO386" s="143"/>
      <c r="CP386" s="143"/>
      <c r="CQ386" s="143"/>
      <c r="CR386" s="143"/>
      <c r="CS386" s="143"/>
      <c r="CT386" s="143"/>
      <c r="CU386" s="143"/>
      <c r="CV386" s="143"/>
      <c r="CW386" s="143"/>
      <c r="CX386" s="143"/>
      <c r="CY386" s="143"/>
      <c r="CZ386" s="143"/>
      <c r="DA386" s="143"/>
      <c r="DB386" s="143"/>
      <c r="DC386" s="143"/>
      <c r="DD386" s="143"/>
      <c r="DE386" s="143"/>
      <c r="DF386" s="143"/>
      <c r="DG386" s="143"/>
      <c r="DH386" s="143"/>
      <c r="DI386" s="143"/>
      <c r="DJ386" s="143"/>
      <c r="DK386" s="143"/>
      <c r="DL386" s="143"/>
      <c r="DM386" s="143"/>
      <c r="DN386" s="143"/>
      <c r="DO386" s="143"/>
      <c r="DP386" s="143"/>
      <c r="DQ386" s="143"/>
      <c r="DR386" s="143"/>
      <c r="DS386" s="143"/>
      <c r="DT386" s="143"/>
      <c r="DU386" s="143"/>
      <c r="DV386" s="143"/>
      <c r="DW386" s="143"/>
      <c r="DX386" s="143"/>
      <c r="DY386" s="143"/>
      <c r="DZ386" s="143"/>
      <c r="EA386" s="143"/>
      <c r="EB386" s="143"/>
      <c r="EC386" s="143"/>
      <c r="ED386" s="143"/>
      <c r="EE386" s="143"/>
      <c r="EF386" s="143"/>
      <c r="EG386" s="143"/>
      <c r="EH386" s="143"/>
      <c r="EI386" s="143"/>
      <c r="EJ386" s="143"/>
      <c r="EK386" s="143"/>
      <c r="EL386" s="143"/>
      <c r="EM386" s="143"/>
      <c r="EN386" s="143"/>
      <c r="EO386" s="143"/>
      <c r="EP386" s="143"/>
      <c r="EQ386" s="143"/>
      <c r="ER386" s="143"/>
      <c r="ES386" s="143"/>
      <c r="ET386" s="143"/>
      <c r="EU386" s="143"/>
      <c r="EV386" s="143"/>
      <c r="EW386" s="143"/>
      <c r="EX386" s="143"/>
      <c r="EY386" s="143"/>
      <c r="EZ386" s="143"/>
      <c r="FA386" s="143"/>
      <c r="FB386" s="143"/>
      <c r="FC386" s="143"/>
      <c r="FD386" s="143"/>
      <c r="FE386" s="143"/>
      <c r="FF386" s="143"/>
      <c r="FG386" s="143"/>
      <c r="FH386" s="143"/>
      <c r="FI386" s="143"/>
      <c r="FJ386" s="143"/>
      <c r="FK386" s="143"/>
      <c r="FL386" s="143"/>
      <c r="FM386" s="143"/>
      <c r="FN386" s="143"/>
      <c r="FO386" s="143"/>
      <c r="FP386" s="143"/>
      <c r="FQ386" s="143"/>
      <c r="FR386" s="143"/>
      <c r="FS386" s="143"/>
      <c r="FT386" s="143"/>
      <c r="FU386" s="143"/>
      <c r="FV386" s="143"/>
      <c r="FW386" s="143"/>
      <c r="FX386" s="143"/>
      <c r="FY386" s="143"/>
      <c r="FZ386" s="143"/>
      <c r="GA386" s="143"/>
      <c r="GB386" s="143"/>
      <c r="GC386" s="143"/>
      <c r="GD386" s="143"/>
      <c r="GE386" s="143"/>
      <c r="GF386" s="143"/>
      <c r="GG386" s="143"/>
      <c r="GH386" s="143"/>
      <c r="GI386" s="143"/>
      <c r="GJ386" s="143"/>
      <c r="GK386" s="143"/>
      <c r="GL386" s="143"/>
      <c r="GM386" s="143"/>
      <c r="GN386" s="143"/>
      <c r="GO386" s="143"/>
      <c r="GP386" s="143"/>
      <c r="GQ386" s="143"/>
      <c r="GR386" s="143"/>
      <c r="GS386" s="143"/>
      <c r="GT386" s="143"/>
      <c r="GU386" s="143"/>
      <c r="GV386" s="143"/>
      <c r="GW386" s="143"/>
      <c r="GX386" s="143"/>
      <c r="GY386" s="143"/>
      <c r="GZ386" s="143"/>
      <c r="HA386" s="143"/>
      <c r="HB386" s="143"/>
      <c r="HC386" s="143"/>
      <c r="HD386" s="143"/>
      <c r="HE386" s="143"/>
      <c r="HF386" s="143"/>
      <c r="HG386" s="143"/>
      <c r="HH386" s="143"/>
      <c r="HI386" s="143"/>
      <c r="HJ386" s="143"/>
      <c r="HK386" s="143"/>
      <c r="HL386" s="143"/>
      <c r="HM386" s="143"/>
      <c r="HN386" s="143"/>
      <c r="HO386" s="143"/>
      <c r="HP386" s="143"/>
      <c r="HQ386" s="143"/>
      <c r="HR386" s="143"/>
      <c r="HS386" s="143"/>
      <c r="HT386" s="143"/>
      <c r="HU386" s="143"/>
      <c r="HV386" s="143"/>
      <c r="HW386" s="143"/>
      <c r="HX386" s="143"/>
      <c r="HY386" s="143"/>
      <c r="HZ386" s="143"/>
      <c r="IA386" s="143"/>
      <c r="IB386" s="143"/>
      <c r="IC386" s="143"/>
      <c r="ID386" s="143"/>
      <c r="IE386" s="143"/>
      <c r="IF386" s="143"/>
      <c r="IG386" s="143"/>
      <c r="IH386" s="143"/>
      <c r="II386" s="143"/>
      <c r="IJ386" s="143"/>
      <c r="IK386" s="143"/>
      <c r="IL386" s="143"/>
      <c r="IM386" s="143"/>
      <c r="IN386" s="143"/>
      <c r="IO386" s="143"/>
      <c r="IP386" s="143"/>
      <c r="IQ386" s="143"/>
      <c r="IR386" s="143"/>
      <c r="IS386" s="143"/>
      <c r="IT386" s="143"/>
      <c r="IU386" s="143"/>
      <c r="IV386" s="143"/>
      <c r="IW386" s="143"/>
      <c r="IX386" s="143"/>
      <c r="IY386" s="143"/>
      <c r="IZ386" s="143"/>
      <c r="JA386" s="143"/>
      <c r="JB386" s="143"/>
      <c r="JC386" s="143"/>
      <c r="JD386" s="143"/>
      <c r="JE386" s="143"/>
      <c r="JF386" s="143"/>
      <c r="JG386" s="143"/>
      <c r="JH386" s="143"/>
      <c r="JI386" s="143"/>
    </row>
    <row r="387" spans="1:269" hidden="1" outlineLevel="1">
      <c r="A387" s="437" t="s">
        <v>207</v>
      </c>
      <c r="B387" s="143"/>
      <c r="C387" s="417" t="e">
        <f>C385/#REF!-1</f>
        <v>#REF!</v>
      </c>
      <c r="D387" s="417" t="e">
        <f>D385/#REF!-1</f>
        <v>#REF!</v>
      </c>
      <c r="E387" s="417" t="e">
        <f>E385/#REF!-1</f>
        <v>#REF!</v>
      </c>
      <c r="F387" s="414" t="e">
        <f>F385/#REF!-1</f>
        <v>#REF!</v>
      </c>
      <c r="G387" s="414" t="e">
        <f>G385/#REF!-1</f>
        <v>#REF!</v>
      </c>
      <c r="H387" s="414" t="e">
        <f>H385/#REF!-1</f>
        <v>#REF!</v>
      </c>
      <c r="I387" s="414" t="e">
        <f>I385/#REF!-1</f>
        <v>#REF!</v>
      </c>
      <c r="J387" s="417" t="e">
        <f>J385/#REF!-1</f>
        <v>#REF!</v>
      </c>
      <c r="K387" s="414" t="e">
        <f>K385/#REF!-1</f>
        <v>#REF!</v>
      </c>
      <c r="L387" s="414" t="e">
        <f>L385/#REF!-1</f>
        <v>#REF!</v>
      </c>
      <c r="M387" s="414" t="e">
        <f>M385/#REF!-1</f>
        <v>#REF!</v>
      </c>
      <c r="N387" s="414" t="e">
        <f>N385/#REF!-1</f>
        <v>#REF!</v>
      </c>
      <c r="O387" s="417" t="e">
        <f>O385/#REF!-1</f>
        <v>#REF!</v>
      </c>
      <c r="P387" s="414" t="e">
        <f>P385/#REF!-1</f>
        <v>#REF!</v>
      </c>
      <c r="Q387" s="414" t="e">
        <f>Q385/#REF!-1</f>
        <v>#REF!</v>
      </c>
      <c r="R387" s="414" t="e">
        <f>R385/#REF!-1</f>
        <v>#REF!</v>
      </c>
      <c r="S387" s="414" t="e">
        <f>S385/#REF!-1</f>
        <v>#REF!</v>
      </c>
      <c r="T387" s="417" t="e">
        <f>T385/#REF!-1</f>
        <v>#REF!</v>
      </c>
      <c r="U387" s="414" t="e">
        <f>U385/#REF!-1</f>
        <v>#REF!</v>
      </c>
      <c r="V387" s="414" t="e">
        <f>V385/#REF!-1</f>
        <v>#REF!</v>
      </c>
      <c r="W387" s="414" t="e">
        <f>W385/#REF!-1</f>
        <v>#REF!</v>
      </c>
      <c r="X387" s="414" t="e">
        <f>X385/#REF!-1</f>
        <v>#REF!</v>
      </c>
      <c r="Y387" s="417" t="e">
        <f>Y385/#REF!-1</f>
        <v>#REF!</v>
      </c>
      <c r="Z387" s="414" t="e">
        <f>Z385/#REF!-1</f>
        <v>#REF!</v>
      </c>
      <c r="AA387" s="414" t="e">
        <f>AA385/#REF!-1</f>
        <v>#REF!</v>
      </c>
      <c r="AB387" s="414" t="e">
        <f>AB385/#REF!-1</f>
        <v>#REF!</v>
      </c>
      <c r="AC387" s="414" t="e">
        <f>AC385/#REF!-1</f>
        <v>#REF!</v>
      </c>
      <c r="AD387" s="422" t="e">
        <f>AD385/#REF!-1</f>
        <v>#REF!</v>
      </c>
      <c r="AE387" s="414" t="e">
        <f>AE385/#REF!-1</f>
        <v>#VALUE!</v>
      </c>
      <c r="AF387" s="414" t="e">
        <f>AF385/#REF!-1</f>
        <v>#VALUE!</v>
      </c>
      <c r="AG387" s="414"/>
      <c r="AH387" s="280"/>
      <c r="AI387" s="320"/>
      <c r="AJ387" s="280"/>
      <c r="AK387" s="280"/>
      <c r="AL387" s="280"/>
      <c r="AM387" s="280"/>
      <c r="AN387" s="320"/>
      <c r="AO387" s="280"/>
      <c r="AP387" s="280"/>
      <c r="AQ387" s="280"/>
      <c r="AR387" s="280"/>
      <c r="AS387" s="320"/>
      <c r="AT387" s="315"/>
      <c r="AU387" s="508"/>
      <c r="AV387" s="143"/>
      <c r="AW387" s="143"/>
      <c r="AX387" s="143"/>
      <c r="AY387" s="143"/>
      <c r="AZ387" s="143"/>
      <c r="BA387" s="143"/>
      <c r="BB387" s="143"/>
      <c r="BC387" s="143"/>
      <c r="BD387" s="143"/>
      <c r="BE387" s="143"/>
      <c r="BF387" s="143"/>
      <c r="BG387" s="143"/>
      <c r="BH387" s="143"/>
      <c r="BI387" s="143"/>
      <c r="BJ387" s="143"/>
      <c r="BK387" s="143"/>
      <c r="BL387" s="143"/>
      <c r="BM387" s="143"/>
      <c r="BN387" s="143"/>
      <c r="BO387" s="143"/>
      <c r="BP387" s="143"/>
      <c r="BQ387" s="143"/>
      <c r="BR387" s="143"/>
      <c r="BS387" s="143"/>
      <c r="BT387" s="143"/>
      <c r="BU387" s="143"/>
      <c r="BV387" s="143"/>
      <c r="BW387" s="143"/>
      <c r="BX387" s="143"/>
      <c r="BY387" s="143"/>
      <c r="BZ387" s="143"/>
      <c r="CA387" s="143"/>
      <c r="CB387" s="143"/>
      <c r="CC387" s="143"/>
      <c r="CD387" s="143"/>
      <c r="CE387" s="143"/>
      <c r="CF387" s="143"/>
      <c r="CG387" s="143"/>
      <c r="CH387" s="143"/>
      <c r="CI387" s="143"/>
      <c r="CJ387" s="143"/>
      <c r="CK387" s="143"/>
      <c r="CL387" s="143"/>
      <c r="CM387" s="143"/>
      <c r="CN387" s="143"/>
      <c r="CO387" s="143"/>
      <c r="CP387" s="143"/>
      <c r="CQ387" s="143"/>
      <c r="CR387" s="143"/>
      <c r="CS387" s="143"/>
      <c r="CT387" s="143"/>
      <c r="CU387" s="143"/>
      <c r="CV387" s="143"/>
      <c r="CW387" s="143"/>
      <c r="CX387" s="143"/>
      <c r="CY387" s="143"/>
      <c r="CZ387" s="143"/>
      <c r="DA387" s="143"/>
      <c r="DB387" s="143"/>
      <c r="DC387" s="143"/>
      <c r="DD387" s="143"/>
      <c r="DE387" s="143"/>
      <c r="DF387" s="143"/>
      <c r="DG387" s="143"/>
      <c r="DH387" s="143"/>
      <c r="DI387" s="143"/>
      <c r="DJ387" s="143"/>
      <c r="DK387" s="143"/>
      <c r="DL387" s="143"/>
      <c r="DM387" s="143"/>
      <c r="DN387" s="143"/>
      <c r="DO387" s="143"/>
      <c r="DP387" s="143"/>
      <c r="DQ387" s="143"/>
      <c r="DR387" s="143"/>
      <c r="DS387" s="143"/>
      <c r="DT387" s="143"/>
      <c r="DU387" s="143"/>
      <c r="DV387" s="143"/>
      <c r="DW387" s="143"/>
      <c r="DX387" s="143"/>
      <c r="DY387" s="143"/>
      <c r="DZ387" s="143"/>
      <c r="EA387" s="143"/>
      <c r="EB387" s="143"/>
      <c r="EC387" s="143"/>
      <c r="ED387" s="143"/>
      <c r="EE387" s="143"/>
      <c r="EF387" s="143"/>
      <c r="EG387" s="143"/>
      <c r="EH387" s="143"/>
      <c r="EI387" s="143"/>
      <c r="EJ387" s="143"/>
      <c r="EK387" s="143"/>
      <c r="EL387" s="143"/>
      <c r="EM387" s="143"/>
      <c r="EN387" s="143"/>
      <c r="EO387" s="143"/>
      <c r="EP387" s="143"/>
      <c r="EQ387" s="143"/>
      <c r="ER387" s="143"/>
      <c r="ES387" s="143"/>
      <c r="ET387" s="143"/>
      <c r="EU387" s="143"/>
      <c r="EV387" s="143"/>
      <c r="EW387" s="143"/>
      <c r="EX387" s="143"/>
      <c r="EY387" s="143"/>
      <c r="EZ387" s="143"/>
      <c r="FA387" s="143"/>
      <c r="FB387" s="143"/>
      <c r="FC387" s="143"/>
      <c r="FD387" s="143"/>
      <c r="FE387" s="143"/>
      <c r="FF387" s="143"/>
      <c r="FG387" s="143"/>
      <c r="FH387" s="143"/>
      <c r="FI387" s="143"/>
      <c r="FJ387" s="143"/>
      <c r="FK387" s="143"/>
      <c r="FL387" s="143"/>
      <c r="FM387" s="143"/>
      <c r="FN387" s="143"/>
      <c r="FO387" s="143"/>
      <c r="FP387" s="143"/>
      <c r="FQ387" s="143"/>
      <c r="FR387" s="143"/>
      <c r="FS387" s="143"/>
      <c r="FT387" s="143"/>
      <c r="FU387" s="143"/>
      <c r="FV387" s="143"/>
      <c r="FW387" s="143"/>
      <c r="FX387" s="143"/>
      <c r="FY387" s="143"/>
      <c r="FZ387" s="143"/>
      <c r="GA387" s="143"/>
      <c r="GB387" s="143"/>
      <c r="GC387" s="143"/>
      <c r="GD387" s="143"/>
      <c r="GE387" s="143"/>
      <c r="GF387" s="143"/>
      <c r="GG387" s="143"/>
      <c r="GH387" s="143"/>
      <c r="GI387" s="143"/>
      <c r="GJ387" s="143"/>
      <c r="GK387" s="143"/>
      <c r="GL387" s="143"/>
      <c r="GM387" s="143"/>
      <c r="GN387" s="143"/>
      <c r="GO387" s="143"/>
      <c r="GP387" s="143"/>
      <c r="GQ387" s="143"/>
      <c r="GR387" s="143"/>
      <c r="GS387" s="143"/>
      <c r="GT387" s="143"/>
      <c r="GU387" s="143"/>
      <c r="GV387" s="143"/>
      <c r="GW387" s="143"/>
      <c r="GX387" s="143"/>
      <c r="GY387" s="143"/>
      <c r="GZ387" s="143"/>
      <c r="HA387" s="143"/>
      <c r="HB387" s="143"/>
      <c r="HC387" s="143"/>
      <c r="HD387" s="143"/>
      <c r="HE387" s="143"/>
      <c r="HF387" s="143"/>
      <c r="HG387" s="143"/>
      <c r="HH387" s="143"/>
      <c r="HI387" s="143"/>
      <c r="HJ387" s="143"/>
      <c r="HK387" s="143"/>
      <c r="HL387" s="143"/>
      <c r="HM387" s="143"/>
      <c r="HN387" s="143"/>
      <c r="HO387" s="143"/>
      <c r="HP387" s="143"/>
      <c r="HQ387" s="143"/>
      <c r="HR387" s="143"/>
      <c r="HS387" s="143"/>
      <c r="HT387" s="143"/>
      <c r="HU387" s="143"/>
      <c r="HV387" s="143"/>
      <c r="HW387" s="143"/>
      <c r="HX387" s="143"/>
      <c r="HY387" s="143"/>
      <c r="HZ387" s="143"/>
      <c r="IA387" s="143"/>
      <c r="IB387" s="143"/>
      <c r="IC387" s="143"/>
      <c r="ID387" s="143"/>
      <c r="IE387" s="143"/>
      <c r="IF387" s="143"/>
      <c r="IG387" s="143"/>
      <c r="IH387" s="143"/>
      <c r="II387" s="143"/>
      <c r="IJ387" s="143"/>
      <c r="IK387" s="143"/>
      <c r="IL387" s="143"/>
      <c r="IM387" s="143"/>
      <c r="IN387" s="143"/>
      <c r="IO387" s="143"/>
      <c r="IP387" s="143"/>
      <c r="IQ387" s="143"/>
      <c r="IR387" s="143"/>
      <c r="IS387" s="143"/>
      <c r="IT387" s="143"/>
      <c r="IU387" s="143"/>
      <c r="IV387" s="143"/>
      <c r="IW387" s="143"/>
      <c r="IX387" s="143"/>
      <c r="IY387" s="143"/>
      <c r="IZ387" s="143"/>
      <c r="JA387" s="143"/>
      <c r="JB387" s="143"/>
      <c r="JC387" s="143"/>
      <c r="JD387" s="143"/>
      <c r="JE387" s="143"/>
      <c r="JF387" s="143"/>
      <c r="JG387" s="143"/>
      <c r="JH387" s="143"/>
      <c r="JI387" s="143"/>
    </row>
    <row r="388" spans="1:269" hidden="1" outlineLevel="1">
      <c r="A388" s="437"/>
      <c r="B388" s="143"/>
      <c r="C388" s="417"/>
      <c r="D388" s="417"/>
      <c r="E388" s="417"/>
      <c r="F388" s="414"/>
      <c r="G388" s="414"/>
      <c r="H388" s="414"/>
      <c r="I388" s="414"/>
      <c r="J388" s="417"/>
      <c r="K388" s="414"/>
      <c r="L388" s="414"/>
      <c r="M388" s="414"/>
      <c r="N388" s="414"/>
      <c r="O388" s="417"/>
      <c r="P388" s="414"/>
      <c r="Q388" s="414"/>
      <c r="R388" s="414"/>
      <c r="S388" s="414"/>
      <c r="T388" s="417"/>
      <c r="U388" s="414"/>
      <c r="V388" s="414"/>
      <c r="W388" s="414"/>
      <c r="X388" s="414"/>
      <c r="Y388" s="417"/>
      <c r="Z388" s="414"/>
      <c r="AA388" s="414"/>
      <c r="AB388" s="414"/>
      <c r="AC388" s="414"/>
      <c r="AD388" s="422"/>
      <c r="AE388" s="414"/>
      <c r="AF388" s="414"/>
      <c r="AG388" s="414"/>
      <c r="AH388" s="280"/>
      <c r="AI388" s="320"/>
      <c r="AJ388" s="280"/>
      <c r="AK388" s="280"/>
      <c r="AL388" s="280"/>
      <c r="AM388" s="280"/>
      <c r="AN388" s="320"/>
      <c r="AO388" s="280"/>
      <c r="AP388" s="280"/>
      <c r="AQ388" s="280"/>
      <c r="AR388" s="280"/>
      <c r="AS388" s="320"/>
      <c r="AT388" s="315"/>
      <c r="AU388" s="508"/>
      <c r="AV388" s="143"/>
      <c r="AW388" s="143"/>
      <c r="AX388" s="143"/>
      <c r="AY388" s="143"/>
      <c r="AZ388" s="143"/>
      <c r="BA388" s="143"/>
      <c r="BB388" s="143"/>
      <c r="BC388" s="143"/>
      <c r="BD388" s="143"/>
      <c r="BE388" s="143"/>
      <c r="BF388" s="143"/>
      <c r="BG388" s="143"/>
      <c r="BH388" s="143"/>
      <c r="BI388" s="143"/>
      <c r="BJ388" s="143"/>
      <c r="BK388" s="143"/>
      <c r="BL388" s="143"/>
      <c r="BM388" s="143"/>
      <c r="BN388" s="143"/>
      <c r="BO388" s="143"/>
      <c r="BP388" s="143"/>
      <c r="BQ388" s="143"/>
      <c r="BR388" s="143"/>
      <c r="BS388" s="143"/>
      <c r="BT388" s="143"/>
      <c r="BU388" s="143"/>
      <c r="BV388" s="143"/>
      <c r="BW388" s="143"/>
      <c r="BX388" s="143"/>
      <c r="BY388" s="143"/>
      <c r="BZ388" s="143"/>
      <c r="CA388" s="143"/>
      <c r="CB388" s="143"/>
      <c r="CC388" s="143"/>
      <c r="CD388" s="143"/>
      <c r="CE388" s="143"/>
      <c r="CF388" s="143"/>
      <c r="CG388" s="143"/>
      <c r="CH388" s="143"/>
      <c r="CI388" s="143"/>
      <c r="CJ388" s="143"/>
      <c r="CK388" s="143"/>
      <c r="CL388" s="143"/>
      <c r="CM388" s="143"/>
      <c r="CN388" s="143"/>
      <c r="CO388" s="143"/>
      <c r="CP388" s="143"/>
      <c r="CQ388" s="143"/>
      <c r="CR388" s="143"/>
      <c r="CS388" s="143"/>
      <c r="CT388" s="143"/>
      <c r="CU388" s="143"/>
      <c r="CV388" s="143"/>
      <c r="CW388" s="143"/>
      <c r="CX388" s="143"/>
      <c r="CY388" s="143"/>
      <c r="CZ388" s="143"/>
      <c r="DA388" s="143"/>
      <c r="DB388" s="143"/>
      <c r="DC388" s="143"/>
      <c r="DD388" s="143"/>
      <c r="DE388" s="143"/>
      <c r="DF388" s="143"/>
      <c r="DG388" s="143"/>
      <c r="DH388" s="143"/>
      <c r="DI388" s="143"/>
      <c r="DJ388" s="143"/>
      <c r="DK388" s="143"/>
      <c r="DL388" s="143"/>
      <c r="DM388" s="143"/>
      <c r="DN388" s="143"/>
      <c r="DO388" s="143"/>
      <c r="DP388" s="143"/>
      <c r="DQ388" s="143"/>
      <c r="DR388" s="143"/>
      <c r="DS388" s="143"/>
      <c r="DT388" s="143"/>
      <c r="DU388" s="143"/>
      <c r="DV388" s="143"/>
      <c r="DW388" s="143"/>
      <c r="DX388" s="143"/>
      <c r="DY388" s="143"/>
      <c r="DZ388" s="143"/>
      <c r="EA388" s="143"/>
      <c r="EB388" s="143"/>
      <c r="EC388" s="143"/>
      <c r="ED388" s="143"/>
      <c r="EE388" s="143"/>
      <c r="EF388" s="143"/>
      <c r="EG388" s="143"/>
      <c r="EH388" s="143"/>
      <c r="EI388" s="143"/>
      <c r="EJ388" s="143"/>
      <c r="EK388" s="143"/>
      <c r="EL388" s="143"/>
      <c r="EM388" s="143"/>
      <c r="EN388" s="143"/>
      <c r="EO388" s="143"/>
      <c r="EP388" s="143"/>
      <c r="EQ388" s="143"/>
      <c r="ER388" s="143"/>
      <c r="ES388" s="143"/>
      <c r="ET388" s="143"/>
      <c r="EU388" s="143"/>
      <c r="EV388" s="143"/>
      <c r="EW388" s="143"/>
      <c r="EX388" s="143"/>
      <c r="EY388" s="143"/>
      <c r="EZ388" s="143"/>
      <c r="FA388" s="143"/>
      <c r="FB388" s="143"/>
      <c r="FC388" s="143"/>
      <c r="FD388" s="143"/>
      <c r="FE388" s="143"/>
      <c r="FF388" s="143"/>
      <c r="FG388" s="143"/>
      <c r="FH388" s="143"/>
      <c r="FI388" s="143"/>
      <c r="FJ388" s="143"/>
      <c r="FK388" s="143"/>
      <c r="FL388" s="143"/>
      <c r="FM388" s="143"/>
      <c r="FN388" s="143"/>
      <c r="FO388" s="143"/>
      <c r="FP388" s="143"/>
      <c r="FQ388" s="143"/>
      <c r="FR388" s="143"/>
      <c r="FS388" s="143"/>
      <c r="FT388" s="143"/>
      <c r="FU388" s="143"/>
      <c r="FV388" s="143"/>
      <c r="FW388" s="143"/>
      <c r="FX388" s="143"/>
      <c r="FY388" s="143"/>
      <c r="FZ388" s="143"/>
      <c r="GA388" s="143"/>
      <c r="GB388" s="143"/>
      <c r="GC388" s="143"/>
      <c r="GD388" s="143"/>
      <c r="GE388" s="143"/>
      <c r="GF388" s="143"/>
      <c r="GG388" s="143"/>
      <c r="GH388" s="143"/>
      <c r="GI388" s="143"/>
      <c r="GJ388" s="143"/>
      <c r="GK388" s="143"/>
      <c r="GL388" s="143"/>
      <c r="GM388" s="143"/>
      <c r="GN388" s="143"/>
      <c r="GO388" s="143"/>
      <c r="GP388" s="143"/>
      <c r="GQ388" s="143"/>
      <c r="GR388" s="143"/>
      <c r="GS388" s="143"/>
      <c r="GT388" s="143"/>
      <c r="GU388" s="143"/>
      <c r="GV388" s="143"/>
      <c r="GW388" s="143"/>
      <c r="GX388" s="143"/>
      <c r="GY388" s="143"/>
      <c r="GZ388" s="143"/>
      <c r="HA388" s="143"/>
      <c r="HB388" s="143"/>
      <c r="HC388" s="143"/>
      <c r="HD388" s="143"/>
      <c r="HE388" s="143"/>
      <c r="HF388" s="143"/>
      <c r="HG388" s="143"/>
      <c r="HH388" s="143"/>
      <c r="HI388" s="143"/>
      <c r="HJ388" s="143"/>
      <c r="HK388" s="143"/>
      <c r="HL388" s="143"/>
      <c r="HM388" s="143"/>
      <c r="HN388" s="143"/>
      <c r="HO388" s="143"/>
      <c r="HP388" s="143"/>
      <c r="HQ388" s="143"/>
      <c r="HR388" s="143"/>
      <c r="HS388" s="143"/>
      <c r="HT388" s="143"/>
      <c r="HU388" s="143"/>
      <c r="HV388" s="143"/>
      <c r="HW388" s="143"/>
      <c r="HX388" s="143"/>
      <c r="HY388" s="143"/>
      <c r="HZ388" s="143"/>
      <c r="IA388" s="143"/>
      <c r="IB388" s="143"/>
      <c r="IC388" s="143"/>
      <c r="ID388" s="143"/>
      <c r="IE388" s="143"/>
      <c r="IF388" s="143"/>
      <c r="IG388" s="143"/>
      <c r="IH388" s="143"/>
      <c r="II388" s="143"/>
      <c r="IJ388" s="143"/>
      <c r="IK388" s="143"/>
      <c r="IL388" s="143"/>
      <c r="IM388" s="143"/>
      <c r="IN388" s="143"/>
      <c r="IO388" s="143"/>
      <c r="IP388" s="143"/>
      <c r="IQ388" s="143"/>
      <c r="IR388" s="143"/>
      <c r="IS388" s="143"/>
      <c r="IT388" s="143"/>
      <c r="IU388" s="143"/>
      <c r="IV388" s="143"/>
      <c r="IW388" s="143"/>
      <c r="IX388" s="143"/>
      <c r="IY388" s="143"/>
      <c r="IZ388" s="143"/>
      <c r="JA388" s="143"/>
      <c r="JB388" s="143"/>
      <c r="JC388" s="143"/>
      <c r="JD388" s="143"/>
      <c r="JE388" s="143"/>
      <c r="JF388" s="143"/>
      <c r="JG388" s="143"/>
      <c r="JH388" s="143"/>
      <c r="JI388" s="143"/>
    </row>
    <row r="389" spans="1:269" hidden="1" outlineLevel="1">
      <c r="A389" s="437"/>
      <c r="B389" s="143"/>
      <c r="C389" s="417"/>
      <c r="D389" s="417"/>
      <c r="E389" s="417"/>
      <c r="F389" s="414"/>
      <c r="G389" s="414"/>
      <c r="H389" s="414"/>
      <c r="I389" s="414"/>
      <c r="J389" s="417"/>
      <c r="K389" s="414"/>
      <c r="L389" s="414"/>
      <c r="M389" s="414"/>
      <c r="N389" s="414"/>
      <c r="O389" s="417"/>
      <c r="P389" s="414"/>
      <c r="Q389" s="414"/>
      <c r="R389" s="414"/>
      <c r="S389" s="414"/>
      <c r="T389" s="417"/>
      <c r="U389" s="414"/>
      <c r="V389" s="414"/>
      <c r="W389" s="414"/>
      <c r="X389" s="414"/>
      <c r="Y389" s="417"/>
      <c r="Z389" s="414"/>
      <c r="AA389" s="414"/>
      <c r="AB389" s="414"/>
      <c r="AC389" s="414"/>
      <c r="AD389" s="422"/>
      <c r="AE389" s="414"/>
      <c r="AF389" s="414"/>
      <c r="AG389" s="414"/>
      <c r="AH389" s="280"/>
      <c r="AI389" s="320"/>
      <c r="AJ389" s="280"/>
      <c r="AK389" s="280"/>
      <c r="AL389" s="280"/>
      <c r="AM389" s="280"/>
      <c r="AN389" s="320"/>
      <c r="AO389" s="280"/>
      <c r="AP389" s="280"/>
      <c r="AQ389" s="280"/>
      <c r="AR389" s="280"/>
      <c r="AS389" s="320"/>
      <c r="AT389" s="315"/>
      <c r="AU389" s="508"/>
      <c r="AV389" s="143"/>
      <c r="AW389" s="143"/>
      <c r="AX389" s="143"/>
      <c r="AY389" s="143"/>
      <c r="AZ389" s="143"/>
      <c r="BA389" s="143"/>
      <c r="BB389" s="143"/>
      <c r="BC389" s="143"/>
      <c r="BD389" s="143"/>
      <c r="BE389" s="143"/>
      <c r="BF389" s="143"/>
      <c r="BG389" s="143"/>
      <c r="BH389" s="143"/>
      <c r="BI389" s="143"/>
      <c r="BJ389" s="143"/>
      <c r="BK389" s="143"/>
      <c r="BL389" s="143"/>
      <c r="BM389" s="143"/>
      <c r="BN389" s="143"/>
      <c r="BO389" s="143"/>
      <c r="BP389" s="143"/>
      <c r="BQ389" s="143"/>
      <c r="BR389" s="143"/>
      <c r="BS389" s="143"/>
      <c r="BT389" s="143"/>
      <c r="BU389" s="143"/>
      <c r="BV389" s="143"/>
      <c r="BW389" s="143"/>
      <c r="BX389" s="143"/>
      <c r="BY389" s="143"/>
      <c r="BZ389" s="143"/>
      <c r="CA389" s="143"/>
      <c r="CB389" s="143"/>
      <c r="CC389" s="143"/>
      <c r="CD389" s="143"/>
      <c r="CE389" s="143"/>
      <c r="CF389" s="143"/>
      <c r="CG389" s="143"/>
      <c r="CH389" s="143"/>
      <c r="CI389" s="143"/>
      <c r="CJ389" s="143"/>
      <c r="CK389" s="143"/>
      <c r="CL389" s="143"/>
      <c r="CM389" s="143"/>
      <c r="CN389" s="143"/>
      <c r="CO389" s="143"/>
      <c r="CP389" s="143"/>
      <c r="CQ389" s="143"/>
      <c r="CR389" s="143"/>
      <c r="CS389" s="143"/>
      <c r="CT389" s="143"/>
      <c r="CU389" s="143"/>
      <c r="CV389" s="143"/>
      <c r="CW389" s="143"/>
      <c r="CX389" s="143"/>
      <c r="CY389" s="143"/>
      <c r="CZ389" s="143"/>
      <c r="DA389" s="143"/>
      <c r="DB389" s="143"/>
      <c r="DC389" s="143"/>
      <c r="DD389" s="143"/>
      <c r="DE389" s="143"/>
      <c r="DF389" s="143"/>
      <c r="DG389" s="143"/>
      <c r="DH389" s="143"/>
      <c r="DI389" s="143"/>
      <c r="DJ389" s="143"/>
      <c r="DK389" s="143"/>
      <c r="DL389" s="143"/>
      <c r="DM389" s="143"/>
      <c r="DN389" s="143"/>
      <c r="DO389" s="143"/>
      <c r="DP389" s="143"/>
      <c r="DQ389" s="143"/>
      <c r="DR389" s="143"/>
      <c r="DS389" s="143"/>
      <c r="DT389" s="143"/>
      <c r="DU389" s="143"/>
      <c r="DV389" s="143"/>
      <c r="DW389" s="143"/>
      <c r="DX389" s="143"/>
      <c r="DY389" s="143"/>
      <c r="DZ389" s="143"/>
      <c r="EA389" s="143"/>
      <c r="EB389" s="143"/>
      <c r="EC389" s="143"/>
      <c r="ED389" s="143"/>
      <c r="EE389" s="143"/>
      <c r="EF389" s="143"/>
      <c r="EG389" s="143"/>
      <c r="EH389" s="143"/>
      <c r="EI389" s="143"/>
      <c r="EJ389" s="143"/>
      <c r="EK389" s="143"/>
      <c r="EL389" s="143"/>
      <c r="EM389" s="143"/>
      <c r="EN389" s="143"/>
      <c r="EO389" s="143"/>
      <c r="EP389" s="143"/>
      <c r="EQ389" s="143"/>
      <c r="ER389" s="143"/>
      <c r="ES389" s="143"/>
      <c r="ET389" s="143"/>
      <c r="EU389" s="143"/>
      <c r="EV389" s="143"/>
      <c r="EW389" s="143"/>
      <c r="EX389" s="143"/>
      <c r="EY389" s="143"/>
      <c r="EZ389" s="143"/>
      <c r="FA389" s="143"/>
      <c r="FB389" s="143"/>
      <c r="FC389" s="143"/>
      <c r="FD389" s="143"/>
      <c r="FE389" s="143"/>
      <c r="FF389" s="143"/>
      <c r="FG389" s="143"/>
      <c r="FH389" s="143"/>
      <c r="FI389" s="143"/>
      <c r="FJ389" s="143"/>
      <c r="FK389" s="143"/>
      <c r="FL389" s="143"/>
      <c r="FM389" s="143"/>
      <c r="FN389" s="143"/>
      <c r="FO389" s="143"/>
      <c r="FP389" s="143"/>
      <c r="FQ389" s="143"/>
      <c r="FR389" s="143"/>
      <c r="FS389" s="143"/>
      <c r="FT389" s="143"/>
      <c r="FU389" s="143"/>
      <c r="FV389" s="143"/>
      <c r="FW389" s="143"/>
      <c r="FX389" s="143"/>
      <c r="FY389" s="143"/>
      <c r="FZ389" s="143"/>
      <c r="GA389" s="143"/>
      <c r="GB389" s="143"/>
      <c r="GC389" s="143"/>
      <c r="GD389" s="143"/>
      <c r="GE389" s="143"/>
      <c r="GF389" s="143"/>
      <c r="GG389" s="143"/>
      <c r="GH389" s="143"/>
      <c r="GI389" s="143"/>
      <c r="GJ389" s="143"/>
      <c r="GK389" s="143"/>
      <c r="GL389" s="143"/>
      <c r="GM389" s="143"/>
      <c r="GN389" s="143"/>
      <c r="GO389" s="143"/>
      <c r="GP389" s="143"/>
      <c r="GQ389" s="143"/>
      <c r="GR389" s="143"/>
      <c r="GS389" s="143"/>
      <c r="GT389" s="143"/>
      <c r="GU389" s="143"/>
      <c r="GV389" s="143"/>
      <c r="GW389" s="143"/>
      <c r="GX389" s="143"/>
      <c r="GY389" s="143"/>
      <c r="GZ389" s="143"/>
      <c r="HA389" s="143"/>
      <c r="HB389" s="143"/>
      <c r="HC389" s="143"/>
      <c r="HD389" s="143"/>
      <c r="HE389" s="143"/>
      <c r="HF389" s="143"/>
      <c r="HG389" s="143"/>
      <c r="HH389" s="143"/>
      <c r="HI389" s="143"/>
      <c r="HJ389" s="143"/>
      <c r="HK389" s="143"/>
      <c r="HL389" s="143"/>
      <c r="HM389" s="143"/>
      <c r="HN389" s="143"/>
      <c r="HO389" s="143"/>
      <c r="HP389" s="143"/>
      <c r="HQ389" s="143"/>
      <c r="HR389" s="143"/>
      <c r="HS389" s="143"/>
      <c r="HT389" s="143"/>
      <c r="HU389" s="143"/>
      <c r="HV389" s="143"/>
      <c r="HW389" s="143"/>
      <c r="HX389" s="143"/>
      <c r="HY389" s="143"/>
      <c r="HZ389" s="143"/>
      <c r="IA389" s="143"/>
      <c r="IB389" s="143"/>
      <c r="IC389" s="143"/>
      <c r="ID389" s="143"/>
      <c r="IE389" s="143"/>
      <c r="IF389" s="143"/>
      <c r="IG389" s="143"/>
      <c r="IH389" s="143"/>
      <c r="II389" s="143"/>
      <c r="IJ389" s="143"/>
      <c r="IK389" s="143"/>
      <c r="IL389" s="143"/>
      <c r="IM389" s="143"/>
      <c r="IN389" s="143"/>
      <c r="IO389" s="143"/>
      <c r="IP389" s="143"/>
      <c r="IQ389" s="143"/>
      <c r="IR389" s="143"/>
      <c r="IS389" s="143"/>
      <c r="IT389" s="143"/>
      <c r="IU389" s="143"/>
      <c r="IV389" s="143"/>
      <c r="IW389" s="143"/>
      <c r="IX389" s="143"/>
      <c r="IY389" s="143"/>
      <c r="IZ389" s="143"/>
      <c r="JA389" s="143"/>
      <c r="JB389" s="143"/>
      <c r="JC389" s="143"/>
      <c r="JD389" s="143"/>
      <c r="JE389" s="143"/>
      <c r="JF389" s="143"/>
      <c r="JG389" s="143"/>
      <c r="JH389" s="143"/>
      <c r="JI389" s="143"/>
    </row>
    <row r="390" spans="1:269" ht="15" hidden="1" outlineLevel="1" thickBot="1">
      <c r="A390" s="80" t="s">
        <v>254</v>
      </c>
      <c r="B390" s="67"/>
      <c r="C390" s="478"/>
      <c r="D390" s="478"/>
      <c r="E390" s="478"/>
      <c r="F390" s="477"/>
      <c r="G390" s="477"/>
      <c r="H390" s="477"/>
      <c r="I390" s="477"/>
      <c r="J390" s="478"/>
      <c r="K390" s="477"/>
      <c r="L390" s="477"/>
      <c r="M390" s="477"/>
      <c r="N390" s="477"/>
      <c r="O390" s="478"/>
      <c r="P390" s="477"/>
      <c r="Q390" s="477"/>
      <c r="R390" s="477"/>
      <c r="S390" s="477"/>
      <c r="T390" s="478"/>
      <c r="U390" s="477"/>
      <c r="V390" s="477"/>
      <c r="W390" s="477"/>
      <c r="X390" s="477"/>
      <c r="Y390" s="478"/>
      <c r="Z390" s="477"/>
      <c r="AA390" s="477"/>
      <c r="AB390" s="477"/>
      <c r="AC390" s="477"/>
      <c r="AD390" s="479"/>
      <c r="AE390" s="477"/>
      <c r="AF390" s="477"/>
      <c r="AG390" s="477"/>
      <c r="AH390" s="72"/>
      <c r="AI390" s="329"/>
      <c r="AJ390" s="72"/>
      <c r="AK390" s="72"/>
      <c r="AL390" s="72"/>
      <c r="AM390" s="72"/>
      <c r="AN390" s="329"/>
      <c r="AO390" s="72"/>
      <c r="AP390" s="72"/>
      <c r="AQ390" s="72"/>
      <c r="AR390" s="72"/>
      <c r="AS390" s="329"/>
      <c r="AT390" s="315"/>
      <c r="AU390" s="508"/>
      <c r="AV390" s="143"/>
      <c r="AW390" s="143"/>
      <c r="AX390" s="143"/>
      <c r="AY390" s="143"/>
      <c r="AZ390" s="143"/>
      <c r="BA390" s="143"/>
      <c r="BB390" s="143"/>
      <c r="BC390" s="143"/>
      <c r="BD390" s="143"/>
      <c r="BE390" s="143"/>
      <c r="BF390" s="143"/>
      <c r="BG390" s="143"/>
      <c r="BH390" s="143"/>
      <c r="BI390" s="143"/>
      <c r="BJ390" s="143"/>
      <c r="BK390" s="143"/>
      <c r="BL390" s="143"/>
      <c r="BM390" s="143"/>
      <c r="BN390" s="143"/>
      <c r="BO390" s="143"/>
      <c r="BP390" s="143"/>
      <c r="BQ390" s="143"/>
      <c r="BR390" s="143"/>
      <c r="BS390" s="143"/>
      <c r="BT390" s="143"/>
      <c r="BU390" s="143"/>
      <c r="BV390" s="143"/>
      <c r="BW390" s="143"/>
      <c r="BX390" s="143"/>
      <c r="BY390" s="143"/>
      <c r="BZ390" s="143"/>
      <c r="CA390" s="143"/>
      <c r="CB390" s="143"/>
      <c r="CC390" s="143"/>
      <c r="CD390" s="143"/>
      <c r="CE390" s="143"/>
      <c r="CF390" s="143"/>
      <c r="CG390" s="143"/>
      <c r="CH390" s="143"/>
      <c r="CI390" s="143"/>
      <c r="CJ390" s="143"/>
      <c r="CK390" s="143"/>
      <c r="CL390" s="143"/>
      <c r="CM390" s="143"/>
      <c r="CN390" s="143"/>
      <c r="CO390" s="143"/>
      <c r="CP390" s="143"/>
      <c r="CQ390" s="143"/>
      <c r="CR390" s="143"/>
      <c r="CS390" s="143"/>
      <c r="CT390" s="143"/>
      <c r="CU390" s="143"/>
      <c r="CV390" s="143"/>
      <c r="CW390" s="143"/>
      <c r="CX390" s="143"/>
      <c r="CY390" s="143"/>
      <c r="CZ390" s="143"/>
      <c r="DA390" s="143"/>
      <c r="DB390" s="143"/>
      <c r="DC390" s="143"/>
      <c r="DD390" s="143"/>
      <c r="DE390" s="143"/>
      <c r="DF390" s="143"/>
      <c r="DG390" s="143"/>
      <c r="DH390" s="143"/>
      <c r="DI390" s="143"/>
      <c r="DJ390" s="143"/>
      <c r="DK390" s="143"/>
      <c r="DL390" s="143"/>
      <c r="DM390" s="143"/>
      <c r="DN390" s="143"/>
      <c r="DO390" s="143"/>
      <c r="DP390" s="143"/>
      <c r="DQ390" s="143"/>
      <c r="DR390" s="143"/>
      <c r="DS390" s="143"/>
      <c r="DT390" s="143"/>
      <c r="DU390" s="143"/>
      <c r="DV390" s="143"/>
      <c r="DW390" s="143"/>
      <c r="DX390" s="143"/>
      <c r="DY390" s="143"/>
      <c r="DZ390" s="143"/>
      <c r="EA390" s="143"/>
      <c r="EB390" s="143"/>
      <c r="EC390" s="143"/>
      <c r="ED390" s="143"/>
      <c r="EE390" s="143"/>
      <c r="EF390" s="143"/>
      <c r="EG390" s="143"/>
      <c r="EH390" s="143"/>
      <c r="EI390" s="143"/>
      <c r="EJ390" s="143"/>
      <c r="EK390" s="143"/>
      <c r="EL390" s="143"/>
      <c r="EM390" s="143"/>
      <c r="EN390" s="143"/>
      <c r="EO390" s="143"/>
      <c r="EP390" s="143"/>
      <c r="EQ390" s="143"/>
      <c r="ER390" s="143"/>
      <c r="ES390" s="143"/>
      <c r="ET390" s="143"/>
      <c r="EU390" s="143"/>
      <c r="EV390" s="143"/>
      <c r="EW390" s="143"/>
      <c r="EX390" s="143"/>
      <c r="EY390" s="143"/>
      <c r="EZ390" s="143"/>
      <c r="FA390" s="143"/>
      <c r="FB390" s="143"/>
      <c r="FC390" s="143"/>
      <c r="FD390" s="143"/>
      <c r="FE390" s="143"/>
      <c r="FF390" s="143"/>
      <c r="FG390" s="143"/>
      <c r="FH390" s="143"/>
      <c r="FI390" s="143"/>
      <c r="FJ390" s="143"/>
      <c r="FK390" s="143"/>
      <c r="FL390" s="143"/>
      <c r="FM390" s="143"/>
      <c r="FN390" s="143"/>
      <c r="FO390" s="143"/>
      <c r="FP390" s="143"/>
      <c r="FQ390" s="143"/>
      <c r="FR390" s="143"/>
      <c r="FS390" s="143"/>
      <c r="FT390" s="143"/>
      <c r="FU390" s="143"/>
      <c r="FV390" s="143"/>
      <c r="FW390" s="143"/>
      <c r="FX390" s="143"/>
      <c r="FY390" s="143"/>
      <c r="FZ390" s="143"/>
      <c r="GA390" s="143"/>
      <c r="GB390" s="143"/>
      <c r="GC390" s="143"/>
      <c r="GD390" s="143"/>
      <c r="GE390" s="143"/>
      <c r="GF390" s="143"/>
      <c r="GG390" s="143"/>
      <c r="GH390" s="143"/>
      <c r="GI390" s="143"/>
      <c r="GJ390" s="143"/>
      <c r="GK390" s="143"/>
      <c r="GL390" s="143"/>
      <c r="GM390" s="143"/>
      <c r="GN390" s="143"/>
      <c r="GO390" s="143"/>
      <c r="GP390" s="143"/>
      <c r="GQ390" s="143"/>
      <c r="GR390" s="143"/>
      <c r="GS390" s="143"/>
      <c r="GT390" s="143"/>
      <c r="GU390" s="143"/>
      <c r="GV390" s="143"/>
      <c r="GW390" s="143"/>
      <c r="GX390" s="143"/>
      <c r="GY390" s="143"/>
      <c r="GZ390" s="143"/>
      <c r="HA390" s="143"/>
      <c r="HB390" s="143"/>
      <c r="HC390" s="143"/>
      <c r="HD390" s="143"/>
      <c r="HE390" s="143"/>
      <c r="HF390" s="143"/>
      <c r="HG390" s="143"/>
      <c r="HH390" s="143"/>
      <c r="HI390" s="143"/>
      <c r="HJ390" s="143"/>
      <c r="HK390" s="143"/>
      <c r="HL390" s="143"/>
      <c r="HM390" s="143"/>
      <c r="HN390" s="143"/>
      <c r="HO390" s="143"/>
      <c r="HP390" s="143"/>
      <c r="HQ390" s="143"/>
      <c r="HR390" s="143"/>
      <c r="HS390" s="143"/>
      <c r="HT390" s="143"/>
      <c r="HU390" s="143"/>
      <c r="HV390" s="143"/>
      <c r="HW390" s="143"/>
      <c r="HX390" s="143"/>
      <c r="HY390" s="143"/>
      <c r="HZ390" s="143"/>
      <c r="IA390" s="143"/>
      <c r="IB390" s="143"/>
      <c r="IC390" s="143"/>
      <c r="ID390" s="143"/>
      <c r="IE390" s="143"/>
      <c r="IF390" s="143"/>
      <c r="IG390" s="143"/>
      <c r="IH390" s="143"/>
      <c r="II390" s="143"/>
      <c r="IJ390" s="143"/>
      <c r="IK390" s="143"/>
      <c r="IL390" s="143"/>
      <c r="IM390" s="143"/>
      <c r="IN390" s="143"/>
      <c r="IO390" s="143"/>
      <c r="IP390" s="143"/>
      <c r="IQ390" s="143"/>
      <c r="IR390" s="143"/>
      <c r="IS390" s="143"/>
      <c r="IT390" s="143"/>
      <c r="IU390" s="143"/>
      <c r="IV390" s="143"/>
      <c r="IW390" s="143"/>
      <c r="IX390" s="143"/>
      <c r="IY390" s="143"/>
      <c r="IZ390" s="143"/>
      <c r="JA390" s="143"/>
      <c r="JB390" s="143"/>
      <c r="JC390" s="143"/>
      <c r="JD390" s="143"/>
      <c r="JE390" s="143"/>
      <c r="JF390" s="143"/>
      <c r="JG390" s="143"/>
      <c r="JH390" s="143"/>
      <c r="JI390" s="143"/>
    </row>
    <row r="391" spans="1:269" ht="15" hidden="1" outlineLevel="1" thickTop="1">
      <c r="A391" s="83" t="s">
        <v>245</v>
      </c>
      <c r="B391" s="143" t="s">
        <v>248</v>
      </c>
      <c r="C391" s="475" t="e">
        <f>_xll.BQL.QUERY("get(avg(px_last(start=" &amp; TEXT(#REF!, "YYYY-MM-DD") &amp; ", end=" &amp; TEXT(C$5, "YYYY-MM-DD") &amp; "))) for('"&amp;$B391&amp;"')")</f>
        <v>#REF!</v>
      </c>
      <c r="D391" s="475" t="e">
        <f>_xll.BQL.QUERY("get(avg(px_last(start=" &amp; TEXT(#REF!, "YYYY-MM-DD") &amp; ", end=" &amp; TEXT(D$5, "YYYY-MM-DD") &amp; "))) for('"&amp;$B391&amp;"')")</f>
        <v>#REF!</v>
      </c>
      <c r="E391" s="475" t="e">
        <f>_xll.BQL.QUERY("get(avg(px_last(start=" &amp; TEXT(#REF!, "YYYY-MM-DD") &amp; ", end=" &amp; TEXT(E$5, "YYYY-MM-DD") &amp; "))) for('"&amp;$B391&amp;"')")</f>
        <v>#REF!</v>
      </c>
      <c r="F391" s="335"/>
      <c r="G391" s="335"/>
      <c r="H391" s="335"/>
      <c r="I391" s="335"/>
      <c r="J391" s="475" t="e">
        <f>_xll.BQL.QUERY("get(avg(px_last(start=" &amp; TEXT(#REF!, "YYYY-MM-DD") &amp; ", end=" &amp; TEXT(J$5, "YYYY-MM-DD") &amp; "))) for('"&amp;$B391&amp;"')")</f>
        <v>#REF!</v>
      </c>
      <c r="K391" s="335"/>
      <c r="L391" s="335"/>
      <c r="M391" s="335"/>
      <c r="N391" s="335"/>
      <c r="O391" s="475" t="e">
        <f>_xll.BQL.QUERY("get(avg(px_last(start=" &amp; TEXT(#REF!, "YYYY-MM-DD") &amp; ", end=" &amp; TEXT(O$5, "YYYY-MM-DD") &amp; "))) for('"&amp;$B391&amp;"')")</f>
        <v>#REF!</v>
      </c>
      <c r="P391" s="335"/>
      <c r="Q391" s="335"/>
      <c r="R391" s="335"/>
      <c r="S391" s="335"/>
      <c r="T391" s="475">
        <f>_xll.BQL.QUERY("get(avg(px_last(start=" &amp; TEXT(O$5, "YYYY-MM-DD") &amp; ", end=" &amp; TEXT(T$5, "YYYY-MM-DD") &amp; "))) for('"&amp;$B391&amp;"')")</f>
        <v>8292</v>
      </c>
      <c r="U391" s="335"/>
      <c r="V391" s="335"/>
      <c r="W391" s="335"/>
      <c r="X391" s="335"/>
      <c r="Y391" s="475">
        <f>_xll.BQL.QUERY("get(avg(px_last(start=" &amp; TEXT(T$5, "YYYY-MM-DD") &amp; ", end=" &amp; TEXT(Y$5, "YYYY-MM-DD") &amp; "))) for('"&amp;$B391&amp;"')")</f>
        <v>10378.5</v>
      </c>
      <c r="Z391" s="335"/>
      <c r="AA391" s="335"/>
      <c r="AB391" s="335"/>
      <c r="AC391" s="335"/>
      <c r="AD391" s="540">
        <f>_xll.BQL.QUERY("get(avg(px_last(start=" &amp; TEXT(Y$5, "YYYY-MM-DD") &amp; ", end=" &amp; TEXT(AD$5, "YYYY-MM-DD") &amp; "))) for('"&amp;$B391&amp;"')")</f>
        <v>13075</v>
      </c>
      <c r="AE391" s="335"/>
      <c r="AF391" s="335"/>
      <c r="AG391" s="335"/>
      <c r="AH391" s="280"/>
      <c r="AI391" s="320"/>
      <c r="AJ391" s="280"/>
      <c r="AK391" s="280"/>
      <c r="AL391" s="280"/>
      <c r="AM391" s="280"/>
      <c r="AN391" s="320"/>
      <c r="AO391" s="280"/>
      <c r="AP391" s="280"/>
      <c r="AQ391" s="280"/>
      <c r="AR391" s="280"/>
      <c r="AS391" s="320"/>
      <c r="AT391" s="315"/>
      <c r="AU391" s="508"/>
      <c r="AV391" s="143"/>
      <c r="AW391" s="143"/>
      <c r="AX391" s="143"/>
      <c r="AY391" s="143"/>
      <c r="AZ391" s="143"/>
      <c r="BA391" s="143"/>
      <c r="BB391" s="143"/>
      <c r="BC391" s="143"/>
      <c r="BD391" s="143"/>
      <c r="BE391" s="143"/>
      <c r="BF391" s="143"/>
      <c r="BG391" s="143"/>
      <c r="BH391" s="143"/>
      <c r="BI391" s="143"/>
      <c r="BJ391" s="143"/>
      <c r="BK391" s="143"/>
      <c r="BL391" s="143"/>
      <c r="BM391" s="143"/>
      <c r="BN391" s="143"/>
      <c r="BO391" s="143"/>
      <c r="BP391" s="143"/>
      <c r="BQ391" s="143"/>
      <c r="BR391" s="143"/>
      <c r="BS391" s="143"/>
      <c r="BT391" s="143"/>
      <c r="BU391" s="143"/>
      <c r="BV391" s="143"/>
      <c r="BW391" s="143"/>
      <c r="BX391" s="143"/>
      <c r="BY391" s="143"/>
      <c r="BZ391" s="143"/>
      <c r="CA391" s="143"/>
      <c r="CB391" s="143"/>
      <c r="CC391" s="143"/>
      <c r="CD391" s="143"/>
      <c r="CE391" s="143"/>
      <c r="CF391" s="143"/>
      <c r="CG391" s="143"/>
      <c r="CH391" s="143"/>
      <c r="CI391" s="143"/>
      <c r="CJ391" s="143"/>
      <c r="CK391" s="143"/>
      <c r="CL391" s="143"/>
      <c r="CM391" s="143"/>
      <c r="CN391" s="143"/>
      <c r="CO391" s="143"/>
      <c r="CP391" s="143"/>
      <c r="CQ391" s="143"/>
      <c r="CR391" s="143"/>
      <c r="CS391" s="143"/>
      <c r="CT391" s="143"/>
      <c r="CU391" s="143"/>
      <c r="CV391" s="143"/>
      <c r="CW391" s="143"/>
      <c r="CX391" s="143"/>
      <c r="CY391" s="143"/>
      <c r="CZ391" s="143"/>
      <c r="DA391" s="143"/>
      <c r="DB391" s="143"/>
      <c r="DC391" s="143"/>
      <c r="DD391" s="143"/>
      <c r="DE391" s="143"/>
      <c r="DF391" s="143"/>
      <c r="DG391" s="143"/>
      <c r="DH391" s="143"/>
      <c r="DI391" s="143"/>
      <c r="DJ391" s="143"/>
      <c r="DK391" s="143"/>
      <c r="DL391" s="143"/>
      <c r="DM391" s="143"/>
      <c r="DN391" s="143"/>
      <c r="DO391" s="143"/>
      <c r="DP391" s="143"/>
      <c r="DQ391" s="143"/>
      <c r="DR391" s="143"/>
      <c r="DS391" s="143"/>
      <c r="DT391" s="143"/>
      <c r="DU391" s="143"/>
      <c r="DV391" s="143"/>
      <c r="DW391" s="143"/>
      <c r="DX391" s="143"/>
      <c r="DY391" s="143"/>
      <c r="DZ391" s="143"/>
      <c r="EA391" s="143"/>
      <c r="EB391" s="143"/>
      <c r="EC391" s="143"/>
      <c r="ED391" s="143"/>
      <c r="EE391" s="143"/>
      <c r="EF391" s="143"/>
      <c r="EG391" s="143"/>
      <c r="EH391" s="143"/>
      <c r="EI391" s="143"/>
      <c r="EJ391" s="143"/>
      <c r="EK391" s="143"/>
      <c r="EL391" s="143"/>
      <c r="EM391" s="143"/>
      <c r="EN391" s="143"/>
      <c r="EO391" s="143"/>
      <c r="EP391" s="143"/>
      <c r="EQ391" s="143"/>
      <c r="ER391" s="143"/>
      <c r="ES391" s="143"/>
      <c r="ET391" s="143"/>
      <c r="EU391" s="143"/>
      <c r="EV391" s="143"/>
      <c r="EW391" s="143"/>
      <c r="EX391" s="143"/>
      <c r="EY391" s="143"/>
      <c r="EZ391" s="143"/>
      <c r="FA391" s="143"/>
      <c r="FB391" s="143"/>
      <c r="FC391" s="143"/>
      <c r="FD391" s="143"/>
      <c r="FE391" s="143"/>
      <c r="FF391" s="143"/>
      <c r="FG391" s="143"/>
      <c r="FH391" s="143"/>
      <c r="FI391" s="143"/>
      <c r="FJ391" s="143"/>
      <c r="FK391" s="143"/>
      <c r="FL391" s="143"/>
      <c r="FM391" s="143"/>
      <c r="FN391" s="143"/>
      <c r="FO391" s="143"/>
      <c r="FP391" s="143"/>
      <c r="FQ391" s="143"/>
      <c r="FR391" s="143"/>
      <c r="FS391" s="143"/>
      <c r="FT391" s="143"/>
      <c r="FU391" s="143"/>
      <c r="FV391" s="143"/>
      <c r="FW391" s="143"/>
      <c r="FX391" s="143"/>
      <c r="FY391" s="143"/>
      <c r="FZ391" s="143"/>
      <c r="GA391" s="143"/>
      <c r="GB391" s="143"/>
      <c r="GC391" s="143"/>
      <c r="GD391" s="143"/>
      <c r="GE391" s="143"/>
      <c r="GF391" s="143"/>
      <c r="GG391" s="143"/>
      <c r="GH391" s="143"/>
      <c r="GI391" s="143"/>
      <c r="GJ391" s="143"/>
      <c r="GK391" s="143"/>
      <c r="GL391" s="143"/>
      <c r="GM391" s="143"/>
      <c r="GN391" s="143"/>
      <c r="GO391" s="143"/>
      <c r="GP391" s="143"/>
      <c r="GQ391" s="143"/>
      <c r="GR391" s="143"/>
      <c r="GS391" s="143"/>
      <c r="GT391" s="143"/>
      <c r="GU391" s="143"/>
      <c r="GV391" s="143"/>
      <c r="GW391" s="143"/>
      <c r="GX391" s="143"/>
      <c r="GY391" s="143"/>
      <c r="GZ391" s="143"/>
      <c r="HA391" s="143"/>
      <c r="HB391" s="143"/>
      <c r="HC391" s="143"/>
      <c r="HD391" s="143"/>
      <c r="HE391" s="143"/>
      <c r="HF391" s="143"/>
      <c r="HG391" s="143"/>
      <c r="HH391" s="143"/>
      <c r="HI391" s="143"/>
      <c r="HJ391" s="143"/>
      <c r="HK391" s="143"/>
      <c r="HL391" s="143"/>
      <c r="HM391" s="143"/>
      <c r="HN391" s="143"/>
      <c r="HO391" s="143"/>
      <c r="HP391" s="143"/>
      <c r="HQ391" s="143"/>
      <c r="HR391" s="143"/>
      <c r="HS391" s="143"/>
      <c r="HT391" s="143"/>
      <c r="HU391" s="143"/>
      <c r="HV391" s="143"/>
      <c r="HW391" s="143"/>
      <c r="HX391" s="143"/>
      <c r="HY391" s="143"/>
      <c r="HZ391" s="143"/>
      <c r="IA391" s="143"/>
      <c r="IB391" s="143"/>
      <c r="IC391" s="143"/>
      <c r="ID391" s="143"/>
      <c r="IE391" s="143"/>
      <c r="IF391" s="143"/>
      <c r="IG391" s="143"/>
      <c r="IH391" s="143"/>
      <c r="II391" s="143"/>
      <c r="IJ391" s="143"/>
      <c r="IK391" s="143"/>
      <c r="IL391" s="143"/>
      <c r="IM391" s="143"/>
      <c r="IN391" s="143"/>
      <c r="IO391" s="143"/>
      <c r="IP391" s="143"/>
      <c r="IQ391" s="143"/>
      <c r="IR391" s="143"/>
      <c r="IS391" s="143"/>
      <c r="IT391" s="143"/>
      <c r="IU391" s="143"/>
      <c r="IV391" s="143"/>
      <c r="IW391" s="143"/>
      <c r="IX391" s="143"/>
      <c r="IY391" s="143"/>
      <c r="IZ391" s="143"/>
      <c r="JA391" s="143"/>
      <c r="JB391" s="143"/>
      <c r="JC391" s="143"/>
      <c r="JD391" s="143"/>
      <c r="JE391" s="143"/>
      <c r="JF391" s="143"/>
      <c r="JG391" s="143"/>
      <c r="JH391" s="143"/>
      <c r="JI391" s="143"/>
    </row>
    <row r="392" spans="1:269" hidden="1" outlineLevel="1">
      <c r="A392" s="437" t="s">
        <v>208</v>
      </c>
      <c r="B392" s="143"/>
      <c r="C392" s="417" t="e">
        <f>C391/#REF!-1</f>
        <v>#REF!</v>
      </c>
      <c r="D392" s="417" t="e">
        <f>D391/#REF!-1</f>
        <v>#REF!</v>
      </c>
      <c r="E392" s="417" t="e">
        <f>E391/#REF!-1</f>
        <v>#REF!</v>
      </c>
      <c r="F392" s="414"/>
      <c r="G392" s="414"/>
      <c r="H392" s="414"/>
      <c r="I392" s="414"/>
      <c r="J392" s="417" t="e">
        <f>J391/#REF!-1</f>
        <v>#REF!</v>
      </c>
      <c r="K392" s="414"/>
      <c r="L392" s="414"/>
      <c r="M392" s="414"/>
      <c r="N392" s="414"/>
      <c r="O392" s="417" t="e">
        <f>O391/#REF!-1</f>
        <v>#REF!</v>
      </c>
      <c r="P392" s="414"/>
      <c r="Q392" s="414"/>
      <c r="R392" s="414"/>
      <c r="S392" s="414"/>
      <c r="T392" s="417" t="e">
        <f t="shared" ref="T392" si="820">T391/O391-1</f>
        <v>#REF!</v>
      </c>
      <c r="U392" s="414"/>
      <c r="V392" s="414"/>
      <c r="W392" s="414"/>
      <c r="X392" s="414"/>
      <c r="Y392" s="417">
        <f t="shared" ref="Y392" si="821">Y391/T391-1</f>
        <v>0.25162807525325626</v>
      </c>
      <c r="Z392" s="414"/>
      <c r="AA392" s="414"/>
      <c r="AB392" s="414"/>
      <c r="AC392" s="414"/>
      <c r="AD392" s="422">
        <f t="shared" ref="AD392" si="822">AD391/Y391-1</f>
        <v>0.25981596569831855</v>
      </c>
      <c r="AE392" s="414"/>
      <c r="AF392" s="414"/>
      <c r="AG392" s="414"/>
      <c r="AH392" s="280"/>
      <c r="AI392" s="320"/>
      <c r="AJ392" s="280"/>
      <c r="AK392" s="280"/>
      <c r="AL392" s="280"/>
      <c r="AM392" s="280"/>
      <c r="AN392" s="320"/>
      <c r="AO392" s="280"/>
      <c r="AP392" s="280"/>
      <c r="AQ392" s="280"/>
      <c r="AR392" s="280"/>
      <c r="AS392" s="320"/>
      <c r="AT392" s="315"/>
      <c r="AU392" s="508"/>
      <c r="AV392" s="143"/>
      <c r="AW392" s="143"/>
      <c r="AX392" s="143"/>
      <c r="AY392" s="143"/>
      <c r="AZ392" s="143"/>
      <c r="BA392" s="143"/>
      <c r="BB392" s="143"/>
      <c r="BC392" s="143"/>
      <c r="BD392" s="143"/>
      <c r="BE392" s="143"/>
      <c r="BF392" s="143"/>
      <c r="BG392" s="143"/>
      <c r="BH392" s="143"/>
      <c r="BI392" s="143"/>
      <c r="BJ392" s="143"/>
      <c r="BK392" s="143"/>
      <c r="BL392" s="143"/>
      <c r="BM392" s="143"/>
      <c r="BN392" s="143"/>
      <c r="BO392" s="143"/>
      <c r="BP392" s="143"/>
      <c r="BQ392" s="143"/>
      <c r="BR392" s="143"/>
      <c r="BS392" s="143"/>
      <c r="BT392" s="143"/>
      <c r="BU392" s="143"/>
      <c r="BV392" s="143"/>
      <c r="BW392" s="143"/>
      <c r="BX392" s="143"/>
      <c r="BY392" s="143"/>
      <c r="BZ392" s="143"/>
      <c r="CA392" s="143"/>
      <c r="CB392" s="143"/>
      <c r="CC392" s="143"/>
      <c r="CD392" s="143"/>
      <c r="CE392" s="143"/>
      <c r="CF392" s="143"/>
      <c r="CG392" s="143"/>
      <c r="CH392" s="143"/>
      <c r="CI392" s="143"/>
      <c r="CJ392" s="143"/>
      <c r="CK392" s="143"/>
      <c r="CL392" s="143"/>
      <c r="CM392" s="143"/>
      <c r="CN392" s="143"/>
      <c r="CO392" s="143"/>
      <c r="CP392" s="143"/>
      <c r="CQ392" s="143"/>
      <c r="CR392" s="143"/>
      <c r="CS392" s="143"/>
      <c r="CT392" s="143"/>
      <c r="CU392" s="143"/>
      <c r="CV392" s="143"/>
      <c r="CW392" s="143"/>
      <c r="CX392" s="143"/>
      <c r="CY392" s="143"/>
      <c r="CZ392" s="143"/>
      <c r="DA392" s="143"/>
      <c r="DB392" s="143"/>
      <c r="DC392" s="143"/>
      <c r="DD392" s="143"/>
      <c r="DE392" s="143"/>
      <c r="DF392" s="143"/>
      <c r="DG392" s="143"/>
      <c r="DH392" s="143"/>
      <c r="DI392" s="143"/>
      <c r="DJ392" s="143"/>
      <c r="DK392" s="143"/>
      <c r="DL392" s="143"/>
      <c r="DM392" s="143"/>
      <c r="DN392" s="143"/>
      <c r="DO392" s="143"/>
      <c r="DP392" s="143"/>
      <c r="DQ392" s="143"/>
      <c r="DR392" s="143"/>
      <c r="DS392" s="143"/>
      <c r="DT392" s="143"/>
      <c r="DU392" s="143"/>
      <c r="DV392" s="143"/>
      <c r="DW392" s="143"/>
      <c r="DX392" s="143"/>
      <c r="DY392" s="143"/>
      <c r="DZ392" s="143"/>
      <c r="EA392" s="143"/>
      <c r="EB392" s="143"/>
      <c r="EC392" s="143"/>
      <c r="ED392" s="143"/>
      <c r="EE392" s="143"/>
      <c r="EF392" s="143"/>
      <c r="EG392" s="143"/>
      <c r="EH392" s="143"/>
      <c r="EI392" s="143"/>
      <c r="EJ392" s="143"/>
      <c r="EK392" s="143"/>
      <c r="EL392" s="143"/>
      <c r="EM392" s="143"/>
      <c r="EN392" s="143"/>
      <c r="EO392" s="143"/>
      <c r="EP392" s="143"/>
      <c r="EQ392" s="143"/>
      <c r="ER392" s="143"/>
      <c r="ES392" s="143"/>
      <c r="ET392" s="143"/>
      <c r="EU392" s="143"/>
      <c r="EV392" s="143"/>
      <c r="EW392" s="143"/>
      <c r="EX392" s="143"/>
      <c r="EY392" s="143"/>
      <c r="EZ392" s="143"/>
      <c r="FA392" s="143"/>
      <c r="FB392" s="143"/>
      <c r="FC392" s="143"/>
      <c r="FD392" s="143"/>
      <c r="FE392" s="143"/>
      <c r="FF392" s="143"/>
      <c r="FG392" s="143"/>
      <c r="FH392" s="143"/>
      <c r="FI392" s="143"/>
      <c r="FJ392" s="143"/>
      <c r="FK392" s="143"/>
      <c r="FL392" s="143"/>
      <c r="FM392" s="143"/>
      <c r="FN392" s="143"/>
      <c r="FO392" s="143"/>
      <c r="FP392" s="143"/>
      <c r="FQ392" s="143"/>
      <c r="FR392" s="143"/>
      <c r="FS392" s="143"/>
      <c r="FT392" s="143"/>
      <c r="FU392" s="143"/>
      <c r="FV392" s="143"/>
      <c r="FW392" s="143"/>
      <c r="FX392" s="143"/>
      <c r="FY392" s="143"/>
      <c r="FZ392" s="143"/>
      <c r="GA392" s="143"/>
      <c r="GB392" s="143"/>
      <c r="GC392" s="143"/>
      <c r="GD392" s="143"/>
      <c r="GE392" s="143"/>
      <c r="GF392" s="143"/>
      <c r="GG392" s="143"/>
      <c r="GH392" s="143"/>
      <c r="GI392" s="143"/>
      <c r="GJ392" s="143"/>
      <c r="GK392" s="143"/>
      <c r="GL392" s="143"/>
      <c r="GM392" s="143"/>
      <c r="GN392" s="143"/>
      <c r="GO392" s="143"/>
      <c r="GP392" s="143"/>
      <c r="GQ392" s="143"/>
      <c r="GR392" s="143"/>
      <c r="GS392" s="143"/>
      <c r="GT392" s="143"/>
      <c r="GU392" s="143"/>
      <c r="GV392" s="143"/>
      <c r="GW392" s="143"/>
      <c r="GX392" s="143"/>
      <c r="GY392" s="143"/>
      <c r="GZ392" s="143"/>
      <c r="HA392" s="143"/>
      <c r="HB392" s="143"/>
      <c r="HC392" s="143"/>
      <c r="HD392" s="143"/>
      <c r="HE392" s="143"/>
      <c r="HF392" s="143"/>
      <c r="HG392" s="143"/>
      <c r="HH392" s="143"/>
      <c r="HI392" s="143"/>
      <c r="HJ392" s="143"/>
      <c r="HK392" s="143"/>
      <c r="HL392" s="143"/>
      <c r="HM392" s="143"/>
      <c r="HN392" s="143"/>
      <c r="HO392" s="143"/>
      <c r="HP392" s="143"/>
      <c r="HQ392" s="143"/>
      <c r="HR392" s="143"/>
      <c r="HS392" s="143"/>
      <c r="HT392" s="143"/>
      <c r="HU392" s="143"/>
      <c r="HV392" s="143"/>
      <c r="HW392" s="143"/>
      <c r="HX392" s="143"/>
      <c r="HY392" s="143"/>
      <c r="HZ392" s="143"/>
      <c r="IA392" s="143"/>
      <c r="IB392" s="143"/>
      <c r="IC392" s="143"/>
      <c r="ID392" s="143"/>
      <c r="IE392" s="143"/>
      <c r="IF392" s="143"/>
      <c r="IG392" s="143"/>
      <c r="IH392" s="143"/>
      <c r="II392" s="143"/>
      <c r="IJ392" s="143"/>
      <c r="IK392" s="143"/>
      <c r="IL392" s="143"/>
      <c r="IM392" s="143"/>
      <c r="IN392" s="143"/>
      <c r="IO392" s="143"/>
      <c r="IP392" s="143"/>
      <c r="IQ392" s="143"/>
      <c r="IR392" s="143"/>
      <c r="IS392" s="143"/>
      <c r="IT392" s="143"/>
      <c r="IU392" s="143"/>
      <c r="IV392" s="143"/>
      <c r="IW392" s="143"/>
      <c r="IX392" s="143"/>
      <c r="IY392" s="143"/>
      <c r="IZ392" s="143"/>
      <c r="JA392" s="143"/>
      <c r="JB392" s="143"/>
      <c r="JC392" s="143"/>
      <c r="JD392" s="143"/>
      <c r="JE392" s="143"/>
      <c r="JF392" s="143"/>
      <c r="JG392" s="143"/>
      <c r="JH392" s="143"/>
      <c r="JI392" s="143"/>
    </row>
    <row r="393" spans="1:269" hidden="1" outlineLevel="1">
      <c r="A393" s="437" t="s">
        <v>207</v>
      </c>
      <c r="B393" s="143"/>
      <c r="C393" s="417" t="e">
        <f>C391/#REF!-1</f>
        <v>#REF!</v>
      </c>
      <c r="D393" s="417" t="e">
        <f>D391/#REF!-1</f>
        <v>#REF!</v>
      </c>
      <c r="E393" s="417" t="e">
        <f>E391/#REF!-1</f>
        <v>#REF!</v>
      </c>
      <c r="F393" s="414"/>
      <c r="G393" s="414"/>
      <c r="H393" s="414"/>
      <c r="I393" s="414"/>
      <c r="J393" s="417" t="e">
        <f>J391/#REF!-1</f>
        <v>#REF!</v>
      </c>
      <c r="K393" s="414"/>
      <c r="L393" s="414"/>
      <c r="M393" s="414"/>
      <c r="N393" s="414"/>
      <c r="O393" s="417" t="e">
        <f>O391/#REF!-1</f>
        <v>#REF!</v>
      </c>
      <c r="P393" s="414"/>
      <c r="Q393" s="414"/>
      <c r="R393" s="414"/>
      <c r="S393" s="414"/>
      <c r="T393" s="417" t="e">
        <f>T391/#REF!-1</f>
        <v>#REF!</v>
      </c>
      <c r="U393" s="414"/>
      <c r="V393" s="414"/>
      <c r="W393" s="414"/>
      <c r="X393" s="414"/>
      <c r="Y393" s="417" t="e">
        <f>Y391/#REF!-1</f>
        <v>#REF!</v>
      </c>
      <c r="Z393" s="414"/>
      <c r="AA393" s="414"/>
      <c r="AB393" s="414"/>
      <c r="AC393" s="414"/>
      <c r="AD393" s="422" t="e">
        <f>AD391/#REF!-1</f>
        <v>#REF!</v>
      </c>
      <c r="AE393" s="414"/>
      <c r="AF393" s="414"/>
      <c r="AG393" s="414"/>
      <c r="AH393" s="280"/>
      <c r="AI393" s="320"/>
      <c r="AJ393" s="280"/>
      <c r="AK393" s="280"/>
      <c r="AL393" s="280"/>
      <c r="AM393" s="280"/>
      <c r="AN393" s="320"/>
      <c r="AO393" s="280"/>
      <c r="AP393" s="280"/>
      <c r="AQ393" s="280"/>
      <c r="AR393" s="280"/>
      <c r="AS393" s="320"/>
      <c r="AT393" s="315"/>
      <c r="AU393" s="508"/>
      <c r="AV393" s="143"/>
      <c r="AW393" s="143"/>
      <c r="AX393" s="143"/>
      <c r="AY393" s="143"/>
      <c r="AZ393" s="143"/>
      <c r="BA393" s="143"/>
      <c r="BB393" s="143"/>
      <c r="BC393" s="143"/>
      <c r="BD393" s="143"/>
      <c r="BE393" s="143"/>
      <c r="BF393" s="143"/>
      <c r="BG393" s="143"/>
      <c r="BH393" s="143"/>
      <c r="BI393" s="143"/>
      <c r="BJ393" s="143"/>
      <c r="BK393" s="143"/>
      <c r="BL393" s="143"/>
      <c r="BM393" s="143"/>
      <c r="BN393" s="143"/>
      <c r="BO393" s="143"/>
      <c r="BP393" s="143"/>
      <c r="BQ393" s="143"/>
      <c r="BR393" s="143"/>
      <c r="BS393" s="143"/>
      <c r="BT393" s="143"/>
      <c r="BU393" s="143"/>
      <c r="BV393" s="143"/>
      <c r="BW393" s="143"/>
      <c r="BX393" s="143"/>
      <c r="BY393" s="143"/>
      <c r="BZ393" s="143"/>
      <c r="CA393" s="143"/>
      <c r="CB393" s="143"/>
      <c r="CC393" s="143"/>
      <c r="CD393" s="143"/>
      <c r="CE393" s="143"/>
      <c r="CF393" s="143"/>
      <c r="CG393" s="143"/>
      <c r="CH393" s="143"/>
      <c r="CI393" s="143"/>
      <c r="CJ393" s="143"/>
      <c r="CK393" s="143"/>
      <c r="CL393" s="143"/>
      <c r="CM393" s="143"/>
      <c r="CN393" s="143"/>
      <c r="CO393" s="143"/>
      <c r="CP393" s="143"/>
      <c r="CQ393" s="143"/>
      <c r="CR393" s="143"/>
      <c r="CS393" s="143"/>
      <c r="CT393" s="143"/>
      <c r="CU393" s="143"/>
      <c r="CV393" s="143"/>
      <c r="CW393" s="143"/>
      <c r="CX393" s="143"/>
      <c r="CY393" s="143"/>
      <c r="CZ393" s="143"/>
      <c r="DA393" s="143"/>
      <c r="DB393" s="143"/>
      <c r="DC393" s="143"/>
      <c r="DD393" s="143"/>
      <c r="DE393" s="143"/>
      <c r="DF393" s="143"/>
      <c r="DG393" s="143"/>
      <c r="DH393" s="143"/>
      <c r="DI393" s="143"/>
      <c r="DJ393" s="143"/>
      <c r="DK393" s="143"/>
      <c r="DL393" s="143"/>
      <c r="DM393" s="143"/>
      <c r="DN393" s="143"/>
      <c r="DO393" s="143"/>
      <c r="DP393" s="143"/>
      <c r="DQ393" s="143"/>
      <c r="DR393" s="143"/>
      <c r="DS393" s="143"/>
      <c r="DT393" s="143"/>
      <c r="DU393" s="143"/>
      <c r="DV393" s="143"/>
      <c r="DW393" s="143"/>
      <c r="DX393" s="143"/>
      <c r="DY393" s="143"/>
      <c r="DZ393" s="143"/>
      <c r="EA393" s="143"/>
      <c r="EB393" s="143"/>
      <c r="EC393" s="143"/>
      <c r="ED393" s="143"/>
      <c r="EE393" s="143"/>
      <c r="EF393" s="143"/>
      <c r="EG393" s="143"/>
      <c r="EH393" s="143"/>
      <c r="EI393" s="143"/>
      <c r="EJ393" s="143"/>
      <c r="EK393" s="143"/>
      <c r="EL393" s="143"/>
      <c r="EM393" s="143"/>
      <c r="EN393" s="143"/>
      <c r="EO393" s="143"/>
      <c r="EP393" s="143"/>
      <c r="EQ393" s="143"/>
      <c r="ER393" s="143"/>
      <c r="ES393" s="143"/>
      <c r="ET393" s="143"/>
      <c r="EU393" s="143"/>
      <c r="EV393" s="143"/>
      <c r="EW393" s="143"/>
      <c r="EX393" s="143"/>
      <c r="EY393" s="143"/>
      <c r="EZ393" s="143"/>
      <c r="FA393" s="143"/>
      <c r="FB393" s="143"/>
      <c r="FC393" s="143"/>
      <c r="FD393" s="143"/>
      <c r="FE393" s="143"/>
      <c r="FF393" s="143"/>
      <c r="FG393" s="143"/>
      <c r="FH393" s="143"/>
      <c r="FI393" s="143"/>
      <c r="FJ393" s="143"/>
      <c r="FK393" s="143"/>
      <c r="FL393" s="143"/>
      <c r="FM393" s="143"/>
      <c r="FN393" s="143"/>
      <c r="FO393" s="143"/>
      <c r="FP393" s="143"/>
      <c r="FQ393" s="143"/>
      <c r="FR393" s="143"/>
      <c r="FS393" s="143"/>
      <c r="FT393" s="143"/>
      <c r="FU393" s="143"/>
      <c r="FV393" s="143"/>
      <c r="FW393" s="143"/>
      <c r="FX393" s="143"/>
      <c r="FY393" s="143"/>
      <c r="FZ393" s="143"/>
      <c r="GA393" s="143"/>
      <c r="GB393" s="143"/>
      <c r="GC393" s="143"/>
      <c r="GD393" s="143"/>
      <c r="GE393" s="143"/>
      <c r="GF393" s="143"/>
      <c r="GG393" s="143"/>
      <c r="GH393" s="143"/>
      <c r="GI393" s="143"/>
      <c r="GJ393" s="143"/>
      <c r="GK393" s="143"/>
      <c r="GL393" s="143"/>
      <c r="GM393" s="143"/>
      <c r="GN393" s="143"/>
      <c r="GO393" s="143"/>
      <c r="GP393" s="143"/>
      <c r="GQ393" s="143"/>
      <c r="GR393" s="143"/>
      <c r="GS393" s="143"/>
      <c r="GT393" s="143"/>
      <c r="GU393" s="143"/>
      <c r="GV393" s="143"/>
      <c r="GW393" s="143"/>
      <c r="GX393" s="143"/>
      <c r="GY393" s="143"/>
      <c r="GZ393" s="143"/>
      <c r="HA393" s="143"/>
      <c r="HB393" s="143"/>
      <c r="HC393" s="143"/>
      <c r="HD393" s="143"/>
      <c r="HE393" s="143"/>
      <c r="HF393" s="143"/>
      <c r="HG393" s="143"/>
      <c r="HH393" s="143"/>
      <c r="HI393" s="143"/>
      <c r="HJ393" s="143"/>
      <c r="HK393" s="143"/>
      <c r="HL393" s="143"/>
      <c r="HM393" s="143"/>
      <c r="HN393" s="143"/>
      <c r="HO393" s="143"/>
      <c r="HP393" s="143"/>
      <c r="HQ393" s="143"/>
      <c r="HR393" s="143"/>
      <c r="HS393" s="143"/>
      <c r="HT393" s="143"/>
      <c r="HU393" s="143"/>
      <c r="HV393" s="143"/>
      <c r="HW393" s="143"/>
      <c r="HX393" s="143"/>
      <c r="HY393" s="143"/>
      <c r="HZ393" s="143"/>
      <c r="IA393" s="143"/>
      <c r="IB393" s="143"/>
      <c r="IC393" s="143"/>
      <c r="ID393" s="143"/>
      <c r="IE393" s="143"/>
      <c r="IF393" s="143"/>
      <c r="IG393" s="143"/>
      <c r="IH393" s="143"/>
      <c r="II393" s="143"/>
      <c r="IJ393" s="143"/>
      <c r="IK393" s="143"/>
      <c r="IL393" s="143"/>
      <c r="IM393" s="143"/>
      <c r="IN393" s="143"/>
      <c r="IO393" s="143"/>
      <c r="IP393" s="143"/>
      <c r="IQ393" s="143"/>
      <c r="IR393" s="143"/>
      <c r="IS393" s="143"/>
      <c r="IT393" s="143"/>
      <c r="IU393" s="143"/>
      <c r="IV393" s="143"/>
      <c r="IW393" s="143"/>
      <c r="IX393" s="143"/>
      <c r="IY393" s="143"/>
      <c r="IZ393" s="143"/>
      <c r="JA393" s="143"/>
      <c r="JB393" s="143"/>
      <c r="JC393" s="143"/>
      <c r="JD393" s="143"/>
      <c r="JE393" s="143"/>
      <c r="JF393" s="143"/>
      <c r="JG393" s="143"/>
      <c r="JH393" s="143"/>
      <c r="JI393" s="143"/>
    </row>
    <row r="394" spans="1:269" hidden="1" outlineLevel="1">
      <c r="A394" s="437"/>
      <c r="B394" s="143"/>
      <c r="C394" s="417"/>
      <c r="D394" s="417"/>
      <c r="E394" s="417"/>
      <c r="F394" s="414"/>
      <c r="G394" s="414"/>
      <c r="H394" s="414"/>
      <c r="I394" s="414"/>
      <c r="J394" s="417"/>
      <c r="K394" s="414"/>
      <c r="L394" s="414"/>
      <c r="M394" s="414"/>
      <c r="N394" s="414"/>
      <c r="O394" s="417"/>
      <c r="P394" s="414"/>
      <c r="Q394" s="414"/>
      <c r="R394" s="414"/>
      <c r="S394" s="414"/>
      <c r="T394" s="417"/>
      <c r="U394" s="414"/>
      <c r="V394" s="414"/>
      <c r="W394" s="414"/>
      <c r="X394" s="414"/>
      <c r="Y394" s="417"/>
      <c r="Z394" s="414"/>
      <c r="AA394" s="414"/>
      <c r="AB394" s="414"/>
      <c r="AC394" s="414"/>
      <c r="AD394" s="422"/>
      <c r="AE394" s="414"/>
      <c r="AF394" s="414"/>
      <c r="AG394" s="414"/>
      <c r="AH394" s="280"/>
      <c r="AI394" s="320"/>
      <c r="AJ394" s="280"/>
      <c r="AK394" s="280"/>
      <c r="AL394" s="280"/>
      <c r="AM394" s="280"/>
      <c r="AN394" s="320"/>
      <c r="AO394" s="280"/>
      <c r="AP394" s="280"/>
      <c r="AQ394" s="280"/>
      <c r="AR394" s="280"/>
      <c r="AS394" s="320"/>
      <c r="AT394" s="315"/>
      <c r="AU394" s="508"/>
      <c r="AV394" s="143"/>
      <c r="AW394" s="143"/>
      <c r="AX394" s="143"/>
      <c r="AY394" s="143"/>
      <c r="AZ394" s="143"/>
      <c r="BA394" s="143"/>
      <c r="BB394" s="143"/>
      <c r="BC394" s="143"/>
      <c r="BD394" s="143"/>
      <c r="BE394" s="143"/>
      <c r="BF394" s="143"/>
      <c r="BG394" s="143"/>
      <c r="BH394" s="143"/>
      <c r="BI394" s="143"/>
      <c r="BJ394" s="143"/>
      <c r="BK394" s="143"/>
      <c r="BL394" s="143"/>
      <c r="BM394" s="143"/>
      <c r="BN394" s="143"/>
      <c r="BO394" s="143"/>
      <c r="BP394" s="143"/>
      <c r="BQ394" s="143"/>
      <c r="BR394" s="143"/>
      <c r="BS394" s="143"/>
      <c r="BT394" s="143"/>
      <c r="BU394" s="143"/>
      <c r="BV394" s="143"/>
      <c r="BW394" s="143"/>
      <c r="BX394" s="143"/>
      <c r="BY394" s="143"/>
      <c r="BZ394" s="143"/>
      <c r="CA394" s="143"/>
      <c r="CB394" s="143"/>
      <c r="CC394" s="143"/>
      <c r="CD394" s="143"/>
      <c r="CE394" s="143"/>
      <c r="CF394" s="143"/>
      <c r="CG394" s="143"/>
      <c r="CH394" s="143"/>
      <c r="CI394" s="143"/>
      <c r="CJ394" s="143"/>
      <c r="CK394" s="143"/>
      <c r="CL394" s="143"/>
      <c r="CM394" s="143"/>
      <c r="CN394" s="143"/>
      <c r="CO394" s="143"/>
      <c r="CP394" s="143"/>
      <c r="CQ394" s="143"/>
      <c r="CR394" s="143"/>
      <c r="CS394" s="143"/>
      <c r="CT394" s="143"/>
      <c r="CU394" s="143"/>
      <c r="CV394" s="143"/>
      <c r="CW394" s="143"/>
      <c r="CX394" s="143"/>
      <c r="CY394" s="143"/>
      <c r="CZ394" s="143"/>
      <c r="DA394" s="143"/>
      <c r="DB394" s="143"/>
      <c r="DC394" s="143"/>
      <c r="DD394" s="143"/>
      <c r="DE394" s="143"/>
      <c r="DF394" s="143"/>
      <c r="DG394" s="143"/>
      <c r="DH394" s="143"/>
      <c r="DI394" s="143"/>
      <c r="DJ394" s="143"/>
      <c r="DK394" s="143"/>
      <c r="DL394" s="143"/>
      <c r="DM394" s="143"/>
      <c r="DN394" s="143"/>
      <c r="DO394" s="143"/>
      <c r="DP394" s="143"/>
      <c r="DQ394" s="143"/>
      <c r="DR394" s="143"/>
      <c r="DS394" s="143"/>
      <c r="DT394" s="143"/>
      <c r="DU394" s="143"/>
      <c r="DV394" s="143"/>
      <c r="DW394" s="143"/>
      <c r="DX394" s="143"/>
      <c r="DY394" s="143"/>
      <c r="DZ394" s="143"/>
      <c r="EA394" s="143"/>
      <c r="EB394" s="143"/>
      <c r="EC394" s="143"/>
      <c r="ED394" s="143"/>
      <c r="EE394" s="143"/>
      <c r="EF394" s="143"/>
      <c r="EG394" s="143"/>
      <c r="EH394" s="143"/>
      <c r="EI394" s="143"/>
      <c r="EJ394" s="143"/>
      <c r="EK394" s="143"/>
      <c r="EL394" s="143"/>
      <c r="EM394" s="143"/>
      <c r="EN394" s="143"/>
      <c r="EO394" s="143"/>
      <c r="EP394" s="143"/>
      <c r="EQ394" s="143"/>
      <c r="ER394" s="143"/>
      <c r="ES394" s="143"/>
      <c r="ET394" s="143"/>
      <c r="EU394" s="143"/>
      <c r="EV394" s="143"/>
      <c r="EW394" s="143"/>
      <c r="EX394" s="143"/>
      <c r="EY394" s="143"/>
      <c r="EZ394" s="143"/>
      <c r="FA394" s="143"/>
      <c r="FB394" s="143"/>
      <c r="FC394" s="143"/>
      <c r="FD394" s="143"/>
      <c r="FE394" s="143"/>
      <c r="FF394" s="143"/>
      <c r="FG394" s="143"/>
      <c r="FH394" s="143"/>
      <c r="FI394" s="143"/>
      <c r="FJ394" s="143"/>
      <c r="FK394" s="143"/>
      <c r="FL394" s="143"/>
      <c r="FM394" s="143"/>
      <c r="FN394" s="143"/>
      <c r="FO394" s="143"/>
      <c r="FP394" s="143"/>
      <c r="FQ394" s="143"/>
      <c r="FR394" s="143"/>
      <c r="FS394" s="143"/>
      <c r="FT394" s="143"/>
      <c r="FU394" s="143"/>
      <c r="FV394" s="143"/>
      <c r="FW394" s="143"/>
      <c r="FX394" s="143"/>
      <c r="FY394" s="143"/>
      <c r="FZ394" s="143"/>
      <c r="GA394" s="143"/>
      <c r="GB394" s="143"/>
      <c r="GC394" s="143"/>
      <c r="GD394" s="143"/>
      <c r="GE394" s="143"/>
      <c r="GF394" s="143"/>
      <c r="GG394" s="143"/>
      <c r="GH394" s="143"/>
      <c r="GI394" s="143"/>
      <c r="GJ394" s="143"/>
      <c r="GK394" s="143"/>
      <c r="GL394" s="143"/>
      <c r="GM394" s="143"/>
      <c r="GN394" s="143"/>
      <c r="GO394" s="143"/>
      <c r="GP394" s="143"/>
      <c r="GQ394" s="143"/>
      <c r="GR394" s="143"/>
      <c r="GS394" s="143"/>
      <c r="GT394" s="143"/>
      <c r="GU394" s="143"/>
      <c r="GV394" s="143"/>
      <c r="GW394" s="143"/>
      <c r="GX394" s="143"/>
      <c r="GY394" s="143"/>
      <c r="GZ394" s="143"/>
      <c r="HA394" s="143"/>
      <c r="HB394" s="143"/>
      <c r="HC394" s="143"/>
      <c r="HD394" s="143"/>
      <c r="HE394" s="143"/>
      <c r="HF394" s="143"/>
      <c r="HG394" s="143"/>
      <c r="HH394" s="143"/>
      <c r="HI394" s="143"/>
      <c r="HJ394" s="143"/>
      <c r="HK394" s="143"/>
      <c r="HL394" s="143"/>
      <c r="HM394" s="143"/>
      <c r="HN394" s="143"/>
      <c r="HO394" s="143"/>
      <c r="HP394" s="143"/>
      <c r="HQ394" s="143"/>
      <c r="HR394" s="143"/>
      <c r="HS394" s="143"/>
      <c r="HT394" s="143"/>
      <c r="HU394" s="143"/>
      <c r="HV394" s="143"/>
      <c r="HW394" s="143"/>
      <c r="HX394" s="143"/>
      <c r="HY394" s="143"/>
      <c r="HZ394" s="143"/>
      <c r="IA394" s="143"/>
      <c r="IB394" s="143"/>
      <c r="IC394" s="143"/>
      <c r="ID394" s="143"/>
      <c r="IE394" s="143"/>
      <c r="IF394" s="143"/>
      <c r="IG394" s="143"/>
      <c r="IH394" s="143"/>
      <c r="II394" s="143"/>
      <c r="IJ394" s="143"/>
      <c r="IK394" s="143"/>
      <c r="IL394" s="143"/>
      <c r="IM394" s="143"/>
      <c r="IN394" s="143"/>
      <c r="IO394" s="143"/>
      <c r="IP394" s="143"/>
      <c r="IQ394" s="143"/>
      <c r="IR394" s="143"/>
      <c r="IS394" s="143"/>
      <c r="IT394" s="143"/>
      <c r="IU394" s="143"/>
      <c r="IV394" s="143"/>
      <c r="IW394" s="143"/>
      <c r="IX394" s="143"/>
      <c r="IY394" s="143"/>
      <c r="IZ394" s="143"/>
      <c r="JA394" s="143"/>
      <c r="JB394" s="143"/>
      <c r="JC394" s="143"/>
      <c r="JD394" s="143"/>
      <c r="JE394" s="143"/>
      <c r="JF394" s="143"/>
      <c r="JG394" s="143"/>
      <c r="JH394" s="143"/>
      <c r="JI394" s="143"/>
    </row>
    <row r="395" spans="1:269" hidden="1" outlineLevel="1">
      <c r="A395" s="83" t="s">
        <v>246</v>
      </c>
      <c r="B395" s="143" t="s">
        <v>247</v>
      </c>
      <c r="C395" s="475" t="e">
        <f>_xll.BQL.QUERY("get(avg(px_last(start=" &amp; TEXT(#REF!, "YYYY-MM-DD") &amp; ", end=" &amp; TEXT(C$5, "YYYY-MM-DD") &amp; "))) for('"&amp;$B395&amp;"')")</f>
        <v>#REF!</v>
      </c>
      <c r="D395" s="475" t="e">
        <f>_xll.BQL.QUERY("get(avg(px_last(start=" &amp; TEXT(#REF!, "YYYY-MM-DD") &amp; ", end=" &amp; TEXT(D$5, "YYYY-MM-DD") &amp; "))) for('"&amp;$B395&amp;"')")</f>
        <v>#REF!</v>
      </c>
      <c r="E395" s="475" t="e">
        <f>_xll.BQL.QUERY("get(avg(px_last(start=" &amp; TEXT(#REF!, "YYYY-MM-DD") &amp; ", end=" &amp; TEXT(E$5, "YYYY-MM-DD") &amp; "))) for('"&amp;$B395&amp;"')")</f>
        <v>#REF!</v>
      </c>
      <c r="F395" s="335"/>
      <c r="G395" s="335"/>
      <c r="H395" s="335"/>
      <c r="I395" s="335"/>
      <c r="J395" s="475" t="e">
        <f>_xll.BQL.QUERY("get(avg(px_last(start=" &amp; TEXT(#REF!, "YYYY-MM-DD") &amp; ", end=" &amp; TEXT(J$5, "YYYY-MM-DD") &amp; "))) for('"&amp;$B395&amp;"')")</f>
        <v>#REF!</v>
      </c>
      <c r="K395" s="335"/>
      <c r="L395" s="335"/>
      <c r="M395" s="335"/>
      <c r="N395" s="335"/>
      <c r="O395" s="475" t="e">
        <f>_xll.BQL.QUERY("get(avg(px_last(start=" &amp; TEXT(#REF!, "YYYY-MM-DD") &amp; ", end=" &amp; TEXT(O$5, "YYYY-MM-DD") &amp; "))) for('"&amp;$B395&amp;"')")</f>
        <v>#REF!</v>
      </c>
      <c r="P395" s="335"/>
      <c r="Q395" s="335"/>
      <c r="R395" s="335"/>
      <c r="S395" s="335"/>
      <c r="T395" s="475">
        <f>_xll.BQL.QUERY("get(avg(px_last(start=" &amp; TEXT(O$5, "YYYY-MM-DD") &amp; ", end=" &amp; TEXT(T$5, "YYYY-MM-DD") &amp; "))) for('"&amp;$B395&amp;"')")</f>
        <v>2599</v>
      </c>
      <c r="U395" s="335"/>
      <c r="V395" s="335"/>
      <c r="W395" s="335"/>
      <c r="X395" s="335"/>
      <c r="Y395" s="475">
        <f>_xll.BQL.QUERY("get(avg(px_last(start=" &amp; TEXT(T$5, "YYYY-MM-DD") &amp; ", end=" &amp; TEXT(Y$5, "YYYY-MM-DD") &amp; "))) for('"&amp;$B395&amp;"')")</f>
        <v>3469</v>
      </c>
      <c r="Z395" s="335"/>
      <c r="AA395" s="335"/>
      <c r="AB395" s="335"/>
      <c r="AC395" s="335"/>
      <c r="AD395" s="540">
        <f>_xll.BQL.QUERY("get(avg(px_last(start=" &amp; TEXT(Y$5, "YYYY-MM-DD") &amp; ", end=" &amp; TEXT(AD$5, "YYYY-MM-DD") &amp; "))) for('"&amp;$B395&amp;"')")</f>
        <v>4281</v>
      </c>
      <c r="AE395" s="414"/>
      <c r="AF395" s="414"/>
      <c r="AG395" s="414"/>
      <c r="AH395" s="280"/>
      <c r="AI395" s="320"/>
      <c r="AJ395" s="280"/>
      <c r="AK395" s="280"/>
      <c r="AL395" s="280"/>
      <c r="AM395" s="280"/>
      <c r="AN395" s="320"/>
      <c r="AO395" s="280"/>
      <c r="AP395" s="280"/>
      <c r="AQ395" s="280"/>
      <c r="AR395" s="280"/>
      <c r="AS395" s="320"/>
      <c r="AT395" s="315"/>
      <c r="AU395" s="508"/>
      <c r="AV395" s="143"/>
      <c r="AW395" s="143"/>
      <c r="AX395" s="143"/>
      <c r="AY395" s="143"/>
      <c r="AZ395" s="143"/>
      <c r="BA395" s="143"/>
      <c r="BB395" s="143"/>
      <c r="BC395" s="143"/>
      <c r="BD395" s="143"/>
      <c r="BE395" s="143"/>
      <c r="BF395" s="143"/>
      <c r="BG395" s="143"/>
      <c r="BH395" s="143"/>
      <c r="BI395" s="143"/>
      <c r="BJ395" s="143"/>
      <c r="BK395" s="143"/>
      <c r="BL395" s="143"/>
      <c r="BM395" s="143"/>
      <c r="BN395" s="143"/>
      <c r="BO395" s="143"/>
      <c r="BP395" s="143"/>
      <c r="BQ395" s="143"/>
      <c r="BR395" s="143"/>
      <c r="BS395" s="143"/>
      <c r="BT395" s="143"/>
      <c r="BU395" s="143"/>
      <c r="BV395" s="143"/>
      <c r="BW395" s="143"/>
      <c r="BX395" s="143"/>
      <c r="BY395" s="143"/>
      <c r="BZ395" s="143"/>
      <c r="CA395" s="143"/>
      <c r="CB395" s="143"/>
      <c r="CC395" s="143"/>
      <c r="CD395" s="143"/>
      <c r="CE395" s="143"/>
      <c r="CF395" s="143"/>
      <c r="CG395" s="143"/>
      <c r="CH395" s="143"/>
      <c r="CI395" s="143"/>
      <c r="CJ395" s="143"/>
      <c r="CK395" s="143"/>
      <c r="CL395" s="143"/>
      <c r="CM395" s="143"/>
      <c r="CN395" s="143"/>
      <c r="CO395" s="143"/>
      <c r="CP395" s="143"/>
      <c r="CQ395" s="143"/>
      <c r="CR395" s="143"/>
      <c r="CS395" s="143"/>
      <c r="CT395" s="143"/>
      <c r="CU395" s="143"/>
      <c r="CV395" s="143"/>
      <c r="CW395" s="143"/>
      <c r="CX395" s="143"/>
      <c r="CY395" s="143"/>
      <c r="CZ395" s="143"/>
      <c r="DA395" s="143"/>
      <c r="DB395" s="143"/>
      <c r="DC395" s="143"/>
      <c r="DD395" s="143"/>
      <c r="DE395" s="143"/>
      <c r="DF395" s="143"/>
      <c r="DG395" s="143"/>
      <c r="DH395" s="143"/>
      <c r="DI395" s="143"/>
      <c r="DJ395" s="143"/>
      <c r="DK395" s="143"/>
      <c r="DL395" s="143"/>
      <c r="DM395" s="143"/>
      <c r="DN395" s="143"/>
      <c r="DO395" s="143"/>
      <c r="DP395" s="143"/>
      <c r="DQ395" s="143"/>
      <c r="DR395" s="143"/>
      <c r="DS395" s="143"/>
      <c r="DT395" s="143"/>
      <c r="DU395" s="143"/>
      <c r="DV395" s="143"/>
      <c r="DW395" s="143"/>
      <c r="DX395" s="143"/>
      <c r="DY395" s="143"/>
      <c r="DZ395" s="143"/>
      <c r="EA395" s="143"/>
      <c r="EB395" s="143"/>
      <c r="EC395" s="143"/>
      <c r="ED395" s="143"/>
      <c r="EE395" s="143"/>
      <c r="EF395" s="143"/>
      <c r="EG395" s="143"/>
      <c r="EH395" s="143"/>
      <c r="EI395" s="143"/>
      <c r="EJ395" s="143"/>
      <c r="EK395" s="143"/>
      <c r="EL395" s="143"/>
      <c r="EM395" s="143"/>
      <c r="EN395" s="143"/>
      <c r="EO395" s="143"/>
      <c r="EP395" s="143"/>
      <c r="EQ395" s="143"/>
      <c r="ER395" s="143"/>
      <c r="ES395" s="143"/>
      <c r="ET395" s="143"/>
      <c r="EU395" s="143"/>
      <c r="EV395" s="143"/>
      <c r="EW395" s="143"/>
      <c r="EX395" s="143"/>
      <c r="EY395" s="143"/>
      <c r="EZ395" s="143"/>
      <c r="FA395" s="143"/>
      <c r="FB395" s="143"/>
      <c r="FC395" s="143"/>
      <c r="FD395" s="143"/>
      <c r="FE395" s="143"/>
      <c r="FF395" s="143"/>
      <c r="FG395" s="143"/>
      <c r="FH395" s="143"/>
      <c r="FI395" s="143"/>
      <c r="FJ395" s="143"/>
      <c r="FK395" s="143"/>
      <c r="FL395" s="143"/>
      <c r="FM395" s="143"/>
      <c r="FN395" s="143"/>
      <c r="FO395" s="143"/>
      <c r="FP395" s="143"/>
      <c r="FQ395" s="143"/>
      <c r="FR395" s="143"/>
      <c r="FS395" s="143"/>
      <c r="FT395" s="143"/>
      <c r="FU395" s="143"/>
      <c r="FV395" s="143"/>
      <c r="FW395" s="143"/>
      <c r="FX395" s="143"/>
      <c r="FY395" s="143"/>
      <c r="FZ395" s="143"/>
      <c r="GA395" s="143"/>
      <c r="GB395" s="143"/>
      <c r="GC395" s="143"/>
      <c r="GD395" s="143"/>
      <c r="GE395" s="143"/>
      <c r="GF395" s="143"/>
      <c r="GG395" s="143"/>
      <c r="GH395" s="143"/>
      <c r="GI395" s="143"/>
      <c r="GJ395" s="143"/>
      <c r="GK395" s="143"/>
      <c r="GL395" s="143"/>
      <c r="GM395" s="143"/>
      <c r="GN395" s="143"/>
      <c r="GO395" s="143"/>
      <c r="GP395" s="143"/>
      <c r="GQ395" s="143"/>
      <c r="GR395" s="143"/>
      <c r="GS395" s="143"/>
      <c r="GT395" s="143"/>
      <c r="GU395" s="143"/>
      <c r="GV395" s="143"/>
      <c r="GW395" s="143"/>
      <c r="GX395" s="143"/>
      <c r="GY395" s="143"/>
      <c r="GZ395" s="143"/>
      <c r="HA395" s="143"/>
      <c r="HB395" s="143"/>
      <c r="HC395" s="143"/>
      <c r="HD395" s="143"/>
      <c r="HE395" s="143"/>
      <c r="HF395" s="143"/>
      <c r="HG395" s="143"/>
      <c r="HH395" s="143"/>
      <c r="HI395" s="143"/>
      <c r="HJ395" s="143"/>
      <c r="HK395" s="143"/>
      <c r="HL395" s="143"/>
      <c r="HM395" s="143"/>
      <c r="HN395" s="143"/>
      <c r="HO395" s="143"/>
      <c r="HP395" s="143"/>
      <c r="HQ395" s="143"/>
      <c r="HR395" s="143"/>
      <c r="HS395" s="143"/>
      <c r="HT395" s="143"/>
      <c r="HU395" s="143"/>
      <c r="HV395" s="143"/>
      <c r="HW395" s="143"/>
      <c r="HX395" s="143"/>
      <c r="HY395" s="143"/>
      <c r="HZ395" s="143"/>
      <c r="IA395" s="143"/>
      <c r="IB395" s="143"/>
      <c r="IC395" s="143"/>
      <c r="ID395" s="143"/>
      <c r="IE395" s="143"/>
      <c r="IF395" s="143"/>
      <c r="IG395" s="143"/>
      <c r="IH395" s="143"/>
      <c r="II395" s="143"/>
      <c r="IJ395" s="143"/>
      <c r="IK395" s="143"/>
      <c r="IL395" s="143"/>
      <c r="IM395" s="143"/>
      <c r="IN395" s="143"/>
      <c r="IO395" s="143"/>
      <c r="IP395" s="143"/>
      <c r="IQ395" s="143"/>
      <c r="IR395" s="143"/>
      <c r="IS395" s="143"/>
      <c r="IT395" s="143"/>
      <c r="IU395" s="143"/>
      <c r="IV395" s="143"/>
      <c r="IW395" s="143"/>
      <c r="IX395" s="143"/>
      <c r="IY395" s="143"/>
      <c r="IZ395" s="143"/>
      <c r="JA395" s="143"/>
      <c r="JB395" s="143"/>
      <c r="JC395" s="143"/>
      <c r="JD395" s="143"/>
      <c r="JE395" s="143"/>
      <c r="JF395" s="143"/>
      <c r="JG395" s="143"/>
      <c r="JH395" s="143"/>
      <c r="JI395" s="143"/>
    </row>
    <row r="396" spans="1:269" hidden="1" outlineLevel="1">
      <c r="A396" s="437" t="s">
        <v>208</v>
      </c>
      <c r="B396" s="143"/>
      <c r="C396" s="417" t="e">
        <f>C395/#REF!-1</f>
        <v>#REF!</v>
      </c>
      <c r="D396" s="417" t="e">
        <f>D395/#REF!-1</f>
        <v>#REF!</v>
      </c>
      <c r="E396" s="417" t="e">
        <f>E395/#REF!-1</f>
        <v>#REF!</v>
      </c>
      <c r="F396" s="414"/>
      <c r="G396" s="414"/>
      <c r="H396" s="414"/>
      <c r="I396" s="414"/>
      <c r="J396" s="417" t="e">
        <f>J395/#REF!-1</f>
        <v>#REF!</v>
      </c>
      <c r="K396" s="414"/>
      <c r="L396" s="414"/>
      <c r="M396" s="414"/>
      <c r="N396" s="414"/>
      <c r="O396" s="417" t="e">
        <f>O395/#REF!-1</f>
        <v>#REF!</v>
      </c>
      <c r="P396" s="414"/>
      <c r="Q396" s="414"/>
      <c r="R396" s="414"/>
      <c r="S396" s="414"/>
      <c r="T396" s="417" t="e">
        <f t="shared" ref="T396" si="823">T395/O395-1</f>
        <v>#REF!</v>
      </c>
      <c r="U396" s="414"/>
      <c r="V396" s="414"/>
      <c r="W396" s="414"/>
      <c r="X396" s="414"/>
      <c r="Y396" s="417">
        <f t="shared" ref="Y396" si="824">Y395/T395-1</f>
        <v>0.33474413235859957</v>
      </c>
      <c r="Z396" s="414"/>
      <c r="AA396" s="414"/>
      <c r="AB396" s="414"/>
      <c r="AC396" s="414"/>
      <c r="AD396" s="422">
        <f t="shared" ref="AD396" si="825">AD395/Y395-1</f>
        <v>0.23407321994811192</v>
      </c>
      <c r="AE396" s="414"/>
      <c r="AF396" s="414"/>
      <c r="AG396" s="414"/>
      <c r="AH396" s="280"/>
      <c r="AI396" s="320"/>
      <c r="AJ396" s="280"/>
      <c r="AK396" s="280"/>
      <c r="AL396" s="280"/>
      <c r="AM396" s="280"/>
      <c r="AN396" s="320"/>
      <c r="AO396" s="280"/>
      <c r="AP396" s="280"/>
      <c r="AQ396" s="280"/>
      <c r="AR396" s="280"/>
      <c r="AS396" s="320"/>
      <c r="AT396" s="315"/>
      <c r="AU396" s="508"/>
      <c r="AV396" s="143"/>
      <c r="AW396" s="143"/>
      <c r="AX396" s="143"/>
      <c r="AY396" s="143"/>
      <c r="AZ396" s="143"/>
      <c r="BA396" s="143"/>
      <c r="BB396" s="143"/>
      <c r="BC396" s="143"/>
      <c r="BD396" s="143"/>
      <c r="BE396" s="143"/>
      <c r="BF396" s="143"/>
      <c r="BG396" s="143"/>
      <c r="BH396" s="143"/>
      <c r="BI396" s="143"/>
      <c r="BJ396" s="143"/>
      <c r="BK396" s="143"/>
      <c r="BL396" s="143"/>
      <c r="BM396" s="143"/>
      <c r="BN396" s="143"/>
      <c r="BO396" s="143"/>
      <c r="BP396" s="143"/>
      <c r="BQ396" s="143"/>
      <c r="BR396" s="143"/>
      <c r="BS396" s="143"/>
      <c r="BT396" s="143"/>
      <c r="BU396" s="143"/>
      <c r="BV396" s="143"/>
      <c r="BW396" s="143"/>
      <c r="BX396" s="143"/>
      <c r="BY396" s="143"/>
      <c r="BZ396" s="143"/>
      <c r="CA396" s="143"/>
      <c r="CB396" s="143"/>
      <c r="CC396" s="143"/>
      <c r="CD396" s="143"/>
      <c r="CE396" s="143"/>
      <c r="CF396" s="143"/>
      <c r="CG396" s="143"/>
      <c r="CH396" s="143"/>
      <c r="CI396" s="143"/>
      <c r="CJ396" s="143"/>
      <c r="CK396" s="143"/>
      <c r="CL396" s="143"/>
      <c r="CM396" s="143"/>
      <c r="CN396" s="143"/>
      <c r="CO396" s="143"/>
      <c r="CP396" s="143"/>
      <c r="CQ396" s="143"/>
      <c r="CR396" s="143"/>
      <c r="CS396" s="143"/>
      <c r="CT396" s="143"/>
      <c r="CU396" s="143"/>
      <c r="CV396" s="143"/>
      <c r="CW396" s="143"/>
      <c r="CX396" s="143"/>
      <c r="CY396" s="143"/>
      <c r="CZ396" s="143"/>
      <c r="DA396" s="143"/>
      <c r="DB396" s="143"/>
      <c r="DC396" s="143"/>
      <c r="DD396" s="143"/>
      <c r="DE396" s="143"/>
      <c r="DF396" s="143"/>
      <c r="DG396" s="143"/>
      <c r="DH396" s="143"/>
      <c r="DI396" s="143"/>
      <c r="DJ396" s="143"/>
      <c r="DK396" s="143"/>
      <c r="DL396" s="143"/>
      <c r="DM396" s="143"/>
      <c r="DN396" s="143"/>
      <c r="DO396" s="143"/>
      <c r="DP396" s="143"/>
      <c r="DQ396" s="143"/>
      <c r="DR396" s="143"/>
      <c r="DS396" s="143"/>
      <c r="DT396" s="143"/>
      <c r="DU396" s="143"/>
      <c r="DV396" s="143"/>
      <c r="DW396" s="143"/>
      <c r="DX396" s="143"/>
      <c r="DY396" s="143"/>
      <c r="DZ396" s="143"/>
      <c r="EA396" s="143"/>
      <c r="EB396" s="143"/>
      <c r="EC396" s="143"/>
      <c r="ED396" s="143"/>
      <c r="EE396" s="143"/>
      <c r="EF396" s="143"/>
      <c r="EG396" s="143"/>
      <c r="EH396" s="143"/>
      <c r="EI396" s="143"/>
      <c r="EJ396" s="143"/>
      <c r="EK396" s="143"/>
      <c r="EL396" s="143"/>
      <c r="EM396" s="143"/>
      <c r="EN396" s="143"/>
      <c r="EO396" s="143"/>
      <c r="EP396" s="143"/>
      <c r="EQ396" s="143"/>
      <c r="ER396" s="143"/>
      <c r="ES396" s="143"/>
      <c r="ET396" s="143"/>
      <c r="EU396" s="143"/>
      <c r="EV396" s="143"/>
      <c r="EW396" s="143"/>
      <c r="EX396" s="143"/>
      <c r="EY396" s="143"/>
      <c r="EZ396" s="143"/>
      <c r="FA396" s="143"/>
      <c r="FB396" s="143"/>
      <c r="FC396" s="143"/>
      <c r="FD396" s="143"/>
      <c r="FE396" s="143"/>
      <c r="FF396" s="143"/>
      <c r="FG396" s="143"/>
      <c r="FH396" s="143"/>
      <c r="FI396" s="143"/>
      <c r="FJ396" s="143"/>
      <c r="FK396" s="143"/>
      <c r="FL396" s="143"/>
      <c r="FM396" s="143"/>
      <c r="FN396" s="143"/>
      <c r="FO396" s="143"/>
      <c r="FP396" s="143"/>
      <c r="FQ396" s="143"/>
      <c r="FR396" s="143"/>
      <c r="FS396" s="143"/>
      <c r="FT396" s="143"/>
      <c r="FU396" s="143"/>
      <c r="FV396" s="143"/>
      <c r="FW396" s="143"/>
      <c r="FX396" s="143"/>
      <c r="FY396" s="143"/>
      <c r="FZ396" s="143"/>
      <c r="GA396" s="143"/>
      <c r="GB396" s="143"/>
      <c r="GC396" s="143"/>
      <c r="GD396" s="143"/>
      <c r="GE396" s="143"/>
      <c r="GF396" s="143"/>
      <c r="GG396" s="143"/>
      <c r="GH396" s="143"/>
      <c r="GI396" s="143"/>
      <c r="GJ396" s="143"/>
      <c r="GK396" s="143"/>
      <c r="GL396" s="143"/>
      <c r="GM396" s="143"/>
      <c r="GN396" s="143"/>
      <c r="GO396" s="143"/>
      <c r="GP396" s="143"/>
      <c r="GQ396" s="143"/>
      <c r="GR396" s="143"/>
      <c r="GS396" s="143"/>
      <c r="GT396" s="143"/>
      <c r="GU396" s="143"/>
      <c r="GV396" s="143"/>
      <c r="GW396" s="143"/>
      <c r="GX396" s="143"/>
      <c r="GY396" s="143"/>
      <c r="GZ396" s="143"/>
      <c r="HA396" s="143"/>
      <c r="HB396" s="143"/>
      <c r="HC396" s="143"/>
      <c r="HD396" s="143"/>
      <c r="HE396" s="143"/>
      <c r="HF396" s="143"/>
      <c r="HG396" s="143"/>
      <c r="HH396" s="143"/>
      <c r="HI396" s="143"/>
      <c r="HJ396" s="143"/>
      <c r="HK396" s="143"/>
      <c r="HL396" s="143"/>
      <c r="HM396" s="143"/>
      <c r="HN396" s="143"/>
      <c r="HO396" s="143"/>
      <c r="HP396" s="143"/>
      <c r="HQ396" s="143"/>
      <c r="HR396" s="143"/>
      <c r="HS396" s="143"/>
      <c r="HT396" s="143"/>
      <c r="HU396" s="143"/>
      <c r="HV396" s="143"/>
      <c r="HW396" s="143"/>
      <c r="HX396" s="143"/>
      <c r="HY396" s="143"/>
      <c r="HZ396" s="143"/>
      <c r="IA396" s="143"/>
      <c r="IB396" s="143"/>
      <c r="IC396" s="143"/>
      <c r="ID396" s="143"/>
      <c r="IE396" s="143"/>
      <c r="IF396" s="143"/>
      <c r="IG396" s="143"/>
      <c r="IH396" s="143"/>
      <c r="II396" s="143"/>
      <c r="IJ396" s="143"/>
      <c r="IK396" s="143"/>
      <c r="IL396" s="143"/>
      <c r="IM396" s="143"/>
      <c r="IN396" s="143"/>
      <c r="IO396" s="143"/>
      <c r="IP396" s="143"/>
      <c r="IQ396" s="143"/>
      <c r="IR396" s="143"/>
      <c r="IS396" s="143"/>
      <c r="IT396" s="143"/>
      <c r="IU396" s="143"/>
      <c r="IV396" s="143"/>
      <c r="IW396" s="143"/>
      <c r="IX396" s="143"/>
      <c r="IY396" s="143"/>
      <c r="IZ396" s="143"/>
      <c r="JA396" s="143"/>
      <c r="JB396" s="143"/>
      <c r="JC396" s="143"/>
      <c r="JD396" s="143"/>
      <c r="JE396" s="143"/>
      <c r="JF396" s="143"/>
      <c r="JG396" s="143"/>
      <c r="JH396" s="143"/>
      <c r="JI396" s="143"/>
    </row>
    <row r="397" spans="1:269" hidden="1" outlineLevel="1">
      <c r="A397" s="437" t="s">
        <v>207</v>
      </c>
      <c r="B397" s="144"/>
      <c r="C397" s="417" t="e">
        <f>C395/#REF!-1</f>
        <v>#REF!</v>
      </c>
      <c r="D397" s="417" t="e">
        <f>D395/#REF!-1</f>
        <v>#REF!</v>
      </c>
      <c r="E397" s="417" t="e">
        <f>E395/#REF!-1</f>
        <v>#REF!</v>
      </c>
      <c r="F397" s="414"/>
      <c r="G397" s="414"/>
      <c r="H397" s="414"/>
      <c r="I397" s="414"/>
      <c r="J397" s="417" t="e">
        <f>J395/#REF!-1</f>
        <v>#REF!</v>
      </c>
      <c r="K397" s="414"/>
      <c r="L397" s="414"/>
      <c r="M397" s="414"/>
      <c r="N397" s="414"/>
      <c r="O397" s="417" t="e">
        <f>O395/#REF!-1</f>
        <v>#REF!</v>
      </c>
      <c r="P397" s="414"/>
      <c r="Q397" s="414"/>
      <c r="R397" s="414"/>
      <c r="S397" s="414"/>
      <c r="T397" s="417" t="e">
        <f>T395/#REF!-1</f>
        <v>#REF!</v>
      </c>
      <c r="U397" s="414"/>
      <c r="V397" s="414"/>
      <c r="W397" s="414"/>
      <c r="X397" s="414"/>
      <c r="Y397" s="417" t="e">
        <f>Y395/#REF!-1</f>
        <v>#REF!</v>
      </c>
      <c r="Z397" s="414"/>
      <c r="AA397" s="414"/>
      <c r="AB397" s="414"/>
      <c r="AC397" s="414"/>
      <c r="AD397" s="422" t="e">
        <f>AD395/#REF!-1</f>
        <v>#REF!</v>
      </c>
      <c r="AE397" s="414"/>
      <c r="AF397" s="414"/>
      <c r="AG397" s="414"/>
      <c r="AH397" s="280"/>
      <c r="AI397" s="320"/>
      <c r="AJ397" s="280"/>
      <c r="AK397" s="280"/>
      <c r="AL397" s="280"/>
      <c r="AM397" s="280"/>
      <c r="AN397" s="320"/>
      <c r="AO397" s="280"/>
      <c r="AP397" s="280"/>
      <c r="AQ397" s="280"/>
      <c r="AR397" s="280"/>
      <c r="AS397" s="320"/>
      <c r="AT397" s="315"/>
      <c r="AU397" s="508"/>
      <c r="AV397" s="143"/>
      <c r="AW397" s="143"/>
      <c r="AX397" s="143"/>
      <c r="AY397" s="143"/>
      <c r="AZ397" s="143"/>
      <c r="BA397" s="143"/>
      <c r="BB397" s="143"/>
      <c r="BC397" s="143"/>
      <c r="BD397" s="143"/>
      <c r="BE397" s="143"/>
      <c r="BF397" s="143"/>
      <c r="BG397" s="143"/>
      <c r="BH397" s="143"/>
      <c r="BI397" s="143"/>
      <c r="BJ397" s="143"/>
      <c r="BK397" s="143"/>
      <c r="BL397" s="143"/>
      <c r="BM397" s="143"/>
      <c r="BN397" s="143"/>
      <c r="BO397" s="143"/>
      <c r="BP397" s="143"/>
      <c r="BQ397" s="143"/>
      <c r="BR397" s="143"/>
      <c r="BS397" s="143"/>
      <c r="BT397" s="143"/>
      <c r="BU397" s="143"/>
      <c r="BV397" s="143"/>
      <c r="BW397" s="143"/>
      <c r="BX397" s="143"/>
      <c r="BY397" s="143"/>
      <c r="BZ397" s="143"/>
      <c r="CA397" s="143"/>
      <c r="CB397" s="143"/>
      <c r="CC397" s="143"/>
      <c r="CD397" s="143"/>
      <c r="CE397" s="143"/>
      <c r="CF397" s="143"/>
      <c r="CG397" s="143"/>
      <c r="CH397" s="143"/>
      <c r="CI397" s="143"/>
      <c r="CJ397" s="143"/>
      <c r="CK397" s="143"/>
      <c r="CL397" s="143"/>
      <c r="CM397" s="143"/>
      <c r="CN397" s="143"/>
      <c r="CO397" s="143"/>
      <c r="CP397" s="143"/>
      <c r="CQ397" s="143"/>
      <c r="CR397" s="143"/>
      <c r="CS397" s="143"/>
      <c r="CT397" s="143"/>
      <c r="CU397" s="143"/>
      <c r="CV397" s="143"/>
      <c r="CW397" s="143"/>
      <c r="CX397" s="143"/>
      <c r="CY397" s="143"/>
      <c r="CZ397" s="143"/>
      <c r="DA397" s="143"/>
      <c r="DB397" s="143"/>
      <c r="DC397" s="143"/>
      <c r="DD397" s="143"/>
      <c r="DE397" s="143"/>
      <c r="DF397" s="143"/>
      <c r="DG397" s="143"/>
      <c r="DH397" s="143"/>
      <c r="DI397" s="143"/>
      <c r="DJ397" s="143"/>
      <c r="DK397" s="143"/>
      <c r="DL397" s="143"/>
      <c r="DM397" s="143"/>
      <c r="DN397" s="143"/>
      <c r="DO397" s="143"/>
      <c r="DP397" s="143"/>
      <c r="DQ397" s="143"/>
      <c r="DR397" s="143"/>
      <c r="DS397" s="143"/>
      <c r="DT397" s="143"/>
      <c r="DU397" s="143"/>
      <c r="DV397" s="143"/>
      <c r="DW397" s="143"/>
      <c r="DX397" s="143"/>
      <c r="DY397" s="143"/>
      <c r="DZ397" s="143"/>
      <c r="EA397" s="143"/>
      <c r="EB397" s="143"/>
      <c r="EC397" s="143"/>
      <c r="ED397" s="143"/>
      <c r="EE397" s="143"/>
      <c r="EF397" s="143"/>
      <c r="EG397" s="143"/>
      <c r="EH397" s="143"/>
      <c r="EI397" s="143"/>
      <c r="EJ397" s="143"/>
      <c r="EK397" s="143"/>
      <c r="EL397" s="143"/>
      <c r="EM397" s="143"/>
      <c r="EN397" s="143"/>
      <c r="EO397" s="143"/>
      <c r="EP397" s="143"/>
      <c r="EQ397" s="143"/>
      <c r="ER397" s="143"/>
      <c r="ES397" s="143"/>
      <c r="ET397" s="143"/>
      <c r="EU397" s="143"/>
      <c r="EV397" s="143"/>
      <c r="EW397" s="143"/>
      <c r="EX397" s="143"/>
      <c r="EY397" s="143"/>
      <c r="EZ397" s="143"/>
      <c r="FA397" s="143"/>
      <c r="FB397" s="143"/>
      <c r="FC397" s="143"/>
      <c r="FD397" s="143"/>
      <c r="FE397" s="143"/>
      <c r="FF397" s="143"/>
      <c r="FG397" s="143"/>
      <c r="FH397" s="143"/>
      <c r="FI397" s="143"/>
      <c r="FJ397" s="143"/>
      <c r="FK397" s="143"/>
      <c r="FL397" s="143"/>
      <c r="FM397" s="143"/>
      <c r="FN397" s="143"/>
      <c r="FO397" s="143"/>
      <c r="FP397" s="143"/>
      <c r="FQ397" s="143"/>
      <c r="FR397" s="143"/>
      <c r="FS397" s="143"/>
      <c r="FT397" s="143"/>
      <c r="FU397" s="143"/>
      <c r="FV397" s="143"/>
      <c r="FW397" s="143"/>
      <c r="FX397" s="143"/>
      <c r="FY397" s="143"/>
      <c r="FZ397" s="143"/>
      <c r="GA397" s="143"/>
      <c r="GB397" s="143"/>
      <c r="GC397" s="143"/>
      <c r="GD397" s="143"/>
      <c r="GE397" s="143"/>
      <c r="GF397" s="143"/>
      <c r="GG397" s="143"/>
      <c r="GH397" s="143"/>
      <c r="GI397" s="143"/>
      <c r="GJ397" s="143"/>
      <c r="GK397" s="143"/>
      <c r="GL397" s="143"/>
      <c r="GM397" s="143"/>
      <c r="GN397" s="143"/>
      <c r="GO397" s="143"/>
      <c r="GP397" s="143"/>
      <c r="GQ397" s="143"/>
      <c r="GR397" s="143"/>
      <c r="GS397" s="143"/>
      <c r="GT397" s="143"/>
      <c r="GU397" s="143"/>
      <c r="GV397" s="143"/>
      <c r="GW397" s="143"/>
      <c r="GX397" s="143"/>
      <c r="GY397" s="143"/>
      <c r="GZ397" s="143"/>
      <c r="HA397" s="143"/>
      <c r="HB397" s="143"/>
      <c r="HC397" s="143"/>
      <c r="HD397" s="143"/>
      <c r="HE397" s="143"/>
      <c r="HF397" s="143"/>
      <c r="HG397" s="143"/>
      <c r="HH397" s="143"/>
      <c r="HI397" s="143"/>
      <c r="HJ397" s="143"/>
      <c r="HK397" s="143"/>
      <c r="HL397" s="143"/>
      <c r="HM397" s="143"/>
      <c r="HN397" s="143"/>
      <c r="HO397" s="143"/>
      <c r="HP397" s="143"/>
      <c r="HQ397" s="143"/>
      <c r="HR397" s="143"/>
      <c r="HS397" s="143"/>
      <c r="HT397" s="143"/>
      <c r="HU397" s="143"/>
      <c r="HV397" s="143"/>
      <c r="HW397" s="143"/>
      <c r="HX397" s="143"/>
      <c r="HY397" s="143"/>
      <c r="HZ397" s="143"/>
      <c r="IA397" s="143"/>
      <c r="IB397" s="143"/>
      <c r="IC397" s="143"/>
      <c r="ID397" s="143"/>
      <c r="IE397" s="143"/>
      <c r="IF397" s="143"/>
      <c r="IG397" s="143"/>
      <c r="IH397" s="143"/>
      <c r="II397" s="143"/>
      <c r="IJ397" s="143"/>
      <c r="IK397" s="143"/>
      <c r="IL397" s="143"/>
      <c r="IM397" s="143"/>
      <c r="IN397" s="143"/>
      <c r="IO397" s="143"/>
      <c r="IP397" s="143"/>
      <c r="IQ397" s="143"/>
      <c r="IR397" s="143"/>
      <c r="IS397" s="143"/>
      <c r="IT397" s="143"/>
      <c r="IU397" s="143"/>
      <c r="IV397" s="143"/>
      <c r="IW397" s="143"/>
      <c r="IX397" s="143"/>
      <c r="IY397" s="143"/>
      <c r="IZ397" s="143"/>
      <c r="JA397" s="143"/>
      <c r="JB397" s="143"/>
      <c r="JC397" s="143"/>
      <c r="JD397" s="143"/>
      <c r="JE397" s="143"/>
      <c r="JF397" s="143"/>
      <c r="JG397" s="143"/>
      <c r="JH397" s="143"/>
      <c r="JI397" s="143"/>
    </row>
    <row r="398" spans="1:269" hidden="1" outlineLevel="1">
      <c r="A398" s="437"/>
      <c r="B398" s="144"/>
      <c r="C398" s="417"/>
      <c r="D398" s="417"/>
      <c r="E398" s="417"/>
      <c r="F398" s="414"/>
      <c r="G398" s="414"/>
      <c r="H398" s="414"/>
      <c r="I398" s="414"/>
      <c r="J398" s="417"/>
      <c r="K398" s="414"/>
      <c r="L398" s="414"/>
      <c r="M398" s="414"/>
      <c r="N398" s="414"/>
      <c r="O398" s="417"/>
      <c r="P398" s="414"/>
      <c r="Q398" s="414"/>
      <c r="R398" s="414"/>
      <c r="S398" s="414"/>
      <c r="T398" s="417"/>
      <c r="U398" s="414"/>
      <c r="V398" s="414"/>
      <c r="W398" s="414"/>
      <c r="X398" s="414"/>
      <c r="Y398" s="417"/>
      <c r="Z398" s="414"/>
      <c r="AA398" s="414"/>
      <c r="AB398" s="414"/>
      <c r="AC398" s="414"/>
      <c r="AD398" s="422"/>
      <c r="AE398" s="414"/>
      <c r="AF398" s="414"/>
      <c r="AG398" s="414"/>
      <c r="AH398" s="280"/>
      <c r="AI398" s="320"/>
      <c r="AJ398" s="280"/>
      <c r="AK398" s="280"/>
      <c r="AL398" s="280"/>
      <c r="AM398" s="280"/>
      <c r="AN398" s="320"/>
      <c r="AO398" s="280"/>
      <c r="AP398" s="280"/>
      <c r="AQ398" s="280"/>
      <c r="AR398" s="280"/>
      <c r="AS398" s="320"/>
      <c r="AT398" s="315"/>
      <c r="AU398" s="508"/>
      <c r="AV398" s="143"/>
      <c r="AW398" s="143"/>
      <c r="AX398" s="143"/>
      <c r="AY398" s="143"/>
      <c r="AZ398" s="143"/>
      <c r="BA398" s="143"/>
      <c r="BB398" s="143"/>
      <c r="BC398" s="143"/>
      <c r="BD398" s="143"/>
      <c r="BE398" s="143"/>
      <c r="BF398" s="143"/>
      <c r="BG398" s="143"/>
      <c r="BH398" s="143"/>
      <c r="BI398" s="143"/>
      <c r="BJ398" s="143"/>
      <c r="BK398" s="143"/>
      <c r="BL398" s="143"/>
      <c r="BM398" s="143"/>
      <c r="BN398" s="143"/>
      <c r="BO398" s="143"/>
      <c r="BP398" s="143"/>
      <c r="BQ398" s="143"/>
      <c r="BR398" s="143"/>
      <c r="BS398" s="143"/>
      <c r="BT398" s="143"/>
      <c r="BU398" s="143"/>
      <c r="BV398" s="143"/>
      <c r="BW398" s="143"/>
      <c r="BX398" s="143"/>
      <c r="BY398" s="143"/>
      <c r="BZ398" s="143"/>
      <c r="CA398" s="143"/>
      <c r="CB398" s="143"/>
      <c r="CC398" s="143"/>
      <c r="CD398" s="143"/>
      <c r="CE398" s="143"/>
      <c r="CF398" s="143"/>
      <c r="CG398" s="143"/>
      <c r="CH398" s="143"/>
      <c r="CI398" s="143"/>
      <c r="CJ398" s="143"/>
      <c r="CK398" s="143"/>
      <c r="CL398" s="143"/>
      <c r="CM398" s="143"/>
      <c r="CN398" s="143"/>
      <c r="CO398" s="143"/>
      <c r="CP398" s="143"/>
      <c r="CQ398" s="143"/>
      <c r="CR398" s="143"/>
      <c r="CS398" s="143"/>
      <c r="CT398" s="143"/>
      <c r="CU398" s="143"/>
      <c r="CV398" s="143"/>
      <c r="CW398" s="143"/>
      <c r="CX398" s="143"/>
      <c r="CY398" s="143"/>
      <c r="CZ398" s="143"/>
      <c r="DA398" s="143"/>
      <c r="DB398" s="143"/>
      <c r="DC398" s="143"/>
      <c r="DD398" s="143"/>
      <c r="DE398" s="143"/>
      <c r="DF398" s="143"/>
      <c r="DG398" s="143"/>
      <c r="DH398" s="143"/>
      <c r="DI398" s="143"/>
      <c r="DJ398" s="143"/>
      <c r="DK398" s="143"/>
      <c r="DL398" s="143"/>
      <c r="DM398" s="143"/>
      <c r="DN398" s="143"/>
      <c r="DO398" s="143"/>
      <c r="DP398" s="143"/>
      <c r="DQ398" s="143"/>
      <c r="DR398" s="143"/>
      <c r="DS398" s="143"/>
      <c r="DT398" s="143"/>
      <c r="DU398" s="143"/>
      <c r="DV398" s="143"/>
      <c r="DW398" s="143"/>
      <c r="DX398" s="143"/>
      <c r="DY398" s="143"/>
      <c r="DZ398" s="143"/>
      <c r="EA398" s="143"/>
      <c r="EB398" s="143"/>
      <c r="EC398" s="143"/>
      <c r="ED398" s="143"/>
      <c r="EE398" s="143"/>
      <c r="EF398" s="143"/>
      <c r="EG398" s="143"/>
      <c r="EH398" s="143"/>
      <c r="EI398" s="143"/>
      <c r="EJ398" s="143"/>
      <c r="EK398" s="143"/>
      <c r="EL398" s="143"/>
      <c r="EM398" s="143"/>
      <c r="EN398" s="143"/>
      <c r="EO398" s="143"/>
      <c r="EP398" s="143"/>
      <c r="EQ398" s="143"/>
      <c r="ER398" s="143"/>
      <c r="ES398" s="143"/>
      <c r="ET398" s="143"/>
      <c r="EU398" s="143"/>
      <c r="EV398" s="143"/>
      <c r="EW398" s="143"/>
      <c r="EX398" s="143"/>
      <c r="EY398" s="143"/>
      <c r="EZ398" s="143"/>
      <c r="FA398" s="143"/>
      <c r="FB398" s="143"/>
      <c r="FC398" s="143"/>
      <c r="FD398" s="143"/>
      <c r="FE398" s="143"/>
      <c r="FF398" s="143"/>
      <c r="FG398" s="143"/>
      <c r="FH398" s="143"/>
      <c r="FI398" s="143"/>
      <c r="FJ398" s="143"/>
      <c r="FK398" s="143"/>
      <c r="FL398" s="143"/>
      <c r="FM398" s="143"/>
      <c r="FN398" s="143"/>
      <c r="FO398" s="143"/>
      <c r="FP398" s="143"/>
      <c r="FQ398" s="143"/>
      <c r="FR398" s="143"/>
      <c r="FS398" s="143"/>
      <c r="FT398" s="143"/>
      <c r="FU398" s="143"/>
      <c r="FV398" s="143"/>
      <c r="FW398" s="143"/>
      <c r="FX398" s="143"/>
      <c r="FY398" s="143"/>
      <c r="FZ398" s="143"/>
      <c r="GA398" s="143"/>
      <c r="GB398" s="143"/>
      <c r="GC398" s="143"/>
      <c r="GD398" s="143"/>
      <c r="GE398" s="143"/>
      <c r="GF398" s="143"/>
      <c r="GG398" s="143"/>
      <c r="GH398" s="143"/>
      <c r="GI398" s="143"/>
      <c r="GJ398" s="143"/>
      <c r="GK398" s="143"/>
      <c r="GL398" s="143"/>
      <c r="GM398" s="143"/>
      <c r="GN398" s="143"/>
      <c r="GO398" s="143"/>
      <c r="GP398" s="143"/>
      <c r="GQ398" s="143"/>
      <c r="GR398" s="143"/>
      <c r="GS398" s="143"/>
      <c r="GT398" s="143"/>
      <c r="GU398" s="143"/>
      <c r="GV398" s="143"/>
      <c r="GW398" s="143"/>
      <c r="GX398" s="143"/>
      <c r="GY398" s="143"/>
      <c r="GZ398" s="143"/>
      <c r="HA398" s="143"/>
      <c r="HB398" s="143"/>
      <c r="HC398" s="143"/>
      <c r="HD398" s="143"/>
      <c r="HE398" s="143"/>
      <c r="HF398" s="143"/>
      <c r="HG398" s="143"/>
      <c r="HH398" s="143"/>
      <c r="HI398" s="143"/>
      <c r="HJ398" s="143"/>
      <c r="HK398" s="143"/>
      <c r="HL398" s="143"/>
      <c r="HM398" s="143"/>
      <c r="HN398" s="143"/>
      <c r="HO398" s="143"/>
      <c r="HP398" s="143"/>
      <c r="HQ398" s="143"/>
      <c r="HR398" s="143"/>
      <c r="HS398" s="143"/>
      <c r="HT398" s="143"/>
      <c r="HU398" s="143"/>
      <c r="HV398" s="143"/>
      <c r="HW398" s="143"/>
      <c r="HX398" s="143"/>
      <c r="HY398" s="143"/>
      <c r="HZ398" s="143"/>
      <c r="IA398" s="143"/>
      <c r="IB398" s="143"/>
      <c r="IC398" s="143"/>
      <c r="ID398" s="143"/>
      <c r="IE398" s="143"/>
      <c r="IF398" s="143"/>
      <c r="IG398" s="143"/>
      <c r="IH398" s="143"/>
      <c r="II398" s="143"/>
      <c r="IJ398" s="143"/>
      <c r="IK398" s="143"/>
      <c r="IL398" s="143"/>
      <c r="IM398" s="143"/>
      <c r="IN398" s="143"/>
      <c r="IO398" s="143"/>
      <c r="IP398" s="143"/>
      <c r="IQ398" s="143"/>
      <c r="IR398" s="143"/>
      <c r="IS398" s="143"/>
      <c r="IT398" s="143"/>
      <c r="IU398" s="143"/>
      <c r="IV398" s="143"/>
      <c r="IW398" s="143"/>
      <c r="IX398" s="143"/>
      <c r="IY398" s="143"/>
      <c r="IZ398" s="143"/>
      <c r="JA398" s="143"/>
      <c r="JB398" s="143"/>
      <c r="JC398" s="143"/>
      <c r="JD398" s="143"/>
      <c r="JE398" s="143"/>
      <c r="JF398" s="143"/>
      <c r="JG398" s="143"/>
      <c r="JH398" s="143"/>
      <c r="JI398" s="143"/>
    </row>
    <row r="399" spans="1:269" hidden="1" outlineLevel="1">
      <c r="A399" s="437"/>
      <c r="B399" s="144"/>
      <c r="C399" s="417"/>
      <c r="D399" s="417"/>
      <c r="E399" s="417"/>
      <c r="F399" s="414"/>
      <c r="G399" s="414"/>
      <c r="H399" s="414"/>
      <c r="I399" s="414"/>
      <c r="J399" s="417"/>
      <c r="K399" s="414"/>
      <c r="L399" s="414"/>
      <c r="M399" s="414"/>
      <c r="N399" s="414"/>
      <c r="O399" s="417"/>
      <c r="P399" s="414"/>
      <c r="Q399" s="414"/>
      <c r="R399" s="414"/>
      <c r="S399" s="414"/>
      <c r="T399" s="417"/>
      <c r="U399" s="414"/>
      <c r="V399" s="414"/>
      <c r="W399" s="414"/>
      <c r="X399" s="414"/>
      <c r="Y399" s="417"/>
      <c r="Z399" s="414"/>
      <c r="AA399" s="414"/>
      <c r="AB399" s="414"/>
      <c r="AC399" s="414"/>
      <c r="AD399" s="422"/>
      <c r="AE399" s="414"/>
      <c r="AF399" s="414"/>
      <c r="AG399" s="414"/>
      <c r="AH399" s="280"/>
      <c r="AI399" s="320"/>
      <c r="AJ399" s="280"/>
      <c r="AK399" s="280"/>
      <c r="AL399" s="280"/>
      <c r="AM399" s="280"/>
      <c r="AN399" s="320"/>
      <c r="AO399" s="280"/>
      <c r="AP399" s="280"/>
      <c r="AQ399" s="280"/>
      <c r="AR399" s="280"/>
      <c r="AS399" s="320"/>
      <c r="AT399" s="315"/>
      <c r="AU399" s="508"/>
      <c r="AV399" s="143"/>
      <c r="AW399" s="143"/>
      <c r="AX399" s="143"/>
      <c r="AY399" s="143"/>
      <c r="AZ399" s="143"/>
      <c r="BA399" s="143"/>
      <c r="BB399" s="143"/>
      <c r="BC399" s="143"/>
      <c r="BD399" s="143"/>
      <c r="BE399" s="143"/>
      <c r="BF399" s="143"/>
      <c r="BG399" s="143"/>
      <c r="BH399" s="143"/>
      <c r="BI399" s="143"/>
      <c r="BJ399" s="143"/>
      <c r="BK399" s="143"/>
      <c r="BL399" s="143"/>
      <c r="BM399" s="143"/>
      <c r="BN399" s="143"/>
      <c r="BO399" s="143"/>
      <c r="BP399" s="143"/>
      <c r="BQ399" s="143"/>
      <c r="BR399" s="143"/>
      <c r="BS399" s="143"/>
      <c r="BT399" s="143"/>
      <c r="BU399" s="143"/>
      <c r="BV399" s="143"/>
      <c r="BW399" s="143"/>
      <c r="BX399" s="143"/>
      <c r="BY399" s="143"/>
      <c r="BZ399" s="143"/>
      <c r="CA399" s="143"/>
      <c r="CB399" s="143"/>
      <c r="CC399" s="143"/>
      <c r="CD399" s="143"/>
      <c r="CE399" s="143"/>
      <c r="CF399" s="143"/>
      <c r="CG399" s="143"/>
      <c r="CH399" s="143"/>
      <c r="CI399" s="143"/>
      <c r="CJ399" s="143"/>
      <c r="CK399" s="143"/>
      <c r="CL399" s="143"/>
      <c r="CM399" s="143"/>
      <c r="CN399" s="143"/>
      <c r="CO399" s="143"/>
      <c r="CP399" s="143"/>
      <c r="CQ399" s="143"/>
      <c r="CR399" s="143"/>
      <c r="CS399" s="143"/>
      <c r="CT399" s="143"/>
      <c r="CU399" s="143"/>
      <c r="CV399" s="143"/>
      <c r="CW399" s="143"/>
      <c r="CX399" s="143"/>
      <c r="CY399" s="143"/>
      <c r="CZ399" s="143"/>
      <c r="DA399" s="143"/>
      <c r="DB399" s="143"/>
      <c r="DC399" s="143"/>
      <c r="DD399" s="143"/>
      <c r="DE399" s="143"/>
      <c r="DF399" s="143"/>
      <c r="DG399" s="143"/>
      <c r="DH399" s="143"/>
      <c r="DI399" s="143"/>
      <c r="DJ399" s="143"/>
      <c r="DK399" s="143"/>
      <c r="DL399" s="143"/>
      <c r="DM399" s="143"/>
      <c r="DN399" s="143"/>
      <c r="DO399" s="143"/>
      <c r="DP399" s="143"/>
      <c r="DQ399" s="143"/>
      <c r="DR399" s="143"/>
      <c r="DS399" s="143"/>
      <c r="DT399" s="143"/>
      <c r="DU399" s="143"/>
      <c r="DV399" s="143"/>
      <c r="DW399" s="143"/>
      <c r="DX399" s="143"/>
      <c r="DY399" s="143"/>
      <c r="DZ399" s="143"/>
      <c r="EA399" s="143"/>
      <c r="EB399" s="143"/>
      <c r="EC399" s="143"/>
      <c r="ED399" s="143"/>
      <c r="EE399" s="143"/>
      <c r="EF399" s="143"/>
      <c r="EG399" s="143"/>
      <c r="EH399" s="143"/>
      <c r="EI399" s="143"/>
      <c r="EJ399" s="143"/>
      <c r="EK399" s="143"/>
      <c r="EL399" s="143"/>
      <c r="EM399" s="143"/>
      <c r="EN399" s="143"/>
      <c r="EO399" s="143"/>
      <c r="EP399" s="143"/>
      <c r="EQ399" s="143"/>
      <c r="ER399" s="143"/>
      <c r="ES399" s="143"/>
      <c r="ET399" s="143"/>
      <c r="EU399" s="143"/>
      <c r="EV399" s="143"/>
      <c r="EW399" s="143"/>
      <c r="EX399" s="143"/>
      <c r="EY399" s="143"/>
      <c r="EZ399" s="143"/>
      <c r="FA399" s="143"/>
      <c r="FB399" s="143"/>
      <c r="FC399" s="143"/>
      <c r="FD399" s="143"/>
      <c r="FE399" s="143"/>
      <c r="FF399" s="143"/>
      <c r="FG399" s="143"/>
      <c r="FH399" s="143"/>
      <c r="FI399" s="143"/>
      <c r="FJ399" s="143"/>
      <c r="FK399" s="143"/>
      <c r="FL399" s="143"/>
      <c r="FM399" s="143"/>
      <c r="FN399" s="143"/>
      <c r="FO399" s="143"/>
      <c r="FP399" s="143"/>
      <c r="FQ399" s="143"/>
      <c r="FR399" s="143"/>
      <c r="FS399" s="143"/>
      <c r="FT399" s="143"/>
      <c r="FU399" s="143"/>
      <c r="FV399" s="143"/>
      <c r="FW399" s="143"/>
      <c r="FX399" s="143"/>
      <c r="FY399" s="143"/>
      <c r="FZ399" s="143"/>
      <c r="GA399" s="143"/>
      <c r="GB399" s="143"/>
      <c r="GC399" s="143"/>
      <c r="GD399" s="143"/>
      <c r="GE399" s="143"/>
      <c r="GF399" s="143"/>
      <c r="GG399" s="143"/>
      <c r="GH399" s="143"/>
      <c r="GI399" s="143"/>
      <c r="GJ399" s="143"/>
      <c r="GK399" s="143"/>
      <c r="GL399" s="143"/>
      <c r="GM399" s="143"/>
      <c r="GN399" s="143"/>
      <c r="GO399" s="143"/>
      <c r="GP399" s="143"/>
      <c r="GQ399" s="143"/>
      <c r="GR399" s="143"/>
      <c r="GS399" s="143"/>
      <c r="GT399" s="143"/>
      <c r="GU399" s="143"/>
      <c r="GV399" s="143"/>
      <c r="GW399" s="143"/>
      <c r="GX399" s="143"/>
      <c r="GY399" s="143"/>
      <c r="GZ399" s="143"/>
      <c r="HA399" s="143"/>
      <c r="HB399" s="143"/>
      <c r="HC399" s="143"/>
      <c r="HD399" s="143"/>
      <c r="HE399" s="143"/>
      <c r="HF399" s="143"/>
      <c r="HG399" s="143"/>
      <c r="HH399" s="143"/>
      <c r="HI399" s="143"/>
      <c r="HJ399" s="143"/>
      <c r="HK399" s="143"/>
      <c r="HL399" s="143"/>
      <c r="HM399" s="143"/>
      <c r="HN399" s="143"/>
      <c r="HO399" s="143"/>
      <c r="HP399" s="143"/>
      <c r="HQ399" s="143"/>
      <c r="HR399" s="143"/>
      <c r="HS399" s="143"/>
      <c r="HT399" s="143"/>
      <c r="HU399" s="143"/>
      <c r="HV399" s="143"/>
      <c r="HW399" s="143"/>
      <c r="HX399" s="143"/>
      <c r="HY399" s="143"/>
      <c r="HZ399" s="143"/>
      <c r="IA399" s="143"/>
      <c r="IB399" s="143"/>
      <c r="IC399" s="143"/>
      <c r="ID399" s="143"/>
      <c r="IE399" s="143"/>
      <c r="IF399" s="143"/>
      <c r="IG399" s="143"/>
      <c r="IH399" s="143"/>
      <c r="II399" s="143"/>
      <c r="IJ399" s="143"/>
      <c r="IK399" s="143"/>
      <c r="IL399" s="143"/>
      <c r="IM399" s="143"/>
      <c r="IN399" s="143"/>
      <c r="IO399" s="143"/>
      <c r="IP399" s="143"/>
      <c r="IQ399" s="143"/>
      <c r="IR399" s="143"/>
      <c r="IS399" s="143"/>
      <c r="IT399" s="143"/>
      <c r="IU399" s="143"/>
      <c r="IV399" s="143"/>
      <c r="IW399" s="143"/>
      <c r="IX399" s="143"/>
      <c r="IY399" s="143"/>
      <c r="IZ399" s="143"/>
      <c r="JA399" s="143"/>
      <c r="JB399" s="143"/>
      <c r="JC399" s="143"/>
      <c r="JD399" s="143"/>
      <c r="JE399" s="143"/>
      <c r="JF399" s="143"/>
      <c r="JG399" s="143"/>
      <c r="JH399" s="143"/>
      <c r="JI399" s="143"/>
    </row>
    <row r="400" spans="1:269" ht="15" hidden="1" outlineLevel="1" thickBot="1">
      <c r="A400" s="80" t="s">
        <v>260</v>
      </c>
      <c r="B400" s="70"/>
      <c r="C400" s="478"/>
      <c r="D400" s="478"/>
      <c r="E400" s="478"/>
      <c r="F400" s="477"/>
      <c r="G400" s="477"/>
      <c r="H400" s="477"/>
      <c r="I400" s="477"/>
      <c r="J400" s="478"/>
      <c r="K400" s="477"/>
      <c r="L400" s="477"/>
      <c r="M400" s="477"/>
      <c r="N400" s="477"/>
      <c r="O400" s="478"/>
      <c r="P400" s="477"/>
      <c r="Q400" s="477"/>
      <c r="R400" s="477"/>
      <c r="S400" s="477"/>
      <c r="T400" s="478"/>
      <c r="U400" s="477"/>
      <c r="V400" s="477"/>
      <c r="W400" s="477"/>
      <c r="X400" s="477"/>
      <c r="Y400" s="478"/>
      <c r="Z400" s="477"/>
      <c r="AA400" s="477"/>
      <c r="AB400" s="477"/>
      <c r="AC400" s="477"/>
      <c r="AD400" s="479"/>
      <c r="AE400" s="477"/>
      <c r="AF400" s="477"/>
      <c r="AG400" s="477"/>
      <c r="AH400" s="72"/>
      <c r="AI400" s="329"/>
      <c r="AJ400" s="72"/>
      <c r="AK400" s="72"/>
      <c r="AL400" s="72"/>
      <c r="AM400" s="72"/>
      <c r="AN400" s="329"/>
      <c r="AO400" s="72"/>
      <c r="AP400" s="72"/>
      <c r="AQ400" s="72"/>
      <c r="AR400" s="72"/>
      <c r="AS400" s="329"/>
      <c r="AT400" s="315"/>
      <c r="AU400" s="508"/>
      <c r="AV400" s="143"/>
      <c r="AW400" s="143"/>
      <c r="AX400" s="143"/>
      <c r="AY400" s="143"/>
      <c r="AZ400" s="143"/>
      <c r="BA400" s="143"/>
      <c r="BB400" s="143"/>
      <c r="BC400" s="143"/>
      <c r="BD400" s="143"/>
      <c r="BE400" s="143"/>
      <c r="BF400" s="143"/>
      <c r="BG400" s="143"/>
      <c r="BH400" s="143"/>
      <c r="BI400" s="143"/>
      <c r="BJ400" s="143"/>
      <c r="BK400" s="143"/>
      <c r="BL400" s="143"/>
      <c r="BM400" s="143"/>
      <c r="BN400" s="143"/>
      <c r="BO400" s="143"/>
      <c r="BP400" s="143"/>
      <c r="BQ400" s="143"/>
      <c r="BR400" s="143"/>
      <c r="BS400" s="143"/>
      <c r="BT400" s="143"/>
      <c r="BU400" s="143"/>
      <c r="BV400" s="143"/>
      <c r="BW400" s="143"/>
      <c r="BX400" s="143"/>
      <c r="BY400" s="143"/>
      <c r="BZ400" s="143"/>
      <c r="CA400" s="143"/>
      <c r="CB400" s="143"/>
      <c r="CC400" s="143"/>
      <c r="CD400" s="143"/>
      <c r="CE400" s="143"/>
      <c r="CF400" s="143"/>
      <c r="CG400" s="143"/>
      <c r="CH400" s="143"/>
      <c r="CI400" s="143"/>
      <c r="CJ400" s="143"/>
      <c r="CK400" s="143"/>
      <c r="CL400" s="143"/>
      <c r="CM400" s="143"/>
      <c r="CN400" s="143"/>
      <c r="CO400" s="143"/>
      <c r="CP400" s="143"/>
      <c r="CQ400" s="143"/>
      <c r="CR400" s="143"/>
      <c r="CS400" s="143"/>
      <c r="CT400" s="143"/>
      <c r="CU400" s="143"/>
      <c r="CV400" s="143"/>
      <c r="CW400" s="143"/>
      <c r="CX400" s="143"/>
      <c r="CY400" s="143"/>
      <c r="CZ400" s="143"/>
      <c r="DA400" s="143"/>
      <c r="DB400" s="143"/>
      <c r="DC400" s="143"/>
      <c r="DD400" s="143"/>
      <c r="DE400" s="143"/>
      <c r="DF400" s="143"/>
      <c r="DG400" s="143"/>
      <c r="DH400" s="143"/>
      <c r="DI400" s="143"/>
      <c r="DJ400" s="143"/>
      <c r="DK400" s="143"/>
      <c r="DL400" s="143"/>
      <c r="DM400" s="143"/>
      <c r="DN400" s="143"/>
      <c r="DO400" s="143"/>
      <c r="DP400" s="143"/>
      <c r="DQ400" s="143"/>
      <c r="DR400" s="143"/>
      <c r="DS400" s="143"/>
      <c r="DT400" s="143"/>
      <c r="DU400" s="143"/>
      <c r="DV400" s="143"/>
      <c r="DW400" s="143"/>
      <c r="DX400" s="143"/>
      <c r="DY400" s="143"/>
      <c r="DZ400" s="143"/>
      <c r="EA400" s="143"/>
      <c r="EB400" s="143"/>
      <c r="EC400" s="143"/>
      <c r="ED400" s="143"/>
      <c r="EE400" s="143"/>
      <c r="EF400" s="143"/>
      <c r="EG400" s="143"/>
      <c r="EH400" s="143"/>
      <c r="EI400" s="143"/>
      <c r="EJ400" s="143"/>
      <c r="EK400" s="143"/>
      <c r="EL400" s="143"/>
      <c r="EM400" s="143"/>
      <c r="EN400" s="143"/>
      <c r="EO400" s="143"/>
      <c r="EP400" s="143"/>
      <c r="EQ400" s="143"/>
      <c r="ER400" s="143"/>
      <c r="ES400" s="143"/>
      <c r="ET400" s="143"/>
      <c r="EU400" s="143"/>
      <c r="EV400" s="143"/>
      <c r="EW400" s="143"/>
      <c r="EX400" s="143"/>
      <c r="EY400" s="143"/>
      <c r="EZ400" s="143"/>
      <c r="FA400" s="143"/>
      <c r="FB400" s="143"/>
      <c r="FC400" s="143"/>
      <c r="FD400" s="143"/>
      <c r="FE400" s="143"/>
      <c r="FF400" s="143"/>
      <c r="FG400" s="143"/>
      <c r="FH400" s="143"/>
      <c r="FI400" s="143"/>
      <c r="FJ400" s="143"/>
      <c r="FK400" s="143"/>
      <c r="FL400" s="143"/>
      <c r="FM400" s="143"/>
      <c r="FN400" s="143"/>
      <c r="FO400" s="143"/>
      <c r="FP400" s="143"/>
      <c r="FQ400" s="143"/>
      <c r="FR400" s="143"/>
      <c r="FS400" s="143"/>
      <c r="FT400" s="143"/>
      <c r="FU400" s="143"/>
      <c r="FV400" s="143"/>
      <c r="FW400" s="143"/>
      <c r="FX400" s="143"/>
      <c r="FY400" s="143"/>
      <c r="FZ400" s="143"/>
      <c r="GA400" s="143"/>
      <c r="GB400" s="143"/>
      <c r="GC400" s="143"/>
      <c r="GD400" s="143"/>
      <c r="GE400" s="143"/>
      <c r="GF400" s="143"/>
      <c r="GG400" s="143"/>
      <c r="GH400" s="143"/>
      <c r="GI400" s="143"/>
      <c r="GJ400" s="143"/>
      <c r="GK400" s="143"/>
      <c r="GL400" s="143"/>
      <c r="GM400" s="143"/>
      <c r="GN400" s="143"/>
      <c r="GO400" s="143"/>
      <c r="GP400" s="143"/>
      <c r="GQ400" s="143"/>
      <c r="GR400" s="143"/>
      <c r="GS400" s="143"/>
      <c r="GT400" s="143"/>
      <c r="GU400" s="143"/>
      <c r="GV400" s="143"/>
      <c r="GW400" s="143"/>
      <c r="GX400" s="143"/>
      <c r="GY400" s="143"/>
      <c r="GZ400" s="143"/>
      <c r="HA400" s="143"/>
      <c r="HB400" s="143"/>
      <c r="HC400" s="143"/>
      <c r="HD400" s="143"/>
      <c r="HE400" s="143"/>
      <c r="HF400" s="143"/>
      <c r="HG400" s="143"/>
      <c r="HH400" s="143"/>
      <c r="HI400" s="143"/>
      <c r="HJ400" s="143"/>
      <c r="HK400" s="143"/>
      <c r="HL400" s="143"/>
      <c r="HM400" s="143"/>
      <c r="HN400" s="143"/>
      <c r="HO400" s="143"/>
      <c r="HP400" s="143"/>
      <c r="HQ400" s="143"/>
      <c r="HR400" s="143"/>
      <c r="HS400" s="143"/>
      <c r="HT400" s="143"/>
      <c r="HU400" s="143"/>
      <c r="HV400" s="143"/>
      <c r="HW400" s="143"/>
      <c r="HX400" s="143"/>
      <c r="HY400" s="143"/>
      <c r="HZ400" s="143"/>
      <c r="IA400" s="143"/>
      <c r="IB400" s="143"/>
      <c r="IC400" s="143"/>
      <c r="ID400" s="143"/>
      <c r="IE400" s="143"/>
      <c r="IF400" s="143"/>
      <c r="IG400" s="143"/>
      <c r="IH400" s="143"/>
      <c r="II400" s="143"/>
      <c r="IJ400" s="143"/>
      <c r="IK400" s="143"/>
      <c r="IL400" s="143"/>
      <c r="IM400" s="143"/>
      <c r="IN400" s="143"/>
      <c r="IO400" s="143"/>
      <c r="IP400" s="143"/>
      <c r="IQ400" s="143"/>
      <c r="IR400" s="143"/>
      <c r="IS400" s="143"/>
      <c r="IT400" s="143"/>
      <c r="IU400" s="143"/>
      <c r="IV400" s="143"/>
      <c r="IW400" s="143"/>
      <c r="IX400" s="143"/>
      <c r="IY400" s="143"/>
      <c r="IZ400" s="143"/>
      <c r="JA400" s="143"/>
      <c r="JB400" s="143"/>
      <c r="JC400" s="143"/>
      <c r="JD400" s="143"/>
      <c r="JE400" s="143"/>
      <c r="JF400" s="143"/>
      <c r="JG400" s="143"/>
      <c r="JH400" s="143"/>
      <c r="JI400" s="143"/>
    </row>
    <row r="401" spans="1:269" ht="15" hidden="1" outlineLevel="1" thickTop="1">
      <c r="A401" s="83" t="s">
        <v>261</v>
      </c>
      <c r="B401" s="144" t="s">
        <v>262</v>
      </c>
      <c r="C401" s="74" t="e">
        <f>SUM(#REF!)</f>
        <v>#REF!</v>
      </c>
      <c r="D401" s="74" t="e">
        <f>SUM(#REF!)</f>
        <v>#REF!</v>
      </c>
      <c r="E401" s="74" t="e">
        <f>SUM(#REF!)</f>
        <v>#REF!</v>
      </c>
      <c r="F401" s="445" t="e">
        <f>_xll.BQL.QUERY("get(sum(px_last(start=" &amp; TEXT(#REF!, "YYYY-MM-DD") &amp; ", end=" &amp; TEXT(F$5, "YYYY-MM-DD") &amp; "))) for('"&amp;$B401&amp;"')")</f>
        <v>#REF!</v>
      </c>
      <c r="G401" s="445">
        <f>_xll.BQL.QUERY("get(sum(px_last(start=" &amp; TEXT(F$5, "YYYY-MM-DD") &amp; ", end=" &amp; TEXT(G$5, "YYYY-MM-DD") &amp; "))) for('"&amp;$B401&amp;"')")</f>
        <v>33641</v>
      </c>
      <c r="H401" s="445">
        <f>_xll.BQL.QUERY("get(sum(px_last(start=" &amp; TEXT(G$5, "YYYY-MM-DD") &amp; ", end=" &amp; TEXT(H$5, "YYYY-MM-DD") &amp; "))) for('"&amp;$B401&amp;"')")</f>
        <v>38552</v>
      </c>
      <c r="I401" s="445">
        <f>_xll.BQL.QUERY("get(sum(px_last(start=" &amp; TEXT(H$5, "YYYY-MM-DD") &amp; ", end=" &amp; TEXT(I$5, "YYYY-MM-DD") &amp; "))) for('"&amp;$B401&amp;"')")</f>
        <v>27217</v>
      </c>
      <c r="J401" s="74" t="e">
        <f>SUM(#REF!)</f>
        <v>#REF!</v>
      </c>
      <c r="K401" s="445" t="e">
        <f>_xll.BQL.QUERY("get(sum(px_last(start=" &amp; TEXT(#REF!, "YYYY-MM-DD") &amp; ", end=" &amp; TEXT(K$5, "YYYY-MM-DD") &amp; "))) for('"&amp;$B401&amp;"')")</f>
        <v>#REF!</v>
      </c>
      <c r="L401" s="445" t="str">
        <f>_xll.BQL.QUERY("get(sum(px_last(start=" &amp; TEXT(K$5, "YYYY-MM-DD") &amp; ", end=" &amp; TEXT(L$5, "YYYY-MM-DD") &amp; "))) for('"&amp;$B401&amp;"')")</f>
        <v>#N/A</v>
      </c>
      <c r="M401" s="445">
        <f>_xll.BQL.QUERY("get(sum(px_last(start=" &amp; TEXT(L$5, "YYYY-MM-DD") &amp; ", end=" &amp; TEXT(M$5, "YYYY-MM-DD") &amp; "))) for('"&amp;$B401&amp;"')")</f>
        <v>25837</v>
      </c>
      <c r="N401" s="445">
        <f>_xll.BQL.QUERY("get(sum(px_last(start=" &amp; TEXT(M$5, "YYYY-MM-DD") &amp; ", end=" &amp; TEXT(N$5, "YYYY-MM-DD") &amp; "))) for('"&amp;$B401&amp;"')")</f>
        <v>12713</v>
      </c>
      <c r="O401" s="74" t="e">
        <f>SUM(K401:N401)</f>
        <v>#REF!</v>
      </c>
      <c r="P401" s="445" t="str">
        <f>_xll.BQL.QUERY("get(sum(px_last(start=" &amp; TEXT(O$5, "YYYY-MM-DD") &amp; ", end=" &amp; TEXT(P$5, "YYYY-MM-DD") &amp; "))) for('"&amp;$B401&amp;"')")</f>
        <v>#N/A</v>
      </c>
      <c r="Q401" s="445">
        <f>_xll.BQL.QUERY("get(sum(px_last(start=" &amp; TEXT(P$5, "YYYY-MM-DD") &amp; ", end=" &amp; TEXT(Q$5, "YYYY-MM-DD") &amp; "))) for('"&amp;$B401&amp;"')")</f>
        <v>11671</v>
      </c>
      <c r="R401" s="445">
        <f>_xll.BQL.QUERY("get(sum(px_last(start=" &amp; TEXT(Q$5, "YYYY-MM-DD") &amp; ", end=" &amp; TEXT(R$5, "YYYY-MM-DD") &amp; "))) for('"&amp;$B401&amp;"')")</f>
        <v>38361</v>
      </c>
      <c r="S401" s="445">
        <f>_xll.BQL.QUERY("get(sum(px_last(start=" &amp; TEXT(R$5, "YYYY-MM-DD") &amp; ", end=" &amp; TEXT(S$5, "YYYY-MM-DD") &amp; "))) for('"&amp;$B401&amp;"')")</f>
        <v>32998</v>
      </c>
      <c r="T401" s="74">
        <f>SUM(P401:S401)</f>
        <v>83030</v>
      </c>
      <c r="U401" s="445">
        <f>_xll.BQL.QUERY("get(sum(px_last(start=" &amp; TEXT(T$5, "YYYY-MM-DD") &amp; ", end=" &amp; TEXT(U$5, "YYYY-MM-DD") &amp; "))) for('"&amp;$B401&amp;"')")</f>
        <v>26745</v>
      </c>
      <c r="V401" s="445">
        <f>_xll.BQL.QUERY("get(sum(px_last(start=" &amp; TEXT(U$5, "YYYY-MM-DD") &amp; ", end=" &amp; TEXT(V$5, "YYYY-MM-DD") &amp; "))) for('"&amp;$B401&amp;"')")</f>
        <v>39475</v>
      </c>
      <c r="W401" s="445">
        <f>_xll.BQL.QUERY("get(sum(px_last(start=" &amp; TEXT(V$5, "YYYY-MM-DD") &amp; ", end=" &amp; TEXT(W$5, "YYYY-MM-DD") &amp; "))) for('"&amp;$B401&amp;"')")</f>
        <v>49168</v>
      </c>
      <c r="X401" s="445">
        <f>_xll.BQL.QUERY("get(sum(px_last(start=" &amp; TEXT(W$5, "YYYY-MM-DD") &amp; ", end=" &amp; TEXT(X$5, "YYYY-MM-DD") &amp; "))) for('"&amp;$B401&amp;"')")</f>
        <v>37660</v>
      </c>
      <c r="Y401" s="74">
        <f>SUM(U401:X401)</f>
        <v>153048</v>
      </c>
      <c r="Z401" s="445">
        <f>_xll.BQL.QUERY("get(sum(px_last(start=" &amp; TEXT(Y$5, "YYYY-MM-DD") &amp; ", end=" &amp; TEXT(Z$5, "YYYY-MM-DD") &amp; "))) for('"&amp;$B401&amp;"')")</f>
        <v>31160</v>
      </c>
      <c r="AA401" s="445">
        <f>_xll.BQL.QUERY("get(sum(px_last(start=" &amp; TEXT(Z$5, "YYYY-MM-DD") &amp; ", end=" &amp; TEXT(AA$5, "YYYY-MM-DD") &amp; "))) for('"&amp;$B401&amp;"')")</f>
        <v>41689</v>
      </c>
      <c r="AB401" s="445">
        <f>_xll.BQL.QUERY("get(sum(px_last(start=" &amp; TEXT(AA$5, "YYYY-MM-DD") &amp; ", end=" &amp; TEXT(AB$5, "YYYY-MM-DD") &amp; "))) for('"&amp;$B401&amp;"')")</f>
        <v>50101</v>
      </c>
      <c r="AC401" s="445">
        <f>_xll.BQL.QUERY("get(sum(px_last(start=" &amp; TEXT(AB$5, "YYYY-MM-DD") &amp; ", end=" &amp; TEXT(AC$5, "YYYY-MM-DD") &amp; "))) for('"&amp;$B401&amp;"')")</f>
        <v>11826</v>
      </c>
      <c r="AD401" s="283">
        <f>SUM(Z401:AC401)</f>
        <v>134776</v>
      </c>
      <c r="AE401" s="445" t="str">
        <f>_xll.BQL.QUERY("get(sum(px_last(start=" &amp; TEXT(AD$5, "YYYY-MM-DD") &amp; ", end=" &amp; TEXT(AE$5, "YYYY-MM-DD") &amp; "))) for('"&amp;$B401&amp;"')")</f>
        <v>#N/A</v>
      </c>
      <c r="AF401" s="445" t="str">
        <f>_xll.BQL.QUERY("get(sum(px_last(start=" &amp; TEXT(AE$5, "YYYY-MM-DD") &amp; ", end=" &amp; TEXT(AF$5, "YYYY-MM-DD") &amp; "))) for('"&amp;$B401&amp;"')")</f>
        <v>#N/A</v>
      </c>
      <c r="AG401" s="414"/>
      <c r="AH401" s="280"/>
      <c r="AI401" s="320"/>
      <c r="AJ401" s="280"/>
      <c r="AK401" s="280"/>
      <c r="AL401" s="280"/>
      <c r="AM401" s="280"/>
      <c r="AN401" s="320"/>
      <c r="AO401" s="280"/>
      <c r="AP401" s="280"/>
      <c r="AQ401" s="280"/>
      <c r="AR401" s="280"/>
      <c r="AS401" s="320"/>
      <c r="AT401" s="315"/>
      <c r="AU401" s="508"/>
      <c r="AV401" s="143"/>
      <c r="AW401" s="143"/>
      <c r="AX401" s="143"/>
      <c r="AY401" s="143"/>
      <c r="AZ401" s="143"/>
      <c r="BA401" s="143"/>
      <c r="BB401" s="143"/>
      <c r="BC401" s="143"/>
      <c r="BD401" s="143"/>
      <c r="BE401" s="143"/>
      <c r="BF401" s="143"/>
      <c r="BG401" s="143"/>
      <c r="BH401" s="143"/>
      <c r="BI401" s="143"/>
      <c r="BJ401" s="143"/>
      <c r="BK401" s="143"/>
      <c r="BL401" s="143"/>
      <c r="BM401" s="143"/>
      <c r="BN401" s="143"/>
      <c r="BO401" s="143"/>
      <c r="BP401" s="143"/>
      <c r="BQ401" s="143"/>
      <c r="BR401" s="143"/>
      <c r="BS401" s="143"/>
      <c r="BT401" s="143"/>
      <c r="BU401" s="143"/>
      <c r="BV401" s="143"/>
      <c r="BW401" s="143"/>
      <c r="BX401" s="143"/>
      <c r="BY401" s="143"/>
      <c r="BZ401" s="143"/>
      <c r="CA401" s="143"/>
      <c r="CB401" s="143"/>
      <c r="CC401" s="143"/>
      <c r="CD401" s="143"/>
      <c r="CE401" s="143"/>
      <c r="CF401" s="143"/>
      <c r="CG401" s="143"/>
      <c r="CH401" s="143"/>
      <c r="CI401" s="143"/>
      <c r="CJ401" s="143"/>
      <c r="CK401" s="143"/>
      <c r="CL401" s="143"/>
      <c r="CM401" s="143"/>
      <c r="CN401" s="143"/>
      <c r="CO401" s="143"/>
      <c r="CP401" s="143"/>
      <c r="CQ401" s="143"/>
      <c r="CR401" s="143"/>
      <c r="CS401" s="143"/>
      <c r="CT401" s="143"/>
      <c r="CU401" s="143"/>
      <c r="CV401" s="143"/>
      <c r="CW401" s="143"/>
      <c r="CX401" s="143"/>
      <c r="CY401" s="143"/>
      <c r="CZ401" s="143"/>
      <c r="DA401" s="143"/>
      <c r="DB401" s="143"/>
      <c r="DC401" s="143"/>
      <c r="DD401" s="143"/>
      <c r="DE401" s="143"/>
      <c r="DF401" s="143"/>
      <c r="DG401" s="143"/>
      <c r="DH401" s="143"/>
      <c r="DI401" s="143"/>
      <c r="DJ401" s="143"/>
      <c r="DK401" s="143"/>
      <c r="DL401" s="143"/>
      <c r="DM401" s="143"/>
      <c r="DN401" s="143"/>
      <c r="DO401" s="143"/>
      <c r="DP401" s="143"/>
      <c r="DQ401" s="143"/>
      <c r="DR401" s="143"/>
      <c r="DS401" s="143"/>
      <c r="DT401" s="143"/>
      <c r="DU401" s="143"/>
      <c r="DV401" s="143"/>
      <c r="DW401" s="143"/>
      <c r="DX401" s="143"/>
      <c r="DY401" s="143"/>
      <c r="DZ401" s="143"/>
      <c r="EA401" s="143"/>
      <c r="EB401" s="143"/>
      <c r="EC401" s="143"/>
      <c r="ED401" s="143"/>
      <c r="EE401" s="143"/>
      <c r="EF401" s="143"/>
      <c r="EG401" s="143"/>
      <c r="EH401" s="143"/>
      <c r="EI401" s="143"/>
      <c r="EJ401" s="143"/>
      <c r="EK401" s="143"/>
      <c r="EL401" s="143"/>
      <c r="EM401" s="143"/>
      <c r="EN401" s="143"/>
      <c r="EO401" s="143"/>
      <c r="EP401" s="143"/>
      <c r="EQ401" s="143"/>
      <c r="ER401" s="143"/>
      <c r="ES401" s="143"/>
      <c r="ET401" s="143"/>
      <c r="EU401" s="143"/>
      <c r="EV401" s="143"/>
      <c r="EW401" s="143"/>
      <c r="EX401" s="143"/>
      <c r="EY401" s="143"/>
      <c r="EZ401" s="143"/>
      <c r="FA401" s="143"/>
      <c r="FB401" s="143"/>
      <c r="FC401" s="143"/>
      <c r="FD401" s="143"/>
      <c r="FE401" s="143"/>
      <c r="FF401" s="143"/>
      <c r="FG401" s="143"/>
      <c r="FH401" s="143"/>
      <c r="FI401" s="143"/>
      <c r="FJ401" s="143"/>
      <c r="FK401" s="143"/>
      <c r="FL401" s="143"/>
      <c r="FM401" s="143"/>
      <c r="FN401" s="143"/>
      <c r="FO401" s="143"/>
      <c r="FP401" s="143"/>
      <c r="FQ401" s="143"/>
      <c r="FR401" s="143"/>
      <c r="FS401" s="143"/>
      <c r="FT401" s="143"/>
      <c r="FU401" s="143"/>
      <c r="FV401" s="143"/>
      <c r="FW401" s="143"/>
      <c r="FX401" s="143"/>
      <c r="FY401" s="143"/>
      <c r="FZ401" s="143"/>
      <c r="GA401" s="143"/>
      <c r="GB401" s="143"/>
      <c r="GC401" s="143"/>
      <c r="GD401" s="143"/>
      <c r="GE401" s="143"/>
      <c r="GF401" s="143"/>
      <c r="GG401" s="143"/>
      <c r="GH401" s="143"/>
      <c r="GI401" s="143"/>
      <c r="GJ401" s="143"/>
      <c r="GK401" s="143"/>
      <c r="GL401" s="143"/>
      <c r="GM401" s="143"/>
      <c r="GN401" s="143"/>
      <c r="GO401" s="143"/>
      <c r="GP401" s="143"/>
      <c r="GQ401" s="143"/>
      <c r="GR401" s="143"/>
      <c r="GS401" s="143"/>
      <c r="GT401" s="143"/>
      <c r="GU401" s="143"/>
      <c r="GV401" s="143"/>
      <c r="GW401" s="143"/>
      <c r="GX401" s="143"/>
      <c r="GY401" s="143"/>
      <c r="GZ401" s="143"/>
      <c r="HA401" s="143"/>
      <c r="HB401" s="143"/>
      <c r="HC401" s="143"/>
      <c r="HD401" s="143"/>
      <c r="HE401" s="143"/>
      <c r="HF401" s="143"/>
      <c r="HG401" s="143"/>
      <c r="HH401" s="143"/>
      <c r="HI401" s="143"/>
      <c r="HJ401" s="143"/>
      <c r="HK401" s="143"/>
      <c r="HL401" s="143"/>
      <c r="HM401" s="143"/>
      <c r="HN401" s="143"/>
      <c r="HO401" s="143"/>
      <c r="HP401" s="143"/>
      <c r="HQ401" s="143"/>
      <c r="HR401" s="143"/>
      <c r="HS401" s="143"/>
      <c r="HT401" s="143"/>
      <c r="HU401" s="143"/>
      <c r="HV401" s="143"/>
      <c r="HW401" s="143"/>
      <c r="HX401" s="143"/>
      <c r="HY401" s="143"/>
      <c r="HZ401" s="143"/>
      <c r="IA401" s="143"/>
      <c r="IB401" s="143"/>
      <c r="IC401" s="143"/>
      <c r="ID401" s="143"/>
      <c r="IE401" s="143"/>
      <c r="IF401" s="143"/>
      <c r="IG401" s="143"/>
      <c r="IH401" s="143"/>
      <c r="II401" s="143"/>
      <c r="IJ401" s="143"/>
      <c r="IK401" s="143"/>
      <c r="IL401" s="143"/>
      <c r="IM401" s="143"/>
      <c r="IN401" s="143"/>
      <c r="IO401" s="143"/>
      <c r="IP401" s="143"/>
      <c r="IQ401" s="143"/>
      <c r="IR401" s="143"/>
      <c r="IS401" s="143"/>
      <c r="IT401" s="143"/>
      <c r="IU401" s="143"/>
      <c r="IV401" s="143"/>
      <c r="IW401" s="143"/>
      <c r="IX401" s="143"/>
      <c r="IY401" s="143"/>
      <c r="IZ401" s="143"/>
      <c r="JA401" s="143"/>
      <c r="JB401" s="143"/>
      <c r="JC401" s="143"/>
      <c r="JD401" s="143"/>
      <c r="JE401" s="143"/>
      <c r="JF401" s="143"/>
      <c r="JG401" s="143"/>
      <c r="JH401" s="143"/>
      <c r="JI401" s="143"/>
    </row>
    <row r="402" spans="1:269" hidden="1" outlineLevel="1">
      <c r="A402" s="437" t="s">
        <v>208</v>
      </c>
      <c r="B402" s="144"/>
      <c r="C402" s="417" t="e">
        <f>C401/#REF!-1</f>
        <v>#REF!</v>
      </c>
      <c r="D402" s="417" t="e">
        <f>D401/#REF!-1</f>
        <v>#REF!</v>
      </c>
      <c r="E402" s="417" t="e">
        <f>E401/#REF!-1</f>
        <v>#REF!</v>
      </c>
      <c r="F402" s="414" t="e">
        <f>F401/#REF!-1</f>
        <v>#REF!</v>
      </c>
      <c r="G402" s="414" t="e">
        <f>G401/#REF!-1</f>
        <v>#REF!</v>
      </c>
      <c r="H402" s="414" t="e">
        <f>H401/#REF!-1</f>
        <v>#REF!</v>
      </c>
      <c r="I402" s="414" t="e">
        <f>I401/#REF!-1</f>
        <v>#REF!</v>
      </c>
      <c r="J402" s="417" t="e">
        <f>J401/#REF!-1</f>
        <v>#REF!</v>
      </c>
      <c r="K402" s="414" t="e">
        <f>K401/#REF!-1</f>
        <v>#REF!</v>
      </c>
      <c r="L402" s="414" t="e">
        <f>L401/#REF!-1</f>
        <v>#VALUE!</v>
      </c>
      <c r="M402" s="414" t="e">
        <f>M401/#REF!-1</f>
        <v>#REF!</v>
      </c>
      <c r="N402" s="414" t="e">
        <f>N401/#REF!-1</f>
        <v>#REF!</v>
      </c>
      <c r="O402" s="417" t="e">
        <f>O401/#REF!-1</f>
        <v>#REF!</v>
      </c>
      <c r="P402" s="414" t="e">
        <f t="shared" ref="P402" si="826">P401/K401-1</f>
        <v>#VALUE!</v>
      </c>
      <c r="Q402" s="414" t="e">
        <f t="shared" ref="Q402" si="827">Q401/L401-1</f>
        <v>#VALUE!</v>
      </c>
      <c r="R402" s="414">
        <f t="shared" ref="R402" si="828">R401/M401-1</f>
        <v>0.48473119944265974</v>
      </c>
      <c r="S402" s="414">
        <f t="shared" ref="S402" si="829">S401/N401-1</f>
        <v>1.5956107921025722</v>
      </c>
      <c r="T402" s="417" t="e">
        <f t="shared" ref="T402" si="830">T401/O401-1</f>
        <v>#REF!</v>
      </c>
      <c r="U402" s="414" t="e">
        <f t="shared" ref="U402" si="831">U401/P401-1</f>
        <v>#VALUE!</v>
      </c>
      <c r="V402" s="414">
        <f t="shared" ref="V402" si="832">V401/Q401-1</f>
        <v>2.3823151400908236</v>
      </c>
      <c r="W402" s="414">
        <f t="shared" ref="W402" si="833">W401/R401-1</f>
        <v>0.28171841192878189</v>
      </c>
      <c r="X402" s="414">
        <f t="shared" ref="X402" si="834">X401/S401-1</f>
        <v>0.14128128977513787</v>
      </c>
      <c r="Y402" s="417">
        <f t="shared" ref="Y402" si="835">Y401/T401-1</f>
        <v>0.8432855594363482</v>
      </c>
      <c r="Z402" s="414">
        <f t="shared" ref="Z402" si="836">Z401/U401-1</f>
        <v>0.16507758459525146</v>
      </c>
      <c r="AA402" s="414">
        <f t="shared" ref="AA402" si="837">AA401/V401-1</f>
        <v>5.6086130462317918E-2</v>
      </c>
      <c r="AB402" s="414">
        <f t="shared" ref="AB402" si="838">AB401/W401-1</f>
        <v>1.8975756589651782E-2</v>
      </c>
      <c r="AC402" s="414">
        <f t="shared" ref="AC402" si="839">AC401/X401-1</f>
        <v>-0.68597981943706854</v>
      </c>
      <c r="AD402" s="422">
        <f t="shared" ref="AD402" si="840">AD401/Y401-1</f>
        <v>-0.11938738173644869</v>
      </c>
      <c r="AE402" s="414" t="e">
        <f t="shared" ref="AE402" si="841">AE401/Z401-1</f>
        <v>#VALUE!</v>
      </c>
      <c r="AF402" s="414" t="e">
        <f t="shared" ref="AF402" si="842">AF401/AA401-1</f>
        <v>#VALUE!</v>
      </c>
      <c r="AG402" s="414"/>
      <c r="AH402" s="280"/>
      <c r="AI402" s="320"/>
      <c r="AJ402" s="280"/>
      <c r="AK402" s="280"/>
      <c r="AL402" s="280"/>
      <c r="AM402" s="280"/>
      <c r="AN402" s="320"/>
      <c r="AO402" s="280"/>
      <c r="AP402" s="280"/>
      <c r="AQ402" s="280"/>
      <c r="AR402" s="280"/>
      <c r="AS402" s="320"/>
      <c r="AT402" s="315"/>
      <c r="AU402" s="508"/>
      <c r="AV402" s="143"/>
      <c r="AW402" s="143"/>
      <c r="AX402" s="143"/>
      <c r="AY402" s="143"/>
      <c r="AZ402" s="143"/>
      <c r="BA402" s="143"/>
      <c r="BB402" s="143"/>
      <c r="BC402" s="143"/>
      <c r="BD402" s="143"/>
      <c r="BE402" s="143"/>
      <c r="BF402" s="143"/>
      <c r="BG402" s="143"/>
      <c r="BH402" s="143"/>
      <c r="BI402" s="143"/>
      <c r="BJ402" s="143"/>
      <c r="BK402" s="143"/>
      <c r="BL402" s="143"/>
      <c r="BM402" s="143"/>
      <c r="BN402" s="143"/>
      <c r="BO402" s="143"/>
      <c r="BP402" s="143"/>
      <c r="BQ402" s="143"/>
      <c r="BR402" s="143"/>
      <c r="BS402" s="143"/>
      <c r="BT402" s="143"/>
      <c r="BU402" s="143"/>
      <c r="BV402" s="143"/>
      <c r="BW402" s="143"/>
      <c r="BX402" s="143"/>
      <c r="BY402" s="143"/>
      <c r="BZ402" s="143"/>
      <c r="CA402" s="143"/>
      <c r="CB402" s="143"/>
      <c r="CC402" s="143"/>
      <c r="CD402" s="143"/>
      <c r="CE402" s="143"/>
      <c r="CF402" s="143"/>
      <c r="CG402" s="143"/>
      <c r="CH402" s="143"/>
      <c r="CI402" s="143"/>
      <c r="CJ402" s="143"/>
      <c r="CK402" s="143"/>
      <c r="CL402" s="143"/>
      <c r="CM402" s="143"/>
      <c r="CN402" s="143"/>
      <c r="CO402" s="143"/>
      <c r="CP402" s="143"/>
      <c r="CQ402" s="143"/>
      <c r="CR402" s="143"/>
      <c r="CS402" s="143"/>
      <c r="CT402" s="143"/>
      <c r="CU402" s="143"/>
      <c r="CV402" s="143"/>
      <c r="CW402" s="143"/>
      <c r="CX402" s="143"/>
      <c r="CY402" s="143"/>
      <c r="CZ402" s="143"/>
      <c r="DA402" s="143"/>
      <c r="DB402" s="143"/>
      <c r="DC402" s="143"/>
      <c r="DD402" s="143"/>
      <c r="DE402" s="143"/>
      <c r="DF402" s="143"/>
      <c r="DG402" s="143"/>
      <c r="DH402" s="143"/>
      <c r="DI402" s="143"/>
      <c r="DJ402" s="143"/>
      <c r="DK402" s="143"/>
      <c r="DL402" s="143"/>
      <c r="DM402" s="143"/>
      <c r="DN402" s="143"/>
      <c r="DO402" s="143"/>
      <c r="DP402" s="143"/>
      <c r="DQ402" s="143"/>
      <c r="DR402" s="143"/>
      <c r="DS402" s="143"/>
      <c r="DT402" s="143"/>
      <c r="DU402" s="143"/>
      <c r="DV402" s="143"/>
      <c r="DW402" s="143"/>
      <c r="DX402" s="143"/>
      <c r="DY402" s="143"/>
      <c r="DZ402" s="143"/>
      <c r="EA402" s="143"/>
      <c r="EB402" s="143"/>
      <c r="EC402" s="143"/>
      <c r="ED402" s="143"/>
      <c r="EE402" s="143"/>
      <c r="EF402" s="143"/>
      <c r="EG402" s="143"/>
      <c r="EH402" s="143"/>
      <c r="EI402" s="143"/>
      <c r="EJ402" s="143"/>
      <c r="EK402" s="143"/>
      <c r="EL402" s="143"/>
      <c r="EM402" s="143"/>
      <c r="EN402" s="143"/>
      <c r="EO402" s="143"/>
      <c r="EP402" s="143"/>
      <c r="EQ402" s="143"/>
      <c r="ER402" s="143"/>
      <c r="ES402" s="143"/>
      <c r="ET402" s="143"/>
      <c r="EU402" s="143"/>
      <c r="EV402" s="143"/>
      <c r="EW402" s="143"/>
      <c r="EX402" s="143"/>
      <c r="EY402" s="143"/>
      <c r="EZ402" s="143"/>
      <c r="FA402" s="143"/>
      <c r="FB402" s="143"/>
      <c r="FC402" s="143"/>
      <c r="FD402" s="143"/>
      <c r="FE402" s="143"/>
      <c r="FF402" s="143"/>
      <c r="FG402" s="143"/>
      <c r="FH402" s="143"/>
      <c r="FI402" s="143"/>
      <c r="FJ402" s="143"/>
      <c r="FK402" s="143"/>
      <c r="FL402" s="143"/>
      <c r="FM402" s="143"/>
      <c r="FN402" s="143"/>
      <c r="FO402" s="143"/>
      <c r="FP402" s="143"/>
      <c r="FQ402" s="143"/>
      <c r="FR402" s="143"/>
      <c r="FS402" s="143"/>
      <c r="FT402" s="143"/>
      <c r="FU402" s="143"/>
      <c r="FV402" s="143"/>
      <c r="FW402" s="143"/>
      <c r="FX402" s="143"/>
      <c r="FY402" s="143"/>
      <c r="FZ402" s="143"/>
      <c r="GA402" s="143"/>
      <c r="GB402" s="143"/>
      <c r="GC402" s="143"/>
      <c r="GD402" s="143"/>
      <c r="GE402" s="143"/>
      <c r="GF402" s="143"/>
      <c r="GG402" s="143"/>
      <c r="GH402" s="143"/>
      <c r="GI402" s="143"/>
      <c r="GJ402" s="143"/>
      <c r="GK402" s="143"/>
      <c r="GL402" s="143"/>
      <c r="GM402" s="143"/>
      <c r="GN402" s="143"/>
      <c r="GO402" s="143"/>
      <c r="GP402" s="143"/>
      <c r="GQ402" s="143"/>
      <c r="GR402" s="143"/>
      <c r="GS402" s="143"/>
      <c r="GT402" s="143"/>
      <c r="GU402" s="143"/>
      <c r="GV402" s="143"/>
      <c r="GW402" s="143"/>
      <c r="GX402" s="143"/>
      <c r="GY402" s="143"/>
      <c r="GZ402" s="143"/>
      <c r="HA402" s="143"/>
      <c r="HB402" s="143"/>
      <c r="HC402" s="143"/>
      <c r="HD402" s="143"/>
      <c r="HE402" s="143"/>
      <c r="HF402" s="143"/>
      <c r="HG402" s="143"/>
      <c r="HH402" s="143"/>
      <c r="HI402" s="143"/>
      <c r="HJ402" s="143"/>
      <c r="HK402" s="143"/>
      <c r="HL402" s="143"/>
      <c r="HM402" s="143"/>
      <c r="HN402" s="143"/>
      <c r="HO402" s="143"/>
      <c r="HP402" s="143"/>
      <c r="HQ402" s="143"/>
      <c r="HR402" s="143"/>
      <c r="HS402" s="143"/>
      <c r="HT402" s="143"/>
      <c r="HU402" s="143"/>
      <c r="HV402" s="143"/>
      <c r="HW402" s="143"/>
      <c r="HX402" s="143"/>
      <c r="HY402" s="143"/>
      <c r="HZ402" s="143"/>
      <c r="IA402" s="143"/>
      <c r="IB402" s="143"/>
      <c r="IC402" s="143"/>
      <c r="ID402" s="143"/>
      <c r="IE402" s="143"/>
      <c r="IF402" s="143"/>
      <c r="IG402" s="143"/>
      <c r="IH402" s="143"/>
      <c r="II402" s="143"/>
      <c r="IJ402" s="143"/>
      <c r="IK402" s="143"/>
      <c r="IL402" s="143"/>
      <c r="IM402" s="143"/>
      <c r="IN402" s="143"/>
      <c r="IO402" s="143"/>
      <c r="IP402" s="143"/>
      <c r="IQ402" s="143"/>
      <c r="IR402" s="143"/>
      <c r="IS402" s="143"/>
      <c r="IT402" s="143"/>
      <c r="IU402" s="143"/>
      <c r="IV402" s="143"/>
      <c r="IW402" s="143"/>
      <c r="IX402" s="143"/>
      <c r="IY402" s="143"/>
      <c r="IZ402" s="143"/>
      <c r="JA402" s="143"/>
      <c r="JB402" s="143"/>
      <c r="JC402" s="143"/>
      <c r="JD402" s="143"/>
      <c r="JE402" s="143"/>
      <c r="JF402" s="143"/>
      <c r="JG402" s="143"/>
      <c r="JH402" s="143"/>
      <c r="JI402" s="143"/>
    </row>
    <row r="403" spans="1:269" hidden="1" outlineLevel="1">
      <c r="A403" s="437" t="s">
        <v>207</v>
      </c>
      <c r="B403" s="144"/>
      <c r="C403" s="417" t="e">
        <f>C401/#REF!-1</f>
        <v>#REF!</v>
      </c>
      <c r="D403" s="417" t="e">
        <f>D401/#REF!-1</f>
        <v>#REF!</v>
      </c>
      <c r="E403" s="417" t="e">
        <f>E401/#REF!-1</f>
        <v>#REF!</v>
      </c>
      <c r="F403" s="414" t="e">
        <f>F401/#REF!-1</f>
        <v>#REF!</v>
      </c>
      <c r="G403" s="414" t="e">
        <f>G401/#REF!-1</f>
        <v>#REF!</v>
      </c>
      <c r="H403" s="414" t="e">
        <f>H401/#REF!-1</f>
        <v>#REF!</v>
      </c>
      <c r="I403" s="414" t="e">
        <f>I401/#REF!-1</f>
        <v>#REF!</v>
      </c>
      <c r="J403" s="417" t="e">
        <f>J401/#REF!-1</f>
        <v>#REF!</v>
      </c>
      <c r="K403" s="414" t="e">
        <f>K401/#REF!-1</f>
        <v>#REF!</v>
      </c>
      <c r="L403" s="414" t="e">
        <f>L401/#REF!-1</f>
        <v>#VALUE!</v>
      </c>
      <c r="M403" s="414" t="e">
        <f>M401/#REF!-1</f>
        <v>#REF!</v>
      </c>
      <c r="N403" s="414" t="e">
        <f>N401/#REF!-1</f>
        <v>#REF!</v>
      </c>
      <c r="O403" s="417" t="e">
        <f>O401/#REF!-1</f>
        <v>#REF!</v>
      </c>
      <c r="P403" s="414" t="e">
        <f>P401/#REF!-1</f>
        <v>#VALUE!</v>
      </c>
      <c r="Q403" s="414" t="e">
        <f>Q401/#REF!-1</f>
        <v>#REF!</v>
      </c>
      <c r="R403" s="414" t="e">
        <f>R401/#REF!-1</f>
        <v>#REF!</v>
      </c>
      <c r="S403" s="414" t="e">
        <f>S401/#REF!-1</f>
        <v>#REF!</v>
      </c>
      <c r="T403" s="417" t="e">
        <f>T401/#REF!-1</f>
        <v>#REF!</v>
      </c>
      <c r="U403" s="414" t="e">
        <f>U401/#REF!-1</f>
        <v>#REF!</v>
      </c>
      <c r="V403" s="414" t="e">
        <f>V401/#REF!-1</f>
        <v>#REF!</v>
      </c>
      <c r="W403" s="414" t="e">
        <f>W401/#REF!-1</f>
        <v>#REF!</v>
      </c>
      <c r="X403" s="414" t="e">
        <f>X401/#REF!-1</f>
        <v>#REF!</v>
      </c>
      <c r="Y403" s="417" t="e">
        <f>Y401/#REF!-1</f>
        <v>#REF!</v>
      </c>
      <c r="Z403" s="414" t="e">
        <f>Z401/#REF!-1</f>
        <v>#REF!</v>
      </c>
      <c r="AA403" s="414" t="e">
        <f>AA401/#REF!-1</f>
        <v>#REF!</v>
      </c>
      <c r="AB403" s="414" t="e">
        <f>AB401/#REF!-1</f>
        <v>#REF!</v>
      </c>
      <c r="AC403" s="414" t="e">
        <f>AC401/#REF!-1</f>
        <v>#REF!</v>
      </c>
      <c r="AD403" s="422" t="e">
        <f>AD401/#REF!-1</f>
        <v>#REF!</v>
      </c>
      <c r="AE403" s="414" t="e">
        <f>AE401/#REF!-1</f>
        <v>#VALUE!</v>
      </c>
      <c r="AF403" s="414" t="e">
        <f>AF401/#REF!-1</f>
        <v>#VALUE!</v>
      </c>
      <c r="AG403" s="414"/>
      <c r="AH403" s="280"/>
      <c r="AI403" s="320"/>
      <c r="AJ403" s="280"/>
      <c r="AK403" s="280"/>
      <c r="AL403" s="280"/>
      <c r="AM403" s="280"/>
      <c r="AN403" s="320"/>
      <c r="AO403" s="280"/>
      <c r="AP403" s="280"/>
      <c r="AQ403" s="280"/>
      <c r="AR403" s="280"/>
      <c r="AS403" s="320"/>
      <c r="AT403" s="315"/>
      <c r="AU403" s="508"/>
      <c r="AV403" s="143"/>
      <c r="AW403" s="143"/>
      <c r="AX403" s="143"/>
      <c r="AY403" s="143"/>
      <c r="AZ403" s="143"/>
      <c r="BA403" s="143"/>
      <c r="BB403" s="143"/>
      <c r="BC403" s="143"/>
      <c r="BD403" s="143"/>
      <c r="BE403" s="143"/>
      <c r="BF403" s="143"/>
      <c r="BG403" s="143"/>
      <c r="BH403" s="143"/>
      <c r="BI403" s="143"/>
      <c r="BJ403" s="143"/>
      <c r="BK403" s="143"/>
      <c r="BL403" s="143"/>
      <c r="BM403" s="143"/>
      <c r="BN403" s="143"/>
      <c r="BO403" s="143"/>
      <c r="BP403" s="143"/>
      <c r="BQ403" s="143"/>
      <c r="BR403" s="143"/>
      <c r="BS403" s="143"/>
      <c r="BT403" s="143"/>
      <c r="BU403" s="143"/>
      <c r="BV403" s="143"/>
      <c r="BW403" s="143"/>
      <c r="BX403" s="143"/>
      <c r="BY403" s="143"/>
      <c r="BZ403" s="143"/>
      <c r="CA403" s="143"/>
      <c r="CB403" s="143"/>
      <c r="CC403" s="143"/>
      <c r="CD403" s="143"/>
      <c r="CE403" s="143"/>
      <c r="CF403" s="143"/>
      <c r="CG403" s="143"/>
      <c r="CH403" s="143"/>
      <c r="CI403" s="143"/>
      <c r="CJ403" s="143"/>
      <c r="CK403" s="143"/>
      <c r="CL403" s="143"/>
      <c r="CM403" s="143"/>
      <c r="CN403" s="143"/>
      <c r="CO403" s="143"/>
      <c r="CP403" s="143"/>
      <c r="CQ403" s="143"/>
      <c r="CR403" s="143"/>
      <c r="CS403" s="143"/>
      <c r="CT403" s="143"/>
      <c r="CU403" s="143"/>
      <c r="CV403" s="143"/>
      <c r="CW403" s="143"/>
      <c r="CX403" s="143"/>
      <c r="CY403" s="143"/>
      <c r="CZ403" s="143"/>
      <c r="DA403" s="143"/>
      <c r="DB403" s="143"/>
      <c r="DC403" s="143"/>
      <c r="DD403" s="143"/>
      <c r="DE403" s="143"/>
      <c r="DF403" s="143"/>
      <c r="DG403" s="143"/>
      <c r="DH403" s="143"/>
      <c r="DI403" s="143"/>
      <c r="DJ403" s="143"/>
      <c r="DK403" s="143"/>
      <c r="DL403" s="143"/>
      <c r="DM403" s="143"/>
      <c r="DN403" s="143"/>
      <c r="DO403" s="143"/>
      <c r="DP403" s="143"/>
      <c r="DQ403" s="143"/>
      <c r="DR403" s="143"/>
      <c r="DS403" s="143"/>
      <c r="DT403" s="143"/>
      <c r="DU403" s="143"/>
      <c r="DV403" s="143"/>
      <c r="DW403" s="143"/>
      <c r="DX403" s="143"/>
      <c r="DY403" s="143"/>
      <c r="DZ403" s="143"/>
      <c r="EA403" s="143"/>
      <c r="EB403" s="143"/>
      <c r="EC403" s="143"/>
      <c r="ED403" s="143"/>
      <c r="EE403" s="143"/>
      <c r="EF403" s="143"/>
      <c r="EG403" s="143"/>
      <c r="EH403" s="143"/>
      <c r="EI403" s="143"/>
      <c r="EJ403" s="143"/>
      <c r="EK403" s="143"/>
      <c r="EL403" s="143"/>
      <c r="EM403" s="143"/>
      <c r="EN403" s="143"/>
      <c r="EO403" s="143"/>
      <c r="EP403" s="143"/>
      <c r="EQ403" s="143"/>
      <c r="ER403" s="143"/>
      <c r="ES403" s="143"/>
      <c r="ET403" s="143"/>
      <c r="EU403" s="143"/>
      <c r="EV403" s="143"/>
      <c r="EW403" s="143"/>
      <c r="EX403" s="143"/>
      <c r="EY403" s="143"/>
      <c r="EZ403" s="143"/>
      <c r="FA403" s="143"/>
      <c r="FB403" s="143"/>
      <c r="FC403" s="143"/>
      <c r="FD403" s="143"/>
      <c r="FE403" s="143"/>
      <c r="FF403" s="143"/>
      <c r="FG403" s="143"/>
      <c r="FH403" s="143"/>
      <c r="FI403" s="143"/>
      <c r="FJ403" s="143"/>
      <c r="FK403" s="143"/>
      <c r="FL403" s="143"/>
      <c r="FM403" s="143"/>
      <c r="FN403" s="143"/>
      <c r="FO403" s="143"/>
      <c r="FP403" s="143"/>
      <c r="FQ403" s="143"/>
      <c r="FR403" s="143"/>
      <c r="FS403" s="143"/>
      <c r="FT403" s="143"/>
      <c r="FU403" s="143"/>
      <c r="FV403" s="143"/>
      <c r="FW403" s="143"/>
      <c r="FX403" s="143"/>
      <c r="FY403" s="143"/>
      <c r="FZ403" s="143"/>
      <c r="GA403" s="143"/>
      <c r="GB403" s="143"/>
      <c r="GC403" s="143"/>
      <c r="GD403" s="143"/>
      <c r="GE403" s="143"/>
      <c r="GF403" s="143"/>
      <c r="GG403" s="143"/>
      <c r="GH403" s="143"/>
      <c r="GI403" s="143"/>
      <c r="GJ403" s="143"/>
      <c r="GK403" s="143"/>
      <c r="GL403" s="143"/>
      <c r="GM403" s="143"/>
      <c r="GN403" s="143"/>
      <c r="GO403" s="143"/>
      <c r="GP403" s="143"/>
      <c r="GQ403" s="143"/>
      <c r="GR403" s="143"/>
      <c r="GS403" s="143"/>
      <c r="GT403" s="143"/>
      <c r="GU403" s="143"/>
      <c r="GV403" s="143"/>
      <c r="GW403" s="143"/>
      <c r="GX403" s="143"/>
      <c r="GY403" s="143"/>
      <c r="GZ403" s="143"/>
      <c r="HA403" s="143"/>
      <c r="HB403" s="143"/>
      <c r="HC403" s="143"/>
      <c r="HD403" s="143"/>
      <c r="HE403" s="143"/>
      <c r="HF403" s="143"/>
      <c r="HG403" s="143"/>
      <c r="HH403" s="143"/>
      <c r="HI403" s="143"/>
      <c r="HJ403" s="143"/>
      <c r="HK403" s="143"/>
      <c r="HL403" s="143"/>
      <c r="HM403" s="143"/>
      <c r="HN403" s="143"/>
      <c r="HO403" s="143"/>
      <c r="HP403" s="143"/>
      <c r="HQ403" s="143"/>
      <c r="HR403" s="143"/>
      <c r="HS403" s="143"/>
      <c r="HT403" s="143"/>
      <c r="HU403" s="143"/>
      <c r="HV403" s="143"/>
      <c r="HW403" s="143"/>
      <c r="HX403" s="143"/>
      <c r="HY403" s="143"/>
      <c r="HZ403" s="143"/>
      <c r="IA403" s="143"/>
      <c r="IB403" s="143"/>
      <c r="IC403" s="143"/>
      <c r="ID403" s="143"/>
      <c r="IE403" s="143"/>
      <c r="IF403" s="143"/>
      <c r="IG403" s="143"/>
      <c r="IH403" s="143"/>
      <c r="II403" s="143"/>
      <c r="IJ403" s="143"/>
      <c r="IK403" s="143"/>
      <c r="IL403" s="143"/>
      <c r="IM403" s="143"/>
      <c r="IN403" s="143"/>
      <c r="IO403" s="143"/>
      <c r="IP403" s="143"/>
      <c r="IQ403" s="143"/>
      <c r="IR403" s="143"/>
      <c r="IS403" s="143"/>
      <c r="IT403" s="143"/>
      <c r="IU403" s="143"/>
      <c r="IV403" s="143"/>
      <c r="IW403" s="143"/>
      <c r="IX403" s="143"/>
      <c r="IY403" s="143"/>
      <c r="IZ403" s="143"/>
      <c r="JA403" s="143"/>
      <c r="JB403" s="143"/>
      <c r="JC403" s="143"/>
      <c r="JD403" s="143"/>
      <c r="JE403" s="143"/>
      <c r="JF403" s="143"/>
      <c r="JG403" s="143"/>
      <c r="JH403" s="143"/>
      <c r="JI403" s="143"/>
    </row>
    <row r="404" spans="1:269" hidden="1" outlineLevel="1">
      <c r="A404" s="83" t="s">
        <v>263</v>
      </c>
      <c r="B404" s="144" t="s">
        <v>264</v>
      </c>
      <c r="C404" s="475" t="e">
        <f>_xll.BQL.QUERY("get(avg(px_last(start=" &amp; TEXT(#REF!, "YYYY-MM-DD") &amp; ", end=" &amp; TEXT(C$5, "YYYY-MM-DD") &amp; "))) for('"&amp;$B404&amp;"')")</f>
        <v>#REF!</v>
      </c>
      <c r="D404" s="475" t="e">
        <f>_xll.BQL.QUERY("get(avg(px_last(start=" &amp; TEXT(#REF!, "YYYY-MM-DD") &amp; ", end=" &amp; TEXT(D$5, "YYYY-MM-DD") &amp; "))) for('"&amp;$B404&amp;"')")</f>
        <v>#REF!</v>
      </c>
      <c r="E404" s="475" t="e">
        <f>_xll.BQL.QUERY("get(avg(px_last(start=" &amp; TEXT(#REF!, "YYYY-MM-DD") &amp; ", end=" &amp; TEXT(E$5, "YYYY-MM-DD") &amp; "))) for('"&amp;$B404&amp;"')")</f>
        <v>#REF!</v>
      </c>
      <c r="F404" s="335" t="e">
        <f>_xll.BQL.QUERY("get(avg(px_last(start=" &amp; TEXT(#REF!, "YYYY-MM-DD") &amp; ", end=" &amp; TEXT(F$5, "YYYY-MM-DD") &amp; "))) for('"&amp;$B404&amp;"')")</f>
        <v>#REF!</v>
      </c>
      <c r="G404" s="335">
        <f>_xll.BQL.QUERY("get(avg(px_last(start=" &amp; TEXT(F$5, "YYYY-MM-DD") &amp; ", end=" &amp; TEXT(G$5, "YYYY-MM-DD") &amp; "))) for('"&amp;$B404&amp;"')")</f>
        <v>98.776666666666685</v>
      </c>
      <c r="H404" s="335">
        <f>_xll.BQL.QUERY("get(avg(px_last(start=" &amp; TEXT(G$5, "YYYY-MM-DD") &amp; ", end=" &amp; TEXT(H$5, "YYYY-MM-DD") &amp; "))) for('"&amp;$B404&amp;"')")</f>
        <v>111.87</v>
      </c>
      <c r="I404" s="335">
        <f>_xll.BQL.QUERY("get(avg(px_last(start=" &amp; TEXT(H$5, "YYYY-MM-DD") &amp; ", end=" &amp; TEXT(I$5, "YYYY-MM-DD") &amp; "))) for('"&amp;$B404&amp;"')")</f>
        <v>99.280000000000015</v>
      </c>
      <c r="J404" s="475" t="e">
        <f>_xll.BQL.QUERY("get(avg(px_last(start=" &amp; TEXT(#REF!, "YYYY-MM-DD") &amp; ", end=" &amp; TEXT(J$5, "YYYY-MM-DD") &amp; "))) for('"&amp;$B404&amp;"')")</f>
        <v>#REF!</v>
      </c>
      <c r="K404" s="335" t="e">
        <f>_xll.BQL.QUERY("get(avg(px_last(start=" &amp; TEXT(#REF!, "YYYY-MM-DD") &amp; ", end=" &amp; TEXT(K$5, "YYYY-MM-DD") &amp; "))) for('"&amp;$B404&amp;"')")</f>
        <v>#REF!</v>
      </c>
      <c r="L404" s="335">
        <f>_xll.BQL.QUERY("get(avg(px_last(start=" &amp; TEXT(K$5, "YYYY-MM-DD") &amp; ", end=" &amp; TEXT(L$5, "YYYY-MM-DD") &amp; "))) for('"&amp;$B404&amp;"')")</f>
        <v>95.322500000000005</v>
      </c>
      <c r="M404" s="335">
        <f>_xll.BQL.QUERY("get(avg(px_last(start=" &amp; TEXT(L$5, "YYYY-MM-DD") &amp; ", end=" &amp; TEXT(M$5, "YYYY-MM-DD") &amp; "))) for('"&amp;$B404&amp;"')")</f>
        <v>104.0625</v>
      </c>
      <c r="N404" s="335">
        <f>_xll.BQL.QUERY("get(avg(px_last(start=" &amp; TEXT(M$5, "YYYY-MM-DD") &amp; ", end=" &amp; TEXT(N$5, "YYYY-MM-DD") &amp; "))) for('"&amp;$B404&amp;"')")</f>
        <v>89.06</v>
      </c>
      <c r="O404" s="475" t="e">
        <f>_xll.BQL.QUERY("get(avg(px_last(start=" &amp; TEXT(#REF!, "YYYY-MM-DD") &amp; ", end=" &amp; TEXT(O$5, "YYYY-MM-DD") &amp; "))) for('"&amp;$B404&amp;"')")</f>
        <v>#REF!</v>
      </c>
      <c r="P404" s="335">
        <f>_xll.BQL.QUERY("get(avg(px_last(start=" &amp; TEXT(O$5, "YYYY-MM-DD") &amp; ", end=" &amp; TEXT(P$5, "YYYY-MM-DD") &amp; "))) for('"&amp;$B404&amp;"')")</f>
        <v>92.532499999999985</v>
      </c>
      <c r="Q404" s="335">
        <f>_xll.BQL.QUERY("get(avg(px_last(start=" &amp; TEXT(P$5, "YYYY-MM-DD") &amp; ", end=" &amp; TEXT(Q$5, "YYYY-MM-DD") &amp; "))) for('"&amp;$B404&amp;"')")</f>
        <v>93.707499999999996</v>
      </c>
      <c r="R404" s="335">
        <f>_xll.BQL.QUERY("get(avg(px_last(start=" &amp; TEXT(Q$5, "YYYY-MM-DD") &amp; ", end=" &amp; TEXT(R$5, "YYYY-MM-DD") &amp; "))) for('"&amp;$B404&amp;"')")</f>
        <v>105.4975</v>
      </c>
      <c r="S404" s="335">
        <f>_xll.BQL.QUERY("get(avg(px_last(start=" &amp; TEXT(R$5, "YYYY-MM-DD") &amp; ", end=" &amp; TEXT(S$5, "YYYY-MM-DD") &amp; "))) for('"&amp;$B404&amp;"')")</f>
        <v>100.4425</v>
      </c>
      <c r="T404" s="475">
        <f>_xll.BQL.QUERY("get(avg(px_last(start=" &amp; TEXT(O$5, "YYYY-MM-DD") &amp; ", end=" &amp; TEXT(T$5, "YYYY-MM-DD") &amp; "))) for('"&amp;$B404&amp;"')")</f>
        <v>99.246153846153845</v>
      </c>
      <c r="U404" s="335">
        <f>_xll.BQL.QUERY("get(avg(px_last(start=" &amp; TEXT(T$5, "YYYY-MM-DD") &amp; ", end=" &amp; TEXT(U$5, "YYYY-MM-DD") &amp; "))) for('"&amp;$B404&amp;"')")</f>
        <v>98.84</v>
      </c>
      <c r="V404" s="335">
        <f>_xll.BQL.QUERY("get(avg(px_last(start=" &amp; TEXT(U$5, "YYYY-MM-DD") &amp; ", end=" &amp; TEXT(V$5, "YYYY-MM-DD") &amp; "))) for('"&amp;$B404&amp;"')")</f>
        <v>111.2225</v>
      </c>
      <c r="W404" s="335">
        <f>_xll.BQL.QUERY("get(avg(px_last(start=" &amp; TEXT(V$5, "YYYY-MM-DD") &amp; ", end=" &amp; TEXT(W$5, "YYYY-MM-DD") &amp; "))) for('"&amp;$B404&amp;"')")</f>
        <v>142.35749999999999</v>
      </c>
      <c r="X404" s="335">
        <f>_xll.BQL.QUERY("get(avg(px_last(start=" &amp; TEXT(W$5, "YYYY-MM-DD") &amp; ", end=" &amp; TEXT(X$5, "YYYY-MM-DD") &amp; "))) for('"&amp;$B404&amp;"')")</f>
        <v>123.645</v>
      </c>
      <c r="Y404" s="475">
        <f>_xll.BQL.QUERY("get(avg(px_last(start=" &amp; TEXT(T$5, "YYYY-MM-DD") &amp; ", end=" &amp; TEXT(Y$5, "YYYY-MM-DD") &amp; "))) for('"&amp;$B404&amp;"')")</f>
        <v>121.04769230769232</v>
      </c>
      <c r="Z404" s="335">
        <f>_xll.BQL.QUERY("get(avg(px_last(start=" &amp; TEXT(Y$5, "YYYY-MM-DD") &amp; ", end=" &amp; TEXT(Z$5, "YYYY-MM-DD") &amp; "))) for('"&amp;$B404&amp;"')")</f>
        <v>124.19750000000001</v>
      </c>
      <c r="AA404" s="335">
        <f>_xll.BQL.QUERY("get(avg(px_last(start=" &amp; TEXT(Z$5, "YYYY-MM-DD") &amp; ", end=" &amp; TEXT(AA$5, "YYYY-MM-DD") &amp; "))) for('"&amp;$B404&amp;"')")</f>
        <v>131.685</v>
      </c>
      <c r="AB404" s="335">
        <f>_xll.BQL.QUERY("get(avg(px_last(start=" &amp; TEXT(AA$5, "YYYY-MM-DD") &amp; ", end=" &amp; TEXT(AB$5, "YYYY-MM-DD") &amp; "))) for('"&amp;$B404&amp;"')")</f>
        <v>148.51250000000002</v>
      </c>
      <c r="AC404" s="335">
        <f>_xll.BQL.QUERY("get(avg(px_last(start=" &amp; TEXT(AB$5, "YYYY-MM-DD") &amp; ", end=" &amp; TEXT(AC$5, "YYYY-MM-DD") &amp; "))) for('"&amp;$B404&amp;"')")</f>
        <v>127.60999999999999</v>
      </c>
      <c r="AD404" s="540">
        <f>_xll.BQL.QUERY("get(avg(px_last(start=" &amp; TEXT(Y$5, "YYYY-MM-DD") &amp; ", end=" &amp; TEXT(AD$5, "YYYY-MM-DD") &amp; "))) for('"&amp;$B404&amp;"')")</f>
        <v>136.10909090909092</v>
      </c>
      <c r="AE404" s="335" t="str">
        <f>_xll.BQL.QUERY("get(avg(px_last(start=" &amp; TEXT(AD$5, "YYYY-MM-DD") &amp; ", end=" &amp; TEXT(AE$5, "YYYY-MM-DD") &amp; "))) for('"&amp;$B404&amp;"')")</f>
        <v>#N/A</v>
      </c>
      <c r="AF404" s="335" t="str">
        <f>_xll.BQL.QUERY("get(avg(px_last(start=" &amp; TEXT(AE$5, "YYYY-MM-DD") &amp; ", end=" &amp; TEXT(AF$5, "YYYY-MM-DD") &amp; "))) for('"&amp;$B404&amp;"')")</f>
        <v>#N/A</v>
      </c>
      <c r="AG404" s="335" t="str">
        <f>_xll.BQL.QUERY("get(avg(px_last(start=" &amp; TEXT(AF$5, "YYYY-MM-DD") &amp; ", end=" &amp; TEXT(AG$5, "YYYY-MM-DD") &amp; "))) for('"&amp;$B404&amp;"')")</f>
        <v>#N/A</v>
      </c>
      <c r="AH404" s="280"/>
      <c r="AI404" s="320"/>
      <c r="AJ404" s="280"/>
      <c r="AK404" s="280"/>
      <c r="AL404" s="280"/>
      <c r="AM404" s="280"/>
      <c r="AN404" s="320"/>
      <c r="AO404" s="280"/>
      <c r="AP404" s="280"/>
      <c r="AQ404" s="280"/>
      <c r="AR404" s="280"/>
      <c r="AS404" s="320"/>
      <c r="AT404" s="315"/>
      <c r="AU404" s="508"/>
      <c r="AV404" s="143"/>
      <c r="AW404" s="143"/>
      <c r="AX404" s="143"/>
      <c r="AY404" s="143"/>
      <c r="AZ404" s="143"/>
      <c r="BA404" s="143"/>
      <c r="BB404" s="143"/>
      <c r="BC404" s="143"/>
      <c r="BD404" s="143"/>
      <c r="BE404" s="143"/>
      <c r="BF404" s="143"/>
      <c r="BG404" s="143"/>
      <c r="BH404" s="143"/>
      <c r="BI404" s="143"/>
      <c r="BJ404" s="143"/>
      <c r="BK404" s="143"/>
      <c r="BL404" s="143"/>
      <c r="BM404" s="143"/>
      <c r="BN404" s="143"/>
      <c r="BO404" s="143"/>
      <c r="BP404" s="143"/>
      <c r="BQ404" s="143"/>
      <c r="BR404" s="143"/>
      <c r="BS404" s="143"/>
      <c r="BT404" s="143"/>
      <c r="BU404" s="143"/>
      <c r="BV404" s="143"/>
      <c r="BW404" s="143"/>
      <c r="BX404" s="143"/>
      <c r="BY404" s="143"/>
      <c r="BZ404" s="143"/>
      <c r="CA404" s="143"/>
      <c r="CB404" s="143"/>
      <c r="CC404" s="143"/>
      <c r="CD404" s="143"/>
      <c r="CE404" s="143"/>
      <c r="CF404" s="143"/>
      <c r="CG404" s="143"/>
      <c r="CH404" s="143"/>
      <c r="CI404" s="143"/>
      <c r="CJ404" s="143"/>
      <c r="CK404" s="143"/>
      <c r="CL404" s="143"/>
      <c r="CM404" s="143"/>
      <c r="CN404" s="143"/>
      <c r="CO404" s="143"/>
      <c r="CP404" s="143"/>
      <c r="CQ404" s="143"/>
      <c r="CR404" s="143"/>
      <c r="CS404" s="143"/>
      <c r="CT404" s="143"/>
      <c r="CU404" s="143"/>
      <c r="CV404" s="143"/>
      <c r="CW404" s="143"/>
      <c r="CX404" s="143"/>
      <c r="CY404" s="143"/>
      <c r="CZ404" s="143"/>
      <c r="DA404" s="143"/>
      <c r="DB404" s="143"/>
      <c r="DC404" s="143"/>
      <c r="DD404" s="143"/>
      <c r="DE404" s="143"/>
      <c r="DF404" s="143"/>
      <c r="DG404" s="143"/>
      <c r="DH404" s="143"/>
      <c r="DI404" s="143"/>
      <c r="DJ404" s="143"/>
      <c r="DK404" s="143"/>
      <c r="DL404" s="143"/>
      <c r="DM404" s="143"/>
      <c r="DN404" s="143"/>
      <c r="DO404" s="143"/>
      <c r="DP404" s="143"/>
      <c r="DQ404" s="143"/>
      <c r="DR404" s="143"/>
      <c r="DS404" s="143"/>
      <c r="DT404" s="143"/>
      <c r="DU404" s="143"/>
      <c r="DV404" s="143"/>
      <c r="DW404" s="143"/>
      <c r="DX404" s="143"/>
      <c r="DY404" s="143"/>
      <c r="DZ404" s="143"/>
      <c r="EA404" s="143"/>
      <c r="EB404" s="143"/>
      <c r="EC404" s="143"/>
      <c r="ED404" s="143"/>
      <c r="EE404" s="143"/>
      <c r="EF404" s="143"/>
      <c r="EG404" s="143"/>
      <c r="EH404" s="143"/>
      <c r="EI404" s="143"/>
      <c r="EJ404" s="143"/>
      <c r="EK404" s="143"/>
      <c r="EL404" s="143"/>
      <c r="EM404" s="143"/>
      <c r="EN404" s="143"/>
      <c r="EO404" s="143"/>
      <c r="EP404" s="143"/>
      <c r="EQ404" s="143"/>
      <c r="ER404" s="143"/>
      <c r="ES404" s="143"/>
      <c r="ET404" s="143"/>
      <c r="EU404" s="143"/>
      <c r="EV404" s="143"/>
      <c r="EW404" s="143"/>
      <c r="EX404" s="143"/>
      <c r="EY404" s="143"/>
      <c r="EZ404" s="143"/>
      <c r="FA404" s="143"/>
      <c r="FB404" s="143"/>
      <c r="FC404" s="143"/>
      <c r="FD404" s="143"/>
      <c r="FE404" s="143"/>
      <c r="FF404" s="143"/>
      <c r="FG404" s="143"/>
      <c r="FH404" s="143"/>
      <c r="FI404" s="143"/>
      <c r="FJ404" s="143"/>
      <c r="FK404" s="143"/>
      <c r="FL404" s="143"/>
      <c r="FM404" s="143"/>
      <c r="FN404" s="143"/>
      <c r="FO404" s="143"/>
      <c r="FP404" s="143"/>
      <c r="FQ404" s="143"/>
      <c r="FR404" s="143"/>
      <c r="FS404" s="143"/>
      <c r="FT404" s="143"/>
      <c r="FU404" s="143"/>
      <c r="FV404" s="143"/>
      <c r="FW404" s="143"/>
      <c r="FX404" s="143"/>
      <c r="FY404" s="143"/>
      <c r="FZ404" s="143"/>
      <c r="GA404" s="143"/>
      <c r="GB404" s="143"/>
      <c r="GC404" s="143"/>
      <c r="GD404" s="143"/>
      <c r="GE404" s="143"/>
      <c r="GF404" s="143"/>
      <c r="GG404" s="143"/>
      <c r="GH404" s="143"/>
      <c r="GI404" s="143"/>
      <c r="GJ404" s="143"/>
      <c r="GK404" s="143"/>
      <c r="GL404" s="143"/>
      <c r="GM404" s="143"/>
      <c r="GN404" s="143"/>
      <c r="GO404" s="143"/>
      <c r="GP404" s="143"/>
      <c r="GQ404" s="143"/>
      <c r="GR404" s="143"/>
      <c r="GS404" s="143"/>
      <c r="GT404" s="143"/>
      <c r="GU404" s="143"/>
      <c r="GV404" s="143"/>
      <c r="GW404" s="143"/>
      <c r="GX404" s="143"/>
      <c r="GY404" s="143"/>
      <c r="GZ404" s="143"/>
      <c r="HA404" s="143"/>
      <c r="HB404" s="143"/>
      <c r="HC404" s="143"/>
      <c r="HD404" s="143"/>
      <c r="HE404" s="143"/>
      <c r="HF404" s="143"/>
      <c r="HG404" s="143"/>
      <c r="HH404" s="143"/>
      <c r="HI404" s="143"/>
      <c r="HJ404" s="143"/>
      <c r="HK404" s="143"/>
      <c r="HL404" s="143"/>
      <c r="HM404" s="143"/>
      <c r="HN404" s="143"/>
      <c r="HO404" s="143"/>
      <c r="HP404" s="143"/>
      <c r="HQ404" s="143"/>
      <c r="HR404" s="143"/>
      <c r="HS404" s="143"/>
      <c r="HT404" s="143"/>
      <c r="HU404" s="143"/>
      <c r="HV404" s="143"/>
      <c r="HW404" s="143"/>
      <c r="HX404" s="143"/>
      <c r="HY404" s="143"/>
      <c r="HZ404" s="143"/>
      <c r="IA404" s="143"/>
      <c r="IB404" s="143"/>
      <c r="IC404" s="143"/>
      <c r="ID404" s="143"/>
      <c r="IE404" s="143"/>
      <c r="IF404" s="143"/>
      <c r="IG404" s="143"/>
      <c r="IH404" s="143"/>
      <c r="II404" s="143"/>
      <c r="IJ404" s="143"/>
      <c r="IK404" s="143"/>
      <c r="IL404" s="143"/>
      <c r="IM404" s="143"/>
      <c r="IN404" s="143"/>
      <c r="IO404" s="143"/>
      <c r="IP404" s="143"/>
      <c r="IQ404" s="143"/>
      <c r="IR404" s="143"/>
      <c r="IS404" s="143"/>
      <c r="IT404" s="143"/>
      <c r="IU404" s="143"/>
      <c r="IV404" s="143"/>
      <c r="IW404" s="143"/>
      <c r="IX404" s="143"/>
      <c r="IY404" s="143"/>
      <c r="IZ404" s="143"/>
      <c r="JA404" s="143"/>
      <c r="JB404" s="143"/>
      <c r="JC404" s="143"/>
      <c r="JD404" s="143"/>
      <c r="JE404" s="143"/>
      <c r="JF404" s="143"/>
      <c r="JG404" s="143"/>
      <c r="JH404" s="143"/>
      <c r="JI404" s="143"/>
    </row>
    <row r="405" spans="1:269" hidden="1" outlineLevel="1">
      <c r="A405" s="437" t="s">
        <v>208</v>
      </c>
      <c r="B405" s="144"/>
      <c r="C405" s="417" t="e">
        <f>C404/#REF!-1</f>
        <v>#REF!</v>
      </c>
      <c r="D405" s="417" t="e">
        <f>D404/#REF!-1</f>
        <v>#REF!</v>
      </c>
      <c r="E405" s="417" t="e">
        <f>E404/#REF!-1</f>
        <v>#REF!</v>
      </c>
      <c r="F405" s="414" t="e">
        <f>F404/#REF!-1</f>
        <v>#REF!</v>
      </c>
      <c r="G405" s="414" t="e">
        <f>G404/#REF!-1</f>
        <v>#REF!</v>
      </c>
      <c r="H405" s="414" t="e">
        <f>H404/#REF!-1</f>
        <v>#REF!</v>
      </c>
      <c r="I405" s="414" t="e">
        <f>I404/#REF!-1</f>
        <v>#REF!</v>
      </c>
      <c r="J405" s="417" t="e">
        <f>J404/#REF!-1</f>
        <v>#REF!</v>
      </c>
      <c r="K405" s="414" t="e">
        <f>K404/#REF!-1</f>
        <v>#REF!</v>
      </c>
      <c r="L405" s="414" t="e">
        <f>L404/#REF!-1</f>
        <v>#REF!</v>
      </c>
      <c r="M405" s="414" t="e">
        <f>M404/#REF!-1</f>
        <v>#REF!</v>
      </c>
      <c r="N405" s="414" t="e">
        <f>N404/#REF!-1</f>
        <v>#REF!</v>
      </c>
      <c r="O405" s="417" t="e">
        <f>O404/#REF!-1</f>
        <v>#REF!</v>
      </c>
      <c r="P405" s="414" t="e">
        <f t="shared" ref="P405" si="843">P404/K404-1</f>
        <v>#REF!</v>
      </c>
      <c r="Q405" s="414">
        <f t="shared" ref="Q405" si="844">Q404/L404-1</f>
        <v>-1.6942484722914375E-2</v>
      </c>
      <c r="R405" s="414">
        <f t="shared" ref="R405" si="845">R404/M404-1</f>
        <v>1.3789789789789841E-2</v>
      </c>
      <c r="S405" s="414">
        <f t="shared" ref="S405" si="846">S404/N404-1</f>
        <v>0.12780709633954634</v>
      </c>
      <c r="T405" s="417" t="e">
        <f t="shared" ref="T405" si="847">T404/O404-1</f>
        <v>#REF!</v>
      </c>
      <c r="U405" s="414">
        <f t="shared" ref="U405" si="848">U404/P404-1</f>
        <v>6.8165239240267184E-2</v>
      </c>
      <c r="V405" s="414">
        <f t="shared" ref="V405" si="849">V404/Q404-1</f>
        <v>0.18691139983459171</v>
      </c>
      <c r="W405" s="414">
        <f t="shared" ref="W405" si="850">W404/R404-1</f>
        <v>0.34939216569113007</v>
      </c>
      <c r="X405" s="414">
        <f t="shared" ref="X405" si="851">X404/S404-1</f>
        <v>0.23100281255444655</v>
      </c>
      <c r="Y405" s="417">
        <f t="shared" ref="Y405" si="852">Y404/T404-1</f>
        <v>0.21967136878003424</v>
      </c>
      <c r="Z405" s="414">
        <f t="shared" ref="Z405" si="853">Z404/U404-1</f>
        <v>0.25655099150141636</v>
      </c>
      <c r="AA405" s="414">
        <f t="shared" ref="AA405" si="854">AA404/V404-1</f>
        <v>0.18397806199285216</v>
      </c>
      <c r="AB405" s="414">
        <f t="shared" ref="AB405" si="855">AB404/W404-1</f>
        <v>4.3236218674815419E-2</v>
      </c>
      <c r="AC405" s="414">
        <f t="shared" ref="AC405" si="856">AC404/X404-1</f>
        <v>3.20676129240971E-2</v>
      </c>
      <c r="AD405" s="422">
        <f t="shared" ref="AD405" si="857">AD404/Y404-1</f>
        <v>0.1244253262021211</v>
      </c>
      <c r="AE405" s="414" t="e">
        <f t="shared" ref="AE405" si="858">AE404/Z404-1</f>
        <v>#VALUE!</v>
      </c>
      <c r="AF405" s="414" t="e">
        <f t="shared" ref="AF405" si="859">AF404/AA404-1</f>
        <v>#VALUE!</v>
      </c>
      <c r="AG405" s="414" t="e">
        <f t="shared" ref="AG405" si="860">AG404/AB404-1</f>
        <v>#VALUE!</v>
      </c>
      <c r="AH405" s="280"/>
      <c r="AI405" s="320"/>
      <c r="AJ405" s="280"/>
      <c r="AK405" s="280"/>
      <c r="AL405" s="280"/>
      <c r="AM405" s="280"/>
      <c r="AN405" s="320"/>
      <c r="AO405" s="280"/>
      <c r="AP405" s="280"/>
      <c r="AQ405" s="280"/>
      <c r="AR405" s="280"/>
      <c r="AS405" s="320"/>
      <c r="AT405" s="315"/>
      <c r="AU405" s="508"/>
      <c r="AV405" s="143"/>
      <c r="AW405" s="143"/>
      <c r="AX405" s="143"/>
      <c r="AY405" s="143"/>
      <c r="AZ405" s="143"/>
      <c r="BA405" s="143"/>
      <c r="BB405" s="143"/>
      <c r="BC405" s="143"/>
      <c r="BD405" s="143"/>
      <c r="BE405" s="143"/>
      <c r="BF405" s="143"/>
      <c r="BG405" s="143"/>
      <c r="BH405" s="143"/>
      <c r="BI405" s="143"/>
      <c r="BJ405" s="143"/>
      <c r="BK405" s="143"/>
      <c r="BL405" s="143"/>
      <c r="BM405" s="143"/>
      <c r="BN405" s="143"/>
      <c r="BO405" s="143"/>
      <c r="BP405" s="143"/>
      <c r="BQ405" s="143"/>
      <c r="BR405" s="143"/>
      <c r="BS405" s="143"/>
      <c r="BT405" s="143"/>
      <c r="BU405" s="143"/>
      <c r="BV405" s="143"/>
      <c r="BW405" s="143"/>
      <c r="BX405" s="143"/>
      <c r="BY405" s="143"/>
      <c r="BZ405" s="143"/>
      <c r="CA405" s="143"/>
      <c r="CB405" s="143"/>
      <c r="CC405" s="143"/>
      <c r="CD405" s="143"/>
      <c r="CE405" s="143"/>
      <c r="CF405" s="143"/>
      <c r="CG405" s="143"/>
      <c r="CH405" s="143"/>
      <c r="CI405" s="143"/>
      <c r="CJ405" s="143"/>
      <c r="CK405" s="143"/>
      <c r="CL405" s="143"/>
      <c r="CM405" s="143"/>
      <c r="CN405" s="143"/>
      <c r="CO405" s="143"/>
      <c r="CP405" s="143"/>
      <c r="CQ405" s="143"/>
      <c r="CR405" s="143"/>
      <c r="CS405" s="143"/>
      <c r="CT405" s="143"/>
      <c r="CU405" s="143"/>
      <c r="CV405" s="143"/>
      <c r="CW405" s="143"/>
      <c r="CX405" s="143"/>
      <c r="CY405" s="143"/>
      <c r="CZ405" s="143"/>
      <c r="DA405" s="143"/>
      <c r="DB405" s="143"/>
      <c r="DC405" s="143"/>
      <c r="DD405" s="143"/>
      <c r="DE405" s="143"/>
      <c r="DF405" s="143"/>
      <c r="DG405" s="143"/>
      <c r="DH405" s="143"/>
      <c r="DI405" s="143"/>
      <c r="DJ405" s="143"/>
      <c r="DK405" s="143"/>
      <c r="DL405" s="143"/>
      <c r="DM405" s="143"/>
      <c r="DN405" s="143"/>
      <c r="DO405" s="143"/>
      <c r="DP405" s="143"/>
      <c r="DQ405" s="143"/>
      <c r="DR405" s="143"/>
      <c r="DS405" s="143"/>
      <c r="DT405" s="143"/>
      <c r="DU405" s="143"/>
      <c r="DV405" s="143"/>
      <c r="DW405" s="143"/>
      <c r="DX405" s="143"/>
      <c r="DY405" s="143"/>
      <c r="DZ405" s="143"/>
      <c r="EA405" s="143"/>
      <c r="EB405" s="143"/>
      <c r="EC405" s="143"/>
      <c r="ED405" s="143"/>
      <c r="EE405" s="143"/>
      <c r="EF405" s="143"/>
      <c r="EG405" s="143"/>
      <c r="EH405" s="143"/>
      <c r="EI405" s="143"/>
      <c r="EJ405" s="143"/>
      <c r="EK405" s="143"/>
      <c r="EL405" s="143"/>
      <c r="EM405" s="143"/>
      <c r="EN405" s="143"/>
      <c r="EO405" s="143"/>
      <c r="EP405" s="143"/>
      <c r="EQ405" s="143"/>
      <c r="ER405" s="143"/>
      <c r="ES405" s="143"/>
      <c r="ET405" s="143"/>
      <c r="EU405" s="143"/>
      <c r="EV405" s="143"/>
      <c r="EW405" s="143"/>
      <c r="EX405" s="143"/>
      <c r="EY405" s="143"/>
      <c r="EZ405" s="143"/>
      <c r="FA405" s="143"/>
      <c r="FB405" s="143"/>
      <c r="FC405" s="143"/>
      <c r="FD405" s="143"/>
      <c r="FE405" s="143"/>
      <c r="FF405" s="143"/>
      <c r="FG405" s="143"/>
      <c r="FH405" s="143"/>
      <c r="FI405" s="143"/>
      <c r="FJ405" s="143"/>
      <c r="FK405" s="143"/>
      <c r="FL405" s="143"/>
      <c r="FM405" s="143"/>
      <c r="FN405" s="143"/>
      <c r="FO405" s="143"/>
      <c r="FP405" s="143"/>
      <c r="FQ405" s="143"/>
      <c r="FR405" s="143"/>
      <c r="FS405" s="143"/>
      <c r="FT405" s="143"/>
      <c r="FU405" s="143"/>
      <c r="FV405" s="143"/>
      <c r="FW405" s="143"/>
      <c r="FX405" s="143"/>
      <c r="FY405" s="143"/>
      <c r="FZ405" s="143"/>
      <c r="GA405" s="143"/>
      <c r="GB405" s="143"/>
      <c r="GC405" s="143"/>
      <c r="GD405" s="143"/>
      <c r="GE405" s="143"/>
      <c r="GF405" s="143"/>
      <c r="GG405" s="143"/>
      <c r="GH405" s="143"/>
      <c r="GI405" s="143"/>
      <c r="GJ405" s="143"/>
      <c r="GK405" s="143"/>
      <c r="GL405" s="143"/>
      <c r="GM405" s="143"/>
      <c r="GN405" s="143"/>
      <c r="GO405" s="143"/>
      <c r="GP405" s="143"/>
      <c r="GQ405" s="143"/>
      <c r="GR405" s="143"/>
      <c r="GS405" s="143"/>
      <c r="GT405" s="143"/>
      <c r="GU405" s="143"/>
      <c r="GV405" s="143"/>
      <c r="GW405" s="143"/>
      <c r="GX405" s="143"/>
      <c r="GY405" s="143"/>
      <c r="GZ405" s="143"/>
      <c r="HA405" s="143"/>
      <c r="HB405" s="143"/>
      <c r="HC405" s="143"/>
      <c r="HD405" s="143"/>
      <c r="HE405" s="143"/>
      <c r="HF405" s="143"/>
      <c r="HG405" s="143"/>
      <c r="HH405" s="143"/>
      <c r="HI405" s="143"/>
      <c r="HJ405" s="143"/>
      <c r="HK405" s="143"/>
      <c r="HL405" s="143"/>
      <c r="HM405" s="143"/>
      <c r="HN405" s="143"/>
      <c r="HO405" s="143"/>
      <c r="HP405" s="143"/>
      <c r="HQ405" s="143"/>
      <c r="HR405" s="143"/>
      <c r="HS405" s="143"/>
      <c r="HT405" s="143"/>
      <c r="HU405" s="143"/>
      <c r="HV405" s="143"/>
      <c r="HW405" s="143"/>
      <c r="HX405" s="143"/>
      <c r="HY405" s="143"/>
      <c r="HZ405" s="143"/>
      <c r="IA405" s="143"/>
      <c r="IB405" s="143"/>
      <c r="IC405" s="143"/>
      <c r="ID405" s="143"/>
      <c r="IE405" s="143"/>
      <c r="IF405" s="143"/>
      <c r="IG405" s="143"/>
      <c r="IH405" s="143"/>
      <c r="II405" s="143"/>
      <c r="IJ405" s="143"/>
      <c r="IK405" s="143"/>
      <c r="IL405" s="143"/>
      <c r="IM405" s="143"/>
      <c r="IN405" s="143"/>
      <c r="IO405" s="143"/>
      <c r="IP405" s="143"/>
      <c r="IQ405" s="143"/>
      <c r="IR405" s="143"/>
      <c r="IS405" s="143"/>
      <c r="IT405" s="143"/>
      <c r="IU405" s="143"/>
      <c r="IV405" s="143"/>
      <c r="IW405" s="143"/>
      <c r="IX405" s="143"/>
      <c r="IY405" s="143"/>
      <c r="IZ405" s="143"/>
      <c r="JA405" s="143"/>
      <c r="JB405" s="143"/>
      <c r="JC405" s="143"/>
      <c r="JD405" s="143"/>
      <c r="JE405" s="143"/>
      <c r="JF405" s="143"/>
      <c r="JG405" s="143"/>
      <c r="JH405" s="143"/>
      <c r="JI405" s="143"/>
    </row>
    <row r="406" spans="1:269" hidden="1" outlineLevel="1">
      <c r="A406" s="437" t="s">
        <v>207</v>
      </c>
      <c r="B406" s="144"/>
      <c r="C406" s="417" t="e">
        <f>C404/#REF!-1</f>
        <v>#REF!</v>
      </c>
      <c r="D406" s="417" t="e">
        <f>D404/#REF!-1</f>
        <v>#REF!</v>
      </c>
      <c r="E406" s="417" t="e">
        <f>E404/#REF!-1</f>
        <v>#REF!</v>
      </c>
      <c r="F406" s="414" t="e">
        <f>F404/#REF!-1</f>
        <v>#REF!</v>
      </c>
      <c r="G406" s="414" t="e">
        <f>G404/#REF!-1</f>
        <v>#REF!</v>
      </c>
      <c r="H406" s="414" t="e">
        <f>H404/#REF!-1</f>
        <v>#REF!</v>
      </c>
      <c r="I406" s="414" t="e">
        <f>I404/#REF!-1</f>
        <v>#REF!</v>
      </c>
      <c r="J406" s="417" t="e">
        <f>J404/#REF!-1</f>
        <v>#REF!</v>
      </c>
      <c r="K406" s="414" t="e">
        <f>K404/#REF!-1</f>
        <v>#REF!</v>
      </c>
      <c r="L406" s="414" t="e">
        <f>L404/#REF!-1</f>
        <v>#REF!</v>
      </c>
      <c r="M406" s="414" t="e">
        <f>M404/#REF!-1</f>
        <v>#REF!</v>
      </c>
      <c r="N406" s="414" t="e">
        <f>N404/#REF!-1</f>
        <v>#REF!</v>
      </c>
      <c r="O406" s="417" t="e">
        <f>O404/#REF!-1</f>
        <v>#REF!</v>
      </c>
      <c r="P406" s="414" t="e">
        <f>P404/#REF!-1</f>
        <v>#REF!</v>
      </c>
      <c r="Q406" s="414" t="e">
        <f>Q404/#REF!-1</f>
        <v>#REF!</v>
      </c>
      <c r="R406" s="414" t="e">
        <f>R404/#REF!-1</f>
        <v>#REF!</v>
      </c>
      <c r="S406" s="414" t="e">
        <f>S404/#REF!-1</f>
        <v>#REF!</v>
      </c>
      <c r="T406" s="417" t="e">
        <f>T404/#REF!-1</f>
        <v>#REF!</v>
      </c>
      <c r="U406" s="414" t="e">
        <f>U404/#REF!-1</f>
        <v>#REF!</v>
      </c>
      <c r="V406" s="414" t="e">
        <f>V404/#REF!-1</f>
        <v>#REF!</v>
      </c>
      <c r="W406" s="414" t="e">
        <f>W404/#REF!-1</f>
        <v>#REF!</v>
      </c>
      <c r="X406" s="414" t="e">
        <f>X404/#REF!-1</f>
        <v>#REF!</v>
      </c>
      <c r="Y406" s="417" t="e">
        <f>Y404/#REF!-1</f>
        <v>#REF!</v>
      </c>
      <c r="Z406" s="414" t="e">
        <f>Z404/#REF!-1</f>
        <v>#REF!</v>
      </c>
      <c r="AA406" s="414" t="e">
        <f>AA404/#REF!-1</f>
        <v>#REF!</v>
      </c>
      <c r="AB406" s="414" t="e">
        <f>AB404/#REF!-1</f>
        <v>#REF!</v>
      </c>
      <c r="AC406" s="414" t="e">
        <f>AC404/#REF!-1</f>
        <v>#REF!</v>
      </c>
      <c r="AD406" s="422" t="e">
        <f>AD404/#REF!-1</f>
        <v>#REF!</v>
      </c>
      <c r="AE406" s="414" t="e">
        <f>AE404/#REF!-1</f>
        <v>#VALUE!</v>
      </c>
      <c r="AF406" s="414" t="e">
        <f>AF404/#REF!-1</f>
        <v>#VALUE!</v>
      </c>
      <c r="AG406" s="414" t="e">
        <f>AG404/#REF!-1</f>
        <v>#VALUE!</v>
      </c>
      <c r="AH406" s="280"/>
      <c r="AI406" s="320"/>
      <c r="AJ406" s="280"/>
      <c r="AK406" s="280"/>
      <c r="AL406" s="280"/>
      <c r="AM406" s="280"/>
      <c r="AN406" s="320"/>
      <c r="AO406" s="280"/>
      <c r="AP406" s="280"/>
      <c r="AQ406" s="280"/>
      <c r="AR406" s="280"/>
      <c r="AS406" s="320"/>
      <c r="AT406" s="315"/>
      <c r="AU406" s="508"/>
      <c r="AV406" s="143"/>
      <c r="AW406" s="143"/>
      <c r="AX406" s="143"/>
      <c r="AY406" s="143"/>
      <c r="AZ406" s="143"/>
      <c r="BA406" s="143"/>
      <c r="BB406" s="143"/>
      <c r="BC406" s="143"/>
      <c r="BD406" s="143"/>
      <c r="BE406" s="143"/>
      <c r="BF406" s="143"/>
      <c r="BG406" s="143"/>
      <c r="BH406" s="143"/>
      <c r="BI406" s="143"/>
      <c r="BJ406" s="143"/>
      <c r="BK406" s="143"/>
      <c r="BL406" s="143"/>
      <c r="BM406" s="143"/>
      <c r="BN406" s="143"/>
      <c r="BO406" s="143"/>
      <c r="BP406" s="143"/>
      <c r="BQ406" s="143"/>
      <c r="BR406" s="143"/>
      <c r="BS406" s="143"/>
      <c r="BT406" s="143"/>
      <c r="BU406" s="143"/>
      <c r="BV406" s="143"/>
      <c r="BW406" s="143"/>
      <c r="BX406" s="143"/>
      <c r="BY406" s="143"/>
      <c r="BZ406" s="143"/>
      <c r="CA406" s="143"/>
      <c r="CB406" s="143"/>
      <c r="CC406" s="143"/>
      <c r="CD406" s="143"/>
      <c r="CE406" s="143"/>
      <c r="CF406" s="143"/>
      <c r="CG406" s="143"/>
      <c r="CH406" s="143"/>
      <c r="CI406" s="143"/>
      <c r="CJ406" s="143"/>
      <c r="CK406" s="143"/>
      <c r="CL406" s="143"/>
      <c r="CM406" s="143"/>
      <c r="CN406" s="143"/>
      <c r="CO406" s="143"/>
      <c r="CP406" s="143"/>
      <c r="CQ406" s="143"/>
      <c r="CR406" s="143"/>
      <c r="CS406" s="143"/>
      <c r="CT406" s="143"/>
      <c r="CU406" s="143"/>
      <c r="CV406" s="143"/>
      <c r="CW406" s="143"/>
      <c r="CX406" s="143"/>
      <c r="CY406" s="143"/>
      <c r="CZ406" s="143"/>
      <c r="DA406" s="143"/>
      <c r="DB406" s="143"/>
      <c r="DC406" s="143"/>
      <c r="DD406" s="143"/>
      <c r="DE406" s="143"/>
      <c r="DF406" s="143"/>
      <c r="DG406" s="143"/>
      <c r="DH406" s="143"/>
      <c r="DI406" s="143"/>
      <c r="DJ406" s="143"/>
      <c r="DK406" s="143"/>
      <c r="DL406" s="143"/>
      <c r="DM406" s="143"/>
      <c r="DN406" s="143"/>
      <c r="DO406" s="143"/>
      <c r="DP406" s="143"/>
      <c r="DQ406" s="143"/>
      <c r="DR406" s="143"/>
      <c r="DS406" s="143"/>
      <c r="DT406" s="143"/>
      <c r="DU406" s="143"/>
      <c r="DV406" s="143"/>
      <c r="DW406" s="143"/>
      <c r="DX406" s="143"/>
      <c r="DY406" s="143"/>
      <c r="DZ406" s="143"/>
      <c r="EA406" s="143"/>
      <c r="EB406" s="143"/>
      <c r="EC406" s="143"/>
      <c r="ED406" s="143"/>
      <c r="EE406" s="143"/>
      <c r="EF406" s="143"/>
      <c r="EG406" s="143"/>
      <c r="EH406" s="143"/>
      <c r="EI406" s="143"/>
      <c r="EJ406" s="143"/>
      <c r="EK406" s="143"/>
      <c r="EL406" s="143"/>
      <c r="EM406" s="143"/>
      <c r="EN406" s="143"/>
      <c r="EO406" s="143"/>
      <c r="EP406" s="143"/>
      <c r="EQ406" s="143"/>
      <c r="ER406" s="143"/>
      <c r="ES406" s="143"/>
      <c r="ET406" s="143"/>
      <c r="EU406" s="143"/>
      <c r="EV406" s="143"/>
      <c r="EW406" s="143"/>
      <c r="EX406" s="143"/>
      <c r="EY406" s="143"/>
      <c r="EZ406" s="143"/>
      <c r="FA406" s="143"/>
      <c r="FB406" s="143"/>
      <c r="FC406" s="143"/>
      <c r="FD406" s="143"/>
      <c r="FE406" s="143"/>
      <c r="FF406" s="143"/>
      <c r="FG406" s="143"/>
      <c r="FH406" s="143"/>
      <c r="FI406" s="143"/>
      <c r="FJ406" s="143"/>
      <c r="FK406" s="143"/>
      <c r="FL406" s="143"/>
      <c r="FM406" s="143"/>
      <c r="FN406" s="143"/>
      <c r="FO406" s="143"/>
      <c r="FP406" s="143"/>
      <c r="FQ406" s="143"/>
      <c r="FR406" s="143"/>
      <c r="FS406" s="143"/>
      <c r="FT406" s="143"/>
      <c r="FU406" s="143"/>
      <c r="FV406" s="143"/>
      <c r="FW406" s="143"/>
      <c r="FX406" s="143"/>
      <c r="FY406" s="143"/>
      <c r="FZ406" s="143"/>
      <c r="GA406" s="143"/>
      <c r="GB406" s="143"/>
      <c r="GC406" s="143"/>
      <c r="GD406" s="143"/>
      <c r="GE406" s="143"/>
      <c r="GF406" s="143"/>
      <c r="GG406" s="143"/>
      <c r="GH406" s="143"/>
      <c r="GI406" s="143"/>
      <c r="GJ406" s="143"/>
      <c r="GK406" s="143"/>
      <c r="GL406" s="143"/>
      <c r="GM406" s="143"/>
      <c r="GN406" s="143"/>
      <c r="GO406" s="143"/>
      <c r="GP406" s="143"/>
      <c r="GQ406" s="143"/>
      <c r="GR406" s="143"/>
      <c r="GS406" s="143"/>
      <c r="GT406" s="143"/>
      <c r="GU406" s="143"/>
      <c r="GV406" s="143"/>
      <c r="GW406" s="143"/>
      <c r="GX406" s="143"/>
      <c r="GY406" s="143"/>
      <c r="GZ406" s="143"/>
      <c r="HA406" s="143"/>
      <c r="HB406" s="143"/>
      <c r="HC406" s="143"/>
      <c r="HD406" s="143"/>
      <c r="HE406" s="143"/>
      <c r="HF406" s="143"/>
      <c r="HG406" s="143"/>
      <c r="HH406" s="143"/>
      <c r="HI406" s="143"/>
      <c r="HJ406" s="143"/>
      <c r="HK406" s="143"/>
      <c r="HL406" s="143"/>
      <c r="HM406" s="143"/>
      <c r="HN406" s="143"/>
      <c r="HO406" s="143"/>
      <c r="HP406" s="143"/>
      <c r="HQ406" s="143"/>
      <c r="HR406" s="143"/>
      <c r="HS406" s="143"/>
      <c r="HT406" s="143"/>
      <c r="HU406" s="143"/>
      <c r="HV406" s="143"/>
      <c r="HW406" s="143"/>
      <c r="HX406" s="143"/>
      <c r="HY406" s="143"/>
      <c r="HZ406" s="143"/>
      <c r="IA406" s="143"/>
      <c r="IB406" s="143"/>
      <c r="IC406" s="143"/>
      <c r="ID406" s="143"/>
      <c r="IE406" s="143"/>
      <c r="IF406" s="143"/>
      <c r="IG406" s="143"/>
      <c r="IH406" s="143"/>
      <c r="II406" s="143"/>
      <c r="IJ406" s="143"/>
      <c r="IK406" s="143"/>
      <c r="IL406" s="143"/>
      <c r="IM406" s="143"/>
      <c r="IN406" s="143"/>
      <c r="IO406" s="143"/>
      <c r="IP406" s="143"/>
      <c r="IQ406" s="143"/>
      <c r="IR406" s="143"/>
      <c r="IS406" s="143"/>
      <c r="IT406" s="143"/>
      <c r="IU406" s="143"/>
      <c r="IV406" s="143"/>
      <c r="IW406" s="143"/>
      <c r="IX406" s="143"/>
      <c r="IY406" s="143"/>
      <c r="IZ406" s="143"/>
      <c r="JA406" s="143"/>
      <c r="JB406" s="143"/>
      <c r="JC406" s="143"/>
      <c r="JD406" s="143"/>
      <c r="JE406" s="143"/>
      <c r="JF406" s="143"/>
      <c r="JG406" s="143"/>
      <c r="JH406" s="143"/>
      <c r="JI406" s="143"/>
    </row>
    <row r="407" spans="1:269" hidden="1" outlineLevel="1">
      <c r="A407" s="83" t="s">
        <v>265</v>
      </c>
      <c r="B407" s="144" t="s">
        <v>266</v>
      </c>
      <c r="C407" s="475" t="e">
        <f>_xll.BQL.QUERY("get(avg(px_last(start=" &amp; TEXT(#REF!, "YYYY-MM-DD") &amp; ", end=" &amp; TEXT(C$5, "YYYY-MM-DD") &amp; "))) for('"&amp;$B407&amp;"')")</f>
        <v>#REF!</v>
      </c>
      <c r="D407" s="475" t="e">
        <f>_xll.BQL.QUERY("get(avg(px_last(start=" &amp; TEXT(#REF!, "YYYY-MM-DD") &amp; ", end=" &amp; TEXT(D$5, "YYYY-MM-DD") &amp; "))) for('"&amp;$B407&amp;"')")</f>
        <v>#REF!</v>
      </c>
      <c r="E407" s="475" t="e">
        <f>_xll.BQL.QUERY("get(avg(px_last(start=" &amp; TEXT(#REF!, "YYYY-MM-DD") &amp; ", end=" &amp; TEXT(E$5, "YYYY-MM-DD") &amp; "))) for('"&amp;$B407&amp;"')")</f>
        <v>#REF!</v>
      </c>
      <c r="F407" s="335" t="e">
        <f>_xll.BQL.QUERY("get(avg(px_last(start=" &amp; TEXT(#REF!, "YYYY-MM-DD") &amp; ", end=" &amp; TEXT(F$5, "YYYY-MM-DD") &amp; "))) for('"&amp;$B407&amp;"')")</f>
        <v>#REF!</v>
      </c>
      <c r="G407" s="335">
        <f>_xll.BQL.QUERY("get(avg(px_last(start=" &amp; TEXT(F$5, "YYYY-MM-DD") &amp; ", end=" &amp; TEXT(G$5, "YYYY-MM-DD") &amp; "))) for('"&amp;$B407&amp;"')")</f>
        <v>108.22666666666667</v>
      </c>
      <c r="H407" s="335">
        <f>_xll.BQL.QUERY("get(avg(px_last(start=" &amp; TEXT(G$5, "YYYY-MM-DD") &amp; ", end=" &amp; TEXT(H$5, "YYYY-MM-DD") &amp; "))) for('"&amp;$B407&amp;"')")</f>
        <v>111.77</v>
      </c>
      <c r="I407" s="335">
        <f>_xll.BQL.QUERY("get(avg(px_last(start=" &amp; TEXT(H$5, "YYYY-MM-DD") &amp; ", end=" &amp; TEXT(I$5, "YYYY-MM-DD") &amp; "))) for('"&amp;$B407&amp;"')")</f>
        <v>106.74333333333334</v>
      </c>
      <c r="J407" s="475" t="e">
        <f>_xll.BQL.QUERY("get(avg(px_last(start=" &amp; TEXT(#REF!, "YYYY-MM-DD") &amp; ", end=" &amp; TEXT(J$5, "YYYY-MM-DD") &amp; "))) for('"&amp;$B407&amp;"')")</f>
        <v>#REF!</v>
      </c>
      <c r="K407" s="335" t="e">
        <f>_xll.BQL.QUERY("get(avg(px_last(start=" &amp; TEXT(#REF!, "YYYY-MM-DD") &amp; ", end=" &amp; TEXT(K$5, "YYYY-MM-DD") &amp; "))) for('"&amp;$B407&amp;"')")</f>
        <v>#REF!</v>
      </c>
      <c r="L407" s="335">
        <f>_xll.BQL.QUERY("get(avg(px_last(start=" &amp; TEXT(K$5, "YYYY-MM-DD") &amp; ", end=" &amp; TEXT(L$5, "YYYY-MM-DD") &amp; "))) for('"&amp;$B407&amp;"')")</f>
        <v>103.29250000000002</v>
      </c>
      <c r="M407" s="335">
        <f>_xll.BQL.QUERY("get(avg(px_last(start=" &amp; TEXT(L$5, "YYYY-MM-DD") &amp; ", end=" &amp; TEXT(M$5, "YYYY-MM-DD") &amp; "))) for('"&amp;$B407&amp;"')")</f>
        <v>106.86999999999999</v>
      </c>
      <c r="N407" s="335">
        <f>_xll.BQL.QUERY("get(avg(px_last(start=" &amp; TEXT(M$5, "YYYY-MM-DD") &amp; ", end=" &amp; TEXT(N$5, "YYYY-MM-DD") &amp; "))) for('"&amp;$B407&amp;"')")</f>
        <v>101.54</v>
      </c>
      <c r="O407" s="475" t="e">
        <f>_xll.BQL.QUERY("get(avg(px_last(start=" &amp; TEXT(#REF!, "YYYY-MM-DD") &amp; ", end=" &amp; TEXT(O$5, "YYYY-MM-DD") &amp; "))) for('"&amp;$B407&amp;"')")</f>
        <v>#REF!</v>
      </c>
      <c r="P407" s="335">
        <f>_xll.BQL.QUERY("get(avg(px_last(start=" &amp; TEXT(O$5, "YYYY-MM-DD") &amp; ", end=" &amp; TEXT(P$5, "YYYY-MM-DD") &amp; "))) for('"&amp;$B407&amp;"')")</f>
        <v>100.36250000000001</v>
      </c>
      <c r="Q407" s="335">
        <f>_xll.BQL.QUERY("get(avg(px_last(start=" &amp; TEXT(P$5, "YYYY-MM-DD") &amp; ", end=" &amp; TEXT(Q$5, "YYYY-MM-DD") &amp; "))) for('"&amp;$B407&amp;"')")</f>
        <v>103.13</v>
      </c>
      <c r="R407" s="335">
        <f>_xll.BQL.QUERY("get(avg(px_last(start=" &amp; TEXT(Q$5, "YYYY-MM-DD") &amp; ", end=" &amp; TEXT(R$5, "YYYY-MM-DD") &amp; "))) for('"&amp;$B407&amp;"')")</f>
        <v>110.6125</v>
      </c>
      <c r="S407" s="335">
        <f>_xll.BQL.QUERY("get(avg(px_last(start=" &amp; TEXT(R$5, "YYYY-MM-DD") &amp; ", end=" &amp; TEXT(S$5, "YYYY-MM-DD") &amp; "))) for('"&amp;$B407&amp;"')")</f>
        <v>110.1825</v>
      </c>
      <c r="T407" s="475">
        <f>_xll.BQL.QUERY("get(avg(px_last(start=" &amp; TEXT(O$5, "YYYY-MM-DD") &amp; ", end=" &amp; TEXT(T$5, "YYYY-MM-DD") &amp; "))) for('"&amp;$B407&amp;"')")</f>
        <v>105.83384615384615</v>
      </c>
      <c r="U407" s="335">
        <f>_xll.BQL.QUERY("get(avg(px_last(start=" &amp; TEXT(T$5, "YYYY-MM-DD") &amp; ", end=" &amp; TEXT(U$5, "YYYY-MM-DD") &amp; "))) for('"&amp;$B407&amp;"')")</f>
        <v>107.5575</v>
      </c>
      <c r="V407" s="335">
        <f>_xll.BQL.QUERY("get(avg(px_last(start=" &amp; TEXT(U$5, "YYYY-MM-DD") &amp; ", end=" &amp; TEXT(V$5, "YYYY-MM-DD") &amp; "))) for('"&amp;$B407&amp;"')")</f>
        <v>117.8775</v>
      </c>
      <c r="W407" s="335">
        <f>_xll.BQL.QUERY("get(avg(px_last(start=" &amp; TEXT(V$5, "YYYY-MM-DD") &amp; ", end=" &amp; TEXT(W$5, "YYYY-MM-DD") &amp; "))) for('"&amp;$B407&amp;"')")</f>
        <v>126.74250000000001</v>
      </c>
      <c r="X407" s="335">
        <f>_xll.BQL.QUERY("get(avg(px_last(start=" &amp; TEXT(W$5, "YYYY-MM-DD") &amp; ", end=" &amp; TEXT(X$5, "YYYY-MM-DD") &amp; "))) for('"&amp;$B407&amp;"')")</f>
        <v>123.29499999999999</v>
      </c>
      <c r="Y407" s="475">
        <f>_xll.BQL.QUERY("get(avg(px_last(start=" &amp; TEXT(T$5, "YYYY-MM-DD") &amp; ", end=" &amp; TEXT(Y$5, "YYYY-MM-DD") &amp; "))) for('"&amp;$B407&amp;"')")</f>
        <v>118.31153846153846</v>
      </c>
      <c r="Z407" s="335">
        <f>_xll.BQL.QUERY("get(avg(px_last(start=" &amp; TEXT(Y$5, "YYYY-MM-DD") &amp; ", end=" &amp; TEXT(Z$5, "YYYY-MM-DD") &amp; "))) for('"&amp;$B407&amp;"')")</f>
        <v>118.91749999999999</v>
      </c>
      <c r="AA407" s="335">
        <f>_xll.BQL.QUERY("get(avg(px_last(start=" &amp; TEXT(Z$5, "YYYY-MM-DD") &amp; ", end=" &amp; TEXT(AA$5, "YYYY-MM-DD") &amp; "))) for('"&amp;$B407&amp;"')")</f>
        <v>128.10500000000002</v>
      </c>
      <c r="AB407" s="335">
        <f>_xll.BQL.QUERY("get(avg(px_last(start=" &amp; TEXT(AA$5, "YYYY-MM-DD") &amp; ", end=" &amp; TEXT(AB$5, "YYYY-MM-DD") &amp; "))) for('"&amp;$B407&amp;"')")</f>
        <v>135.91249999999999</v>
      </c>
      <c r="AC407" s="335">
        <f>_xll.BQL.QUERY("get(avg(px_last(start=" &amp; TEXT(AB$5, "YYYY-MM-DD") &amp; ", end=" &amp; TEXT(AC$5, "YYYY-MM-DD") &amp; "))) for('"&amp;$B407&amp;"')")</f>
        <v>135.78</v>
      </c>
      <c r="AD407" s="540">
        <f>_xll.BQL.QUERY("get(avg(px_last(start=" &amp; TEXT(Y$5, "YYYY-MM-DD") &amp; ", end=" &amp; TEXT(AD$5, "YYYY-MM-DD") &amp; "))) for('"&amp;$B407&amp;"')")</f>
        <v>127.92272727272729</v>
      </c>
      <c r="AE407" s="335" t="str">
        <f>_xll.BQL.QUERY("get(avg(px_last(start=" &amp; TEXT(AD$5, "YYYY-MM-DD") &amp; ", end=" &amp; TEXT(AE$5, "YYYY-MM-DD") &amp; "))) for('"&amp;$B407&amp;"')")</f>
        <v>#N/A</v>
      </c>
      <c r="AF407" s="335" t="str">
        <f>_xll.BQL.QUERY("get(avg(px_last(start=" &amp; TEXT(AE$5, "YYYY-MM-DD") &amp; ", end=" &amp; TEXT(AF$5, "YYYY-MM-DD") &amp; "))) for('"&amp;$B407&amp;"')")</f>
        <v>#N/A</v>
      </c>
      <c r="AG407" s="335" t="str">
        <f>_xll.BQL.QUERY("get(avg(px_last(start=" &amp; TEXT(AF$5, "YYYY-MM-DD") &amp; ", end=" &amp; TEXT(AG$5, "YYYY-MM-DD") &amp; "))) for('"&amp;$B407&amp;"')")</f>
        <v>#N/A</v>
      </c>
      <c r="AH407" s="280"/>
      <c r="AI407" s="320"/>
      <c r="AJ407" s="280"/>
      <c r="AK407" s="280"/>
      <c r="AL407" s="280"/>
      <c r="AM407" s="280"/>
      <c r="AN407" s="320"/>
      <c r="AO407" s="280"/>
      <c r="AP407" s="280"/>
      <c r="AQ407" s="280"/>
      <c r="AR407" s="280"/>
      <c r="AS407" s="320"/>
      <c r="AT407" s="315"/>
      <c r="AU407" s="508"/>
      <c r="AV407" s="143"/>
      <c r="AW407" s="143"/>
      <c r="AX407" s="143"/>
      <c r="AY407" s="143"/>
      <c r="AZ407" s="143"/>
      <c r="BA407" s="143"/>
      <c r="BB407" s="143"/>
      <c r="BC407" s="143"/>
      <c r="BD407" s="143"/>
      <c r="BE407" s="143"/>
      <c r="BF407" s="143"/>
      <c r="BG407" s="143"/>
      <c r="BH407" s="143"/>
      <c r="BI407" s="143"/>
      <c r="BJ407" s="143"/>
      <c r="BK407" s="143"/>
      <c r="BL407" s="143"/>
      <c r="BM407" s="143"/>
      <c r="BN407" s="143"/>
      <c r="BO407" s="143"/>
      <c r="BP407" s="143"/>
      <c r="BQ407" s="143"/>
      <c r="BR407" s="143"/>
      <c r="BS407" s="143"/>
      <c r="BT407" s="143"/>
      <c r="BU407" s="143"/>
      <c r="BV407" s="143"/>
      <c r="BW407" s="143"/>
      <c r="BX407" s="143"/>
      <c r="BY407" s="143"/>
      <c r="BZ407" s="143"/>
      <c r="CA407" s="143"/>
      <c r="CB407" s="143"/>
      <c r="CC407" s="143"/>
      <c r="CD407" s="143"/>
      <c r="CE407" s="143"/>
      <c r="CF407" s="143"/>
      <c r="CG407" s="143"/>
      <c r="CH407" s="143"/>
      <c r="CI407" s="143"/>
      <c r="CJ407" s="143"/>
      <c r="CK407" s="143"/>
      <c r="CL407" s="143"/>
      <c r="CM407" s="143"/>
      <c r="CN407" s="143"/>
      <c r="CO407" s="143"/>
      <c r="CP407" s="143"/>
      <c r="CQ407" s="143"/>
      <c r="CR407" s="143"/>
      <c r="CS407" s="143"/>
      <c r="CT407" s="143"/>
      <c r="CU407" s="143"/>
      <c r="CV407" s="143"/>
      <c r="CW407" s="143"/>
      <c r="CX407" s="143"/>
      <c r="CY407" s="143"/>
      <c r="CZ407" s="143"/>
      <c r="DA407" s="143"/>
      <c r="DB407" s="143"/>
      <c r="DC407" s="143"/>
      <c r="DD407" s="143"/>
      <c r="DE407" s="143"/>
      <c r="DF407" s="143"/>
      <c r="DG407" s="143"/>
      <c r="DH407" s="143"/>
      <c r="DI407" s="143"/>
      <c r="DJ407" s="143"/>
      <c r="DK407" s="143"/>
      <c r="DL407" s="143"/>
      <c r="DM407" s="143"/>
      <c r="DN407" s="143"/>
      <c r="DO407" s="143"/>
      <c r="DP407" s="143"/>
      <c r="DQ407" s="143"/>
      <c r="DR407" s="143"/>
      <c r="DS407" s="143"/>
      <c r="DT407" s="143"/>
      <c r="DU407" s="143"/>
      <c r="DV407" s="143"/>
      <c r="DW407" s="143"/>
      <c r="DX407" s="143"/>
      <c r="DY407" s="143"/>
      <c r="DZ407" s="143"/>
      <c r="EA407" s="143"/>
      <c r="EB407" s="143"/>
      <c r="EC407" s="143"/>
      <c r="ED407" s="143"/>
      <c r="EE407" s="143"/>
      <c r="EF407" s="143"/>
      <c r="EG407" s="143"/>
      <c r="EH407" s="143"/>
      <c r="EI407" s="143"/>
      <c r="EJ407" s="143"/>
      <c r="EK407" s="143"/>
      <c r="EL407" s="143"/>
      <c r="EM407" s="143"/>
      <c r="EN407" s="143"/>
      <c r="EO407" s="143"/>
      <c r="EP407" s="143"/>
      <c r="EQ407" s="143"/>
      <c r="ER407" s="143"/>
      <c r="ES407" s="143"/>
      <c r="ET407" s="143"/>
      <c r="EU407" s="143"/>
      <c r="EV407" s="143"/>
      <c r="EW407" s="143"/>
      <c r="EX407" s="143"/>
      <c r="EY407" s="143"/>
      <c r="EZ407" s="143"/>
      <c r="FA407" s="143"/>
      <c r="FB407" s="143"/>
      <c r="FC407" s="143"/>
      <c r="FD407" s="143"/>
      <c r="FE407" s="143"/>
      <c r="FF407" s="143"/>
      <c r="FG407" s="143"/>
      <c r="FH407" s="143"/>
      <c r="FI407" s="143"/>
      <c r="FJ407" s="143"/>
      <c r="FK407" s="143"/>
      <c r="FL407" s="143"/>
      <c r="FM407" s="143"/>
      <c r="FN407" s="143"/>
      <c r="FO407" s="143"/>
      <c r="FP407" s="143"/>
      <c r="FQ407" s="143"/>
      <c r="FR407" s="143"/>
      <c r="FS407" s="143"/>
      <c r="FT407" s="143"/>
      <c r="FU407" s="143"/>
      <c r="FV407" s="143"/>
      <c r="FW407" s="143"/>
      <c r="FX407" s="143"/>
      <c r="FY407" s="143"/>
      <c r="FZ407" s="143"/>
      <c r="GA407" s="143"/>
      <c r="GB407" s="143"/>
      <c r="GC407" s="143"/>
      <c r="GD407" s="143"/>
      <c r="GE407" s="143"/>
      <c r="GF407" s="143"/>
      <c r="GG407" s="143"/>
      <c r="GH407" s="143"/>
      <c r="GI407" s="143"/>
      <c r="GJ407" s="143"/>
      <c r="GK407" s="143"/>
      <c r="GL407" s="143"/>
      <c r="GM407" s="143"/>
      <c r="GN407" s="143"/>
      <c r="GO407" s="143"/>
      <c r="GP407" s="143"/>
      <c r="GQ407" s="143"/>
      <c r="GR407" s="143"/>
      <c r="GS407" s="143"/>
      <c r="GT407" s="143"/>
      <c r="GU407" s="143"/>
      <c r="GV407" s="143"/>
      <c r="GW407" s="143"/>
      <c r="GX407" s="143"/>
      <c r="GY407" s="143"/>
      <c r="GZ407" s="143"/>
      <c r="HA407" s="143"/>
      <c r="HB407" s="143"/>
      <c r="HC407" s="143"/>
      <c r="HD407" s="143"/>
      <c r="HE407" s="143"/>
      <c r="HF407" s="143"/>
      <c r="HG407" s="143"/>
      <c r="HH407" s="143"/>
      <c r="HI407" s="143"/>
      <c r="HJ407" s="143"/>
      <c r="HK407" s="143"/>
      <c r="HL407" s="143"/>
      <c r="HM407" s="143"/>
      <c r="HN407" s="143"/>
      <c r="HO407" s="143"/>
      <c r="HP407" s="143"/>
      <c r="HQ407" s="143"/>
      <c r="HR407" s="143"/>
      <c r="HS407" s="143"/>
      <c r="HT407" s="143"/>
      <c r="HU407" s="143"/>
      <c r="HV407" s="143"/>
      <c r="HW407" s="143"/>
      <c r="HX407" s="143"/>
      <c r="HY407" s="143"/>
      <c r="HZ407" s="143"/>
      <c r="IA407" s="143"/>
      <c r="IB407" s="143"/>
      <c r="IC407" s="143"/>
      <c r="ID407" s="143"/>
      <c r="IE407" s="143"/>
      <c r="IF407" s="143"/>
      <c r="IG407" s="143"/>
      <c r="IH407" s="143"/>
      <c r="II407" s="143"/>
      <c r="IJ407" s="143"/>
      <c r="IK407" s="143"/>
      <c r="IL407" s="143"/>
      <c r="IM407" s="143"/>
      <c r="IN407" s="143"/>
      <c r="IO407" s="143"/>
      <c r="IP407" s="143"/>
      <c r="IQ407" s="143"/>
      <c r="IR407" s="143"/>
      <c r="IS407" s="143"/>
      <c r="IT407" s="143"/>
      <c r="IU407" s="143"/>
      <c r="IV407" s="143"/>
      <c r="IW407" s="143"/>
      <c r="IX407" s="143"/>
      <c r="IY407" s="143"/>
      <c r="IZ407" s="143"/>
      <c r="JA407" s="143"/>
      <c r="JB407" s="143"/>
      <c r="JC407" s="143"/>
      <c r="JD407" s="143"/>
      <c r="JE407" s="143"/>
      <c r="JF407" s="143"/>
      <c r="JG407" s="143"/>
      <c r="JH407" s="143"/>
      <c r="JI407" s="143"/>
    </row>
    <row r="408" spans="1:269" hidden="1" outlineLevel="1">
      <c r="A408" s="437" t="s">
        <v>208</v>
      </c>
      <c r="B408" s="144"/>
      <c r="C408" s="417" t="e">
        <f>C407/#REF!-1</f>
        <v>#REF!</v>
      </c>
      <c r="D408" s="417" t="e">
        <f>D407/#REF!-1</f>
        <v>#REF!</v>
      </c>
      <c r="E408" s="417" t="e">
        <f>E407/#REF!-1</f>
        <v>#REF!</v>
      </c>
      <c r="F408" s="414" t="e">
        <f>F407/#REF!-1</f>
        <v>#REF!</v>
      </c>
      <c r="G408" s="414" t="e">
        <f>G407/#REF!-1</f>
        <v>#REF!</v>
      </c>
      <c r="H408" s="414" t="e">
        <f>H407/#REF!-1</f>
        <v>#REF!</v>
      </c>
      <c r="I408" s="414" t="e">
        <f>I407/#REF!-1</f>
        <v>#REF!</v>
      </c>
      <c r="J408" s="417" t="e">
        <f>J407/#REF!-1</f>
        <v>#REF!</v>
      </c>
      <c r="K408" s="414" t="e">
        <f>K407/#REF!-1</f>
        <v>#REF!</v>
      </c>
      <c r="L408" s="414" t="e">
        <f>L407/#REF!-1</f>
        <v>#REF!</v>
      </c>
      <c r="M408" s="414" t="e">
        <f>M407/#REF!-1</f>
        <v>#REF!</v>
      </c>
      <c r="N408" s="414" t="e">
        <f>N407/#REF!-1</f>
        <v>#REF!</v>
      </c>
      <c r="O408" s="417" t="e">
        <f>O407/#REF!-1</f>
        <v>#REF!</v>
      </c>
      <c r="P408" s="414" t="e">
        <f t="shared" ref="P408" si="861">P407/K407-1</f>
        <v>#REF!</v>
      </c>
      <c r="Q408" s="414">
        <f t="shared" ref="Q408" si="862">Q407/L407-1</f>
        <v>-1.5732023138177453E-3</v>
      </c>
      <c r="R408" s="414">
        <f t="shared" ref="R408" si="863">R407/M407-1</f>
        <v>3.5019182183961828E-2</v>
      </c>
      <c r="S408" s="414">
        <f t="shared" ref="S408" si="864">S407/N407-1</f>
        <v>8.511424069332274E-2</v>
      </c>
      <c r="T408" s="417" t="e">
        <f t="shared" ref="T408" si="865">T407/O407-1</f>
        <v>#REF!</v>
      </c>
      <c r="U408" s="414">
        <f t="shared" ref="U408" si="866">U407/P407-1</f>
        <v>7.1690123303026487E-2</v>
      </c>
      <c r="V408" s="414">
        <f t="shared" ref="V408" si="867">V407/Q407-1</f>
        <v>0.14299912731503928</v>
      </c>
      <c r="W408" s="414">
        <f t="shared" ref="W408" si="868">W407/R407-1</f>
        <v>0.14582438693637712</v>
      </c>
      <c r="X408" s="414">
        <f t="shared" ref="X408" si="869">X407/S407-1</f>
        <v>0.11900710185374241</v>
      </c>
      <c r="Y408" s="417">
        <f t="shared" ref="Y408" si="870">Y407/T407-1</f>
        <v>0.11789888359111522</v>
      </c>
      <c r="Z408" s="414">
        <f t="shared" ref="Z408" si="871">Z407/U407-1</f>
        <v>0.10561792529577185</v>
      </c>
      <c r="AA408" s="414">
        <f t="shared" ref="AA408" si="872">AA407/V407-1</f>
        <v>8.6763801404000196E-2</v>
      </c>
      <c r="AB408" s="414">
        <f t="shared" ref="AB408" si="873">AB407/W407-1</f>
        <v>7.2351421188630471E-2</v>
      </c>
      <c r="AC408" s="414">
        <f t="shared" ref="AC408" si="874">AC407/X407-1</f>
        <v>0.10126120280627782</v>
      </c>
      <c r="AD408" s="422">
        <f t="shared" ref="AD408" si="875">AD407/Y407-1</f>
        <v>8.1236276158417997E-2</v>
      </c>
      <c r="AE408" s="414" t="e">
        <f t="shared" ref="AE408" si="876">AE407/Z407-1</f>
        <v>#VALUE!</v>
      </c>
      <c r="AF408" s="414" t="e">
        <f t="shared" ref="AF408" si="877">AF407/AA407-1</f>
        <v>#VALUE!</v>
      </c>
      <c r="AG408" s="414" t="e">
        <f t="shared" ref="AG408" si="878">AG407/AB407-1</f>
        <v>#VALUE!</v>
      </c>
      <c r="AH408" s="280"/>
      <c r="AI408" s="320"/>
      <c r="AJ408" s="280"/>
      <c r="AK408" s="280"/>
      <c r="AL408" s="280"/>
      <c r="AM408" s="280"/>
      <c r="AN408" s="320"/>
      <c r="AO408" s="280"/>
      <c r="AP408" s="280"/>
      <c r="AQ408" s="280"/>
      <c r="AR408" s="280"/>
      <c r="AS408" s="320"/>
      <c r="AT408" s="315"/>
      <c r="AU408" s="508"/>
      <c r="AV408" s="143"/>
      <c r="AW408" s="143"/>
      <c r="AX408" s="143"/>
      <c r="AY408" s="143"/>
      <c r="AZ408" s="143"/>
      <c r="BA408" s="143"/>
      <c r="BB408" s="143"/>
      <c r="BC408" s="143"/>
      <c r="BD408" s="143"/>
      <c r="BE408" s="143"/>
      <c r="BF408" s="143"/>
      <c r="BG408" s="143"/>
      <c r="BH408" s="143"/>
      <c r="BI408" s="143"/>
      <c r="BJ408" s="143"/>
      <c r="BK408" s="143"/>
      <c r="BL408" s="143"/>
      <c r="BM408" s="143"/>
      <c r="BN408" s="143"/>
      <c r="BO408" s="143"/>
      <c r="BP408" s="143"/>
      <c r="BQ408" s="143"/>
      <c r="BR408" s="143"/>
      <c r="BS408" s="143"/>
      <c r="BT408" s="143"/>
      <c r="BU408" s="143"/>
      <c r="BV408" s="143"/>
      <c r="BW408" s="143"/>
      <c r="BX408" s="143"/>
      <c r="BY408" s="143"/>
      <c r="BZ408" s="143"/>
      <c r="CA408" s="143"/>
      <c r="CB408" s="143"/>
      <c r="CC408" s="143"/>
      <c r="CD408" s="143"/>
      <c r="CE408" s="143"/>
      <c r="CF408" s="143"/>
      <c r="CG408" s="143"/>
      <c r="CH408" s="143"/>
      <c r="CI408" s="143"/>
      <c r="CJ408" s="143"/>
      <c r="CK408" s="143"/>
      <c r="CL408" s="143"/>
      <c r="CM408" s="143"/>
      <c r="CN408" s="143"/>
      <c r="CO408" s="143"/>
      <c r="CP408" s="143"/>
      <c r="CQ408" s="143"/>
      <c r="CR408" s="143"/>
      <c r="CS408" s="143"/>
      <c r="CT408" s="143"/>
      <c r="CU408" s="143"/>
      <c r="CV408" s="143"/>
      <c r="CW408" s="143"/>
      <c r="CX408" s="143"/>
      <c r="CY408" s="143"/>
      <c r="CZ408" s="143"/>
      <c r="DA408" s="143"/>
      <c r="DB408" s="143"/>
      <c r="DC408" s="143"/>
      <c r="DD408" s="143"/>
      <c r="DE408" s="143"/>
      <c r="DF408" s="143"/>
      <c r="DG408" s="143"/>
      <c r="DH408" s="143"/>
      <c r="DI408" s="143"/>
      <c r="DJ408" s="143"/>
      <c r="DK408" s="143"/>
      <c r="DL408" s="143"/>
      <c r="DM408" s="143"/>
      <c r="DN408" s="143"/>
      <c r="DO408" s="143"/>
      <c r="DP408" s="143"/>
      <c r="DQ408" s="143"/>
      <c r="DR408" s="143"/>
      <c r="DS408" s="143"/>
      <c r="DT408" s="143"/>
      <c r="DU408" s="143"/>
      <c r="DV408" s="143"/>
      <c r="DW408" s="143"/>
      <c r="DX408" s="143"/>
      <c r="DY408" s="143"/>
      <c r="DZ408" s="143"/>
      <c r="EA408" s="143"/>
      <c r="EB408" s="143"/>
      <c r="EC408" s="143"/>
      <c r="ED408" s="143"/>
      <c r="EE408" s="143"/>
      <c r="EF408" s="143"/>
      <c r="EG408" s="143"/>
      <c r="EH408" s="143"/>
      <c r="EI408" s="143"/>
      <c r="EJ408" s="143"/>
      <c r="EK408" s="143"/>
      <c r="EL408" s="143"/>
      <c r="EM408" s="143"/>
      <c r="EN408" s="143"/>
      <c r="EO408" s="143"/>
      <c r="EP408" s="143"/>
      <c r="EQ408" s="143"/>
      <c r="ER408" s="143"/>
      <c r="ES408" s="143"/>
      <c r="ET408" s="143"/>
      <c r="EU408" s="143"/>
      <c r="EV408" s="143"/>
      <c r="EW408" s="143"/>
      <c r="EX408" s="143"/>
      <c r="EY408" s="143"/>
      <c r="EZ408" s="143"/>
      <c r="FA408" s="143"/>
      <c r="FB408" s="143"/>
      <c r="FC408" s="143"/>
      <c r="FD408" s="143"/>
      <c r="FE408" s="143"/>
      <c r="FF408" s="143"/>
      <c r="FG408" s="143"/>
      <c r="FH408" s="143"/>
      <c r="FI408" s="143"/>
      <c r="FJ408" s="143"/>
      <c r="FK408" s="143"/>
      <c r="FL408" s="143"/>
      <c r="FM408" s="143"/>
      <c r="FN408" s="143"/>
      <c r="FO408" s="143"/>
      <c r="FP408" s="143"/>
      <c r="FQ408" s="143"/>
      <c r="FR408" s="143"/>
      <c r="FS408" s="143"/>
      <c r="FT408" s="143"/>
      <c r="FU408" s="143"/>
      <c r="FV408" s="143"/>
      <c r="FW408" s="143"/>
      <c r="FX408" s="143"/>
      <c r="FY408" s="143"/>
      <c r="FZ408" s="143"/>
      <c r="GA408" s="143"/>
      <c r="GB408" s="143"/>
      <c r="GC408" s="143"/>
      <c r="GD408" s="143"/>
      <c r="GE408" s="143"/>
      <c r="GF408" s="143"/>
      <c r="GG408" s="143"/>
      <c r="GH408" s="143"/>
      <c r="GI408" s="143"/>
      <c r="GJ408" s="143"/>
      <c r="GK408" s="143"/>
      <c r="GL408" s="143"/>
      <c r="GM408" s="143"/>
      <c r="GN408" s="143"/>
      <c r="GO408" s="143"/>
      <c r="GP408" s="143"/>
      <c r="GQ408" s="143"/>
      <c r="GR408" s="143"/>
      <c r="GS408" s="143"/>
      <c r="GT408" s="143"/>
      <c r="GU408" s="143"/>
      <c r="GV408" s="143"/>
      <c r="GW408" s="143"/>
      <c r="GX408" s="143"/>
      <c r="GY408" s="143"/>
      <c r="GZ408" s="143"/>
      <c r="HA408" s="143"/>
      <c r="HB408" s="143"/>
      <c r="HC408" s="143"/>
      <c r="HD408" s="143"/>
      <c r="HE408" s="143"/>
      <c r="HF408" s="143"/>
      <c r="HG408" s="143"/>
      <c r="HH408" s="143"/>
      <c r="HI408" s="143"/>
      <c r="HJ408" s="143"/>
      <c r="HK408" s="143"/>
      <c r="HL408" s="143"/>
      <c r="HM408" s="143"/>
      <c r="HN408" s="143"/>
      <c r="HO408" s="143"/>
      <c r="HP408" s="143"/>
      <c r="HQ408" s="143"/>
      <c r="HR408" s="143"/>
      <c r="HS408" s="143"/>
      <c r="HT408" s="143"/>
      <c r="HU408" s="143"/>
      <c r="HV408" s="143"/>
      <c r="HW408" s="143"/>
      <c r="HX408" s="143"/>
      <c r="HY408" s="143"/>
      <c r="HZ408" s="143"/>
      <c r="IA408" s="143"/>
      <c r="IB408" s="143"/>
      <c r="IC408" s="143"/>
      <c r="ID408" s="143"/>
      <c r="IE408" s="143"/>
      <c r="IF408" s="143"/>
      <c r="IG408" s="143"/>
      <c r="IH408" s="143"/>
      <c r="II408" s="143"/>
      <c r="IJ408" s="143"/>
      <c r="IK408" s="143"/>
      <c r="IL408" s="143"/>
      <c r="IM408" s="143"/>
      <c r="IN408" s="143"/>
      <c r="IO408" s="143"/>
      <c r="IP408" s="143"/>
      <c r="IQ408" s="143"/>
      <c r="IR408" s="143"/>
      <c r="IS408" s="143"/>
      <c r="IT408" s="143"/>
      <c r="IU408" s="143"/>
      <c r="IV408" s="143"/>
      <c r="IW408" s="143"/>
      <c r="IX408" s="143"/>
      <c r="IY408" s="143"/>
      <c r="IZ408" s="143"/>
      <c r="JA408" s="143"/>
      <c r="JB408" s="143"/>
      <c r="JC408" s="143"/>
      <c r="JD408" s="143"/>
      <c r="JE408" s="143"/>
      <c r="JF408" s="143"/>
      <c r="JG408" s="143"/>
      <c r="JH408" s="143"/>
      <c r="JI408" s="143"/>
    </row>
    <row r="409" spans="1:269" hidden="1" outlineLevel="1">
      <c r="A409" s="437" t="s">
        <v>207</v>
      </c>
      <c r="B409" s="144"/>
      <c r="C409" s="417" t="e">
        <f>C407/#REF!-1</f>
        <v>#REF!</v>
      </c>
      <c r="D409" s="417" t="e">
        <f>D407/#REF!-1</f>
        <v>#REF!</v>
      </c>
      <c r="E409" s="417" t="e">
        <f>E407/#REF!-1</f>
        <v>#REF!</v>
      </c>
      <c r="F409" s="414" t="e">
        <f>F407/#REF!-1</f>
        <v>#REF!</v>
      </c>
      <c r="G409" s="414" t="e">
        <f>G407/#REF!-1</f>
        <v>#REF!</v>
      </c>
      <c r="H409" s="414" t="e">
        <f>H407/#REF!-1</f>
        <v>#REF!</v>
      </c>
      <c r="I409" s="414" t="e">
        <f>I407/#REF!-1</f>
        <v>#REF!</v>
      </c>
      <c r="J409" s="417" t="e">
        <f>J407/#REF!-1</f>
        <v>#REF!</v>
      </c>
      <c r="K409" s="414" t="e">
        <f>K407/#REF!-1</f>
        <v>#REF!</v>
      </c>
      <c r="L409" s="414" t="e">
        <f>L407/#REF!-1</f>
        <v>#REF!</v>
      </c>
      <c r="M409" s="414" t="e">
        <f>M407/#REF!-1</f>
        <v>#REF!</v>
      </c>
      <c r="N409" s="414" t="e">
        <f>N407/#REF!-1</f>
        <v>#REF!</v>
      </c>
      <c r="O409" s="417" t="e">
        <f>O407/#REF!-1</f>
        <v>#REF!</v>
      </c>
      <c r="P409" s="414" t="e">
        <f>P407/#REF!-1</f>
        <v>#REF!</v>
      </c>
      <c r="Q409" s="414" t="e">
        <f>Q407/#REF!-1</f>
        <v>#REF!</v>
      </c>
      <c r="R409" s="414" t="e">
        <f>R407/#REF!-1</f>
        <v>#REF!</v>
      </c>
      <c r="S409" s="414" t="e">
        <f>S407/#REF!-1</f>
        <v>#REF!</v>
      </c>
      <c r="T409" s="417" t="e">
        <f>T407/#REF!-1</f>
        <v>#REF!</v>
      </c>
      <c r="U409" s="414" t="e">
        <f>U407/#REF!-1</f>
        <v>#REF!</v>
      </c>
      <c r="V409" s="414" t="e">
        <f>V407/#REF!-1</f>
        <v>#REF!</v>
      </c>
      <c r="W409" s="414" t="e">
        <f>W407/#REF!-1</f>
        <v>#REF!</v>
      </c>
      <c r="X409" s="414" t="e">
        <f>X407/#REF!-1</f>
        <v>#REF!</v>
      </c>
      <c r="Y409" s="417" t="e">
        <f>Y407/#REF!-1</f>
        <v>#REF!</v>
      </c>
      <c r="Z409" s="414" t="e">
        <f>Z407/#REF!-1</f>
        <v>#REF!</v>
      </c>
      <c r="AA409" s="414" t="e">
        <f>AA407/#REF!-1</f>
        <v>#REF!</v>
      </c>
      <c r="AB409" s="414" t="e">
        <f>AB407/#REF!-1</f>
        <v>#REF!</v>
      </c>
      <c r="AC409" s="414" t="e">
        <f>AC407/#REF!-1</f>
        <v>#REF!</v>
      </c>
      <c r="AD409" s="422" t="e">
        <f>AD407/#REF!-1</f>
        <v>#REF!</v>
      </c>
      <c r="AE409" s="414" t="e">
        <f>AE407/#REF!-1</f>
        <v>#VALUE!</v>
      </c>
      <c r="AF409" s="414" t="e">
        <f>AF407/#REF!-1</f>
        <v>#VALUE!</v>
      </c>
      <c r="AG409" s="414" t="e">
        <f>AG407/#REF!-1</f>
        <v>#VALUE!</v>
      </c>
      <c r="AH409" s="280"/>
      <c r="AI409" s="320"/>
      <c r="AJ409" s="280"/>
      <c r="AK409" s="280"/>
      <c r="AL409" s="280"/>
      <c r="AM409" s="280"/>
      <c r="AN409" s="320"/>
      <c r="AO409" s="280"/>
      <c r="AP409" s="280"/>
      <c r="AQ409" s="280"/>
      <c r="AR409" s="280"/>
      <c r="AS409" s="320"/>
      <c r="AT409" s="315"/>
      <c r="AU409" s="508"/>
      <c r="AV409" s="143"/>
      <c r="AW409" s="143"/>
      <c r="AX409" s="143"/>
      <c r="AY409" s="143"/>
      <c r="AZ409" s="143"/>
      <c r="BA409" s="143"/>
      <c r="BB409" s="143"/>
      <c r="BC409" s="143"/>
      <c r="BD409" s="143"/>
      <c r="BE409" s="143"/>
      <c r="BF409" s="143"/>
      <c r="BG409" s="143"/>
      <c r="BH409" s="143"/>
      <c r="BI409" s="143"/>
      <c r="BJ409" s="143"/>
      <c r="BK409" s="143"/>
      <c r="BL409" s="143"/>
      <c r="BM409" s="143"/>
      <c r="BN409" s="143"/>
      <c r="BO409" s="143"/>
      <c r="BP409" s="143"/>
      <c r="BQ409" s="143"/>
      <c r="BR409" s="143"/>
      <c r="BS409" s="143"/>
      <c r="BT409" s="143"/>
      <c r="BU409" s="143"/>
      <c r="BV409" s="143"/>
      <c r="BW409" s="143"/>
      <c r="BX409" s="143"/>
      <c r="BY409" s="143"/>
      <c r="BZ409" s="143"/>
      <c r="CA409" s="143"/>
      <c r="CB409" s="143"/>
      <c r="CC409" s="143"/>
      <c r="CD409" s="143"/>
      <c r="CE409" s="143"/>
      <c r="CF409" s="143"/>
      <c r="CG409" s="143"/>
      <c r="CH409" s="143"/>
      <c r="CI409" s="143"/>
      <c r="CJ409" s="143"/>
      <c r="CK409" s="143"/>
      <c r="CL409" s="143"/>
      <c r="CM409" s="143"/>
      <c r="CN409" s="143"/>
      <c r="CO409" s="143"/>
      <c r="CP409" s="143"/>
      <c r="CQ409" s="143"/>
      <c r="CR409" s="143"/>
      <c r="CS409" s="143"/>
      <c r="CT409" s="143"/>
      <c r="CU409" s="143"/>
      <c r="CV409" s="143"/>
      <c r="CW409" s="143"/>
      <c r="CX409" s="143"/>
      <c r="CY409" s="143"/>
      <c r="CZ409" s="143"/>
      <c r="DA409" s="143"/>
      <c r="DB409" s="143"/>
      <c r="DC409" s="143"/>
      <c r="DD409" s="143"/>
      <c r="DE409" s="143"/>
      <c r="DF409" s="143"/>
      <c r="DG409" s="143"/>
      <c r="DH409" s="143"/>
      <c r="DI409" s="143"/>
      <c r="DJ409" s="143"/>
      <c r="DK409" s="143"/>
      <c r="DL409" s="143"/>
      <c r="DM409" s="143"/>
      <c r="DN409" s="143"/>
      <c r="DO409" s="143"/>
      <c r="DP409" s="143"/>
      <c r="DQ409" s="143"/>
      <c r="DR409" s="143"/>
      <c r="DS409" s="143"/>
      <c r="DT409" s="143"/>
      <c r="DU409" s="143"/>
      <c r="DV409" s="143"/>
      <c r="DW409" s="143"/>
      <c r="DX409" s="143"/>
      <c r="DY409" s="143"/>
      <c r="DZ409" s="143"/>
      <c r="EA409" s="143"/>
      <c r="EB409" s="143"/>
      <c r="EC409" s="143"/>
      <c r="ED409" s="143"/>
      <c r="EE409" s="143"/>
      <c r="EF409" s="143"/>
      <c r="EG409" s="143"/>
      <c r="EH409" s="143"/>
      <c r="EI409" s="143"/>
      <c r="EJ409" s="143"/>
      <c r="EK409" s="143"/>
      <c r="EL409" s="143"/>
      <c r="EM409" s="143"/>
      <c r="EN409" s="143"/>
      <c r="EO409" s="143"/>
      <c r="EP409" s="143"/>
      <c r="EQ409" s="143"/>
      <c r="ER409" s="143"/>
      <c r="ES409" s="143"/>
      <c r="ET409" s="143"/>
      <c r="EU409" s="143"/>
      <c r="EV409" s="143"/>
      <c r="EW409" s="143"/>
      <c r="EX409" s="143"/>
      <c r="EY409" s="143"/>
      <c r="EZ409" s="143"/>
      <c r="FA409" s="143"/>
      <c r="FB409" s="143"/>
      <c r="FC409" s="143"/>
      <c r="FD409" s="143"/>
      <c r="FE409" s="143"/>
      <c r="FF409" s="143"/>
      <c r="FG409" s="143"/>
      <c r="FH409" s="143"/>
      <c r="FI409" s="143"/>
      <c r="FJ409" s="143"/>
      <c r="FK409" s="143"/>
      <c r="FL409" s="143"/>
      <c r="FM409" s="143"/>
      <c r="FN409" s="143"/>
      <c r="FO409" s="143"/>
      <c r="FP409" s="143"/>
      <c r="FQ409" s="143"/>
      <c r="FR409" s="143"/>
      <c r="FS409" s="143"/>
      <c r="FT409" s="143"/>
      <c r="FU409" s="143"/>
      <c r="FV409" s="143"/>
      <c r="FW409" s="143"/>
      <c r="FX409" s="143"/>
      <c r="FY409" s="143"/>
      <c r="FZ409" s="143"/>
      <c r="GA409" s="143"/>
      <c r="GB409" s="143"/>
      <c r="GC409" s="143"/>
      <c r="GD409" s="143"/>
      <c r="GE409" s="143"/>
      <c r="GF409" s="143"/>
      <c r="GG409" s="143"/>
      <c r="GH409" s="143"/>
      <c r="GI409" s="143"/>
      <c r="GJ409" s="143"/>
      <c r="GK409" s="143"/>
      <c r="GL409" s="143"/>
      <c r="GM409" s="143"/>
      <c r="GN409" s="143"/>
      <c r="GO409" s="143"/>
      <c r="GP409" s="143"/>
      <c r="GQ409" s="143"/>
      <c r="GR409" s="143"/>
      <c r="GS409" s="143"/>
      <c r="GT409" s="143"/>
      <c r="GU409" s="143"/>
      <c r="GV409" s="143"/>
      <c r="GW409" s="143"/>
      <c r="GX409" s="143"/>
      <c r="GY409" s="143"/>
      <c r="GZ409" s="143"/>
      <c r="HA409" s="143"/>
      <c r="HB409" s="143"/>
      <c r="HC409" s="143"/>
      <c r="HD409" s="143"/>
      <c r="HE409" s="143"/>
      <c r="HF409" s="143"/>
      <c r="HG409" s="143"/>
      <c r="HH409" s="143"/>
      <c r="HI409" s="143"/>
      <c r="HJ409" s="143"/>
      <c r="HK409" s="143"/>
      <c r="HL409" s="143"/>
      <c r="HM409" s="143"/>
      <c r="HN409" s="143"/>
      <c r="HO409" s="143"/>
      <c r="HP409" s="143"/>
      <c r="HQ409" s="143"/>
      <c r="HR409" s="143"/>
      <c r="HS409" s="143"/>
      <c r="HT409" s="143"/>
      <c r="HU409" s="143"/>
      <c r="HV409" s="143"/>
      <c r="HW409" s="143"/>
      <c r="HX409" s="143"/>
      <c r="HY409" s="143"/>
      <c r="HZ409" s="143"/>
      <c r="IA409" s="143"/>
      <c r="IB409" s="143"/>
      <c r="IC409" s="143"/>
      <c r="ID409" s="143"/>
      <c r="IE409" s="143"/>
      <c r="IF409" s="143"/>
      <c r="IG409" s="143"/>
      <c r="IH409" s="143"/>
      <c r="II409" s="143"/>
      <c r="IJ409" s="143"/>
      <c r="IK409" s="143"/>
      <c r="IL409" s="143"/>
      <c r="IM409" s="143"/>
      <c r="IN409" s="143"/>
      <c r="IO409" s="143"/>
      <c r="IP409" s="143"/>
      <c r="IQ409" s="143"/>
      <c r="IR409" s="143"/>
      <c r="IS409" s="143"/>
      <c r="IT409" s="143"/>
      <c r="IU409" s="143"/>
      <c r="IV409" s="143"/>
      <c r="IW409" s="143"/>
      <c r="IX409" s="143"/>
      <c r="IY409" s="143"/>
      <c r="IZ409" s="143"/>
      <c r="JA409" s="143"/>
      <c r="JB409" s="143"/>
      <c r="JC409" s="143"/>
      <c r="JD409" s="143"/>
      <c r="JE409" s="143"/>
      <c r="JF409" s="143"/>
      <c r="JG409" s="143"/>
      <c r="JH409" s="143"/>
      <c r="JI409" s="143"/>
    </row>
    <row r="410" spans="1:269" hidden="1" outlineLevel="1">
      <c r="A410" s="437"/>
      <c r="B410" s="144"/>
      <c r="C410" s="417"/>
      <c r="D410" s="417"/>
      <c r="E410" s="417"/>
      <c r="F410" s="414"/>
      <c r="G410" s="414"/>
      <c r="H410" s="414"/>
      <c r="I410" s="414"/>
      <c r="J410" s="417"/>
      <c r="K410" s="414"/>
      <c r="L410" s="414"/>
      <c r="M410" s="414"/>
      <c r="N410" s="414"/>
      <c r="O410" s="417"/>
      <c r="P410" s="414"/>
      <c r="Q410" s="414"/>
      <c r="R410" s="414"/>
      <c r="S410" s="414"/>
      <c r="T410" s="417"/>
      <c r="U410" s="414"/>
      <c r="V410" s="414"/>
      <c r="W410" s="414"/>
      <c r="X410" s="414"/>
      <c r="Y410" s="417"/>
      <c r="Z410" s="414"/>
      <c r="AA410" s="414"/>
      <c r="AB410" s="414"/>
      <c r="AC410" s="414"/>
      <c r="AD410" s="422"/>
      <c r="AE410" s="414"/>
      <c r="AF410" s="414"/>
      <c r="AG410" s="414"/>
      <c r="AH410" s="280"/>
      <c r="AI410" s="320"/>
      <c r="AJ410" s="280"/>
      <c r="AK410" s="280"/>
      <c r="AL410" s="280"/>
      <c r="AM410" s="280"/>
      <c r="AN410" s="320"/>
      <c r="AO410" s="280"/>
      <c r="AP410" s="280"/>
      <c r="AQ410" s="280"/>
      <c r="AR410" s="280"/>
      <c r="AS410" s="320"/>
      <c r="AT410" s="315"/>
      <c r="AU410" s="508"/>
      <c r="AV410" s="143"/>
      <c r="AW410" s="143"/>
      <c r="AX410" s="143"/>
      <c r="AY410" s="143"/>
      <c r="AZ410" s="143"/>
      <c r="BA410" s="143"/>
      <c r="BB410" s="143"/>
      <c r="BC410" s="143"/>
      <c r="BD410" s="143"/>
      <c r="BE410" s="143"/>
      <c r="BF410" s="143"/>
      <c r="BG410" s="143"/>
      <c r="BH410" s="143"/>
      <c r="BI410" s="143"/>
      <c r="BJ410" s="143"/>
      <c r="BK410" s="143"/>
      <c r="BL410" s="143"/>
      <c r="BM410" s="143"/>
      <c r="BN410" s="143"/>
      <c r="BO410" s="143"/>
      <c r="BP410" s="143"/>
      <c r="BQ410" s="143"/>
      <c r="BR410" s="143"/>
      <c r="BS410" s="143"/>
      <c r="BT410" s="143"/>
      <c r="BU410" s="143"/>
      <c r="BV410" s="143"/>
      <c r="BW410" s="143"/>
      <c r="BX410" s="143"/>
      <c r="BY410" s="143"/>
      <c r="BZ410" s="143"/>
      <c r="CA410" s="143"/>
      <c r="CB410" s="143"/>
      <c r="CC410" s="143"/>
      <c r="CD410" s="143"/>
      <c r="CE410" s="143"/>
      <c r="CF410" s="143"/>
      <c r="CG410" s="143"/>
      <c r="CH410" s="143"/>
      <c r="CI410" s="143"/>
      <c r="CJ410" s="143"/>
      <c r="CK410" s="143"/>
      <c r="CL410" s="143"/>
      <c r="CM410" s="143"/>
      <c r="CN410" s="143"/>
      <c r="CO410" s="143"/>
      <c r="CP410" s="143"/>
      <c r="CQ410" s="143"/>
      <c r="CR410" s="143"/>
      <c r="CS410" s="143"/>
      <c r="CT410" s="143"/>
      <c r="CU410" s="143"/>
      <c r="CV410" s="143"/>
      <c r="CW410" s="143"/>
      <c r="CX410" s="143"/>
      <c r="CY410" s="143"/>
      <c r="CZ410" s="143"/>
      <c r="DA410" s="143"/>
      <c r="DB410" s="143"/>
      <c r="DC410" s="143"/>
      <c r="DD410" s="143"/>
      <c r="DE410" s="143"/>
      <c r="DF410" s="143"/>
      <c r="DG410" s="143"/>
      <c r="DH410" s="143"/>
      <c r="DI410" s="143"/>
      <c r="DJ410" s="143"/>
      <c r="DK410" s="143"/>
      <c r="DL410" s="143"/>
      <c r="DM410" s="143"/>
      <c r="DN410" s="143"/>
      <c r="DO410" s="143"/>
      <c r="DP410" s="143"/>
      <c r="DQ410" s="143"/>
      <c r="DR410" s="143"/>
      <c r="DS410" s="143"/>
      <c r="DT410" s="143"/>
      <c r="DU410" s="143"/>
      <c r="DV410" s="143"/>
      <c r="DW410" s="143"/>
      <c r="DX410" s="143"/>
      <c r="DY410" s="143"/>
      <c r="DZ410" s="143"/>
      <c r="EA410" s="143"/>
      <c r="EB410" s="143"/>
      <c r="EC410" s="143"/>
      <c r="ED410" s="143"/>
      <c r="EE410" s="143"/>
      <c r="EF410" s="143"/>
      <c r="EG410" s="143"/>
      <c r="EH410" s="143"/>
      <c r="EI410" s="143"/>
      <c r="EJ410" s="143"/>
      <c r="EK410" s="143"/>
      <c r="EL410" s="143"/>
      <c r="EM410" s="143"/>
      <c r="EN410" s="143"/>
      <c r="EO410" s="143"/>
      <c r="EP410" s="143"/>
      <c r="EQ410" s="143"/>
      <c r="ER410" s="143"/>
      <c r="ES410" s="143"/>
      <c r="ET410" s="143"/>
      <c r="EU410" s="143"/>
      <c r="EV410" s="143"/>
      <c r="EW410" s="143"/>
      <c r="EX410" s="143"/>
      <c r="EY410" s="143"/>
      <c r="EZ410" s="143"/>
      <c r="FA410" s="143"/>
      <c r="FB410" s="143"/>
      <c r="FC410" s="143"/>
      <c r="FD410" s="143"/>
      <c r="FE410" s="143"/>
      <c r="FF410" s="143"/>
      <c r="FG410" s="143"/>
      <c r="FH410" s="143"/>
      <c r="FI410" s="143"/>
      <c r="FJ410" s="143"/>
      <c r="FK410" s="143"/>
      <c r="FL410" s="143"/>
      <c r="FM410" s="143"/>
      <c r="FN410" s="143"/>
      <c r="FO410" s="143"/>
      <c r="FP410" s="143"/>
      <c r="FQ410" s="143"/>
      <c r="FR410" s="143"/>
      <c r="FS410" s="143"/>
      <c r="FT410" s="143"/>
      <c r="FU410" s="143"/>
      <c r="FV410" s="143"/>
      <c r="FW410" s="143"/>
      <c r="FX410" s="143"/>
      <c r="FY410" s="143"/>
      <c r="FZ410" s="143"/>
      <c r="GA410" s="143"/>
      <c r="GB410" s="143"/>
      <c r="GC410" s="143"/>
      <c r="GD410" s="143"/>
      <c r="GE410" s="143"/>
      <c r="GF410" s="143"/>
      <c r="GG410" s="143"/>
      <c r="GH410" s="143"/>
      <c r="GI410" s="143"/>
      <c r="GJ410" s="143"/>
      <c r="GK410" s="143"/>
      <c r="GL410" s="143"/>
      <c r="GM410" s="143"/>
      <c r="GN410" s="143"/>
      <c r="GO410" s="143"/>
      <c r="GP410" s="143"/>
      <c r="GQ410" s="143"/>
      <c r="GR410" s="143"/>
      <c r="GS410" s="143"/>
      <c r="GT410" s="143"/>
      <c r="GU410" s="143"/>
      <c r="GV410" s="143"/>
      <c r="GW410" s="143"/>
      <c r="GX410" s="143"/>
      <c r="GY410" s="143"/>
      <c r="GZ410" s="143"/>
      <c r="HA410" s="143"/>
      <c r="HB410" s="143"/>
      <c r="HC410" s="143"/>
      <c r="HD410" s="143"/>
      <c r="HE410" s="143"/>
      <c r="HF410" s="143"/>
      <c r="HG410" s="143"/>
      <c r="HH410" s="143"/>
      <c r="HI410" s="143"/>
      <c r="HJ410" s="143"/>
      <c r="HK410" s="143"/>
      <c r="HL410" s="143"/>
      <c r="HM410" s="143"/>
      <c r="HN410" s="143"/>
      <c r="HO410" s="143"/>
      <c r="HP410" s="143"/>
      <c r="HQ410" s="143"/>
      <c r="HR410" s="143"/>
      <c r="HS410" s="143"/>
      <c r="HT410" s="143"/>
      <c r="HU410" s="143"/>
      <c r="HV410" s="143"/>
      <c r="HW410" s="143"/>
      <c r="HX410" s="143"/>
      <c r="HY410" s="143"/>
      <c r="HZ410" s="143"/>
      <c r="IA410" s="143"/>
      <c r="IB410" s="143"/>
      <c r="IC410" s="143"/>
      <c r="ID410" s="143"/>
      <c r="IE410" s="143"/>
      <c r="IF410" s="143"/>
      <c r="IG410" s="143"/>
      <c r="IH410" s="143"/>
      <c r="II410" s="143"/>
      <c r="IJ410" s="143"/>
      <c r="IK410" s="143"/>
      <c r="IL410" s="143"/>
      <c r="IM410" s="143"/>
      <c r="IN410" s="143"/>
      <c r="IO410" s="143"/>
      <c r="IP410" s="143"/>
      <c r="IQ410" s="143"/>
      <c r="IR410" s="143"/>
      <c r="IS410" s="143"/>
      <c r="IT410" s="143"/>
      <c r="IU410" s="143"/>
      <c r="IV410" s="143"/>
      <c r="IW410" s="143"/>
      <c r="IX410" s="143"/>
      <c r="IY410" s="143"/>
      <c r="IZ410" s="143"/>
      <c r="JA410" s="143"/>
      <c r="JB410" s="143"/>
      <c r="JC410" s="143"/>
      <c r="JD410" s="143"/>
      <c r="JE410" s="143"/>
      <c r="JF410" s="143"/>
      <c r="JG410" s="143"/>
      <c r="JH410" s="143"/>
      <c r="JI410" s="143"/>
    </row>
    <row r="411" spans="1:269" hidden="1" outlineLevel="1">
      <c r="A411" s="83" t="s">
        <v>267</v>
      </c>
      <c r="B411" s="144" t="s">
        <v>268</v>
      </c>
      <c r="C411" s="74" t="e">
        <f>SUM(#REF!)</f>
        <v>#REF!</v>
      </c>
      <c r="D411" s="74" t="e">
        <f>SUM(#REF!)</f>
        <v>#REF!</v>
      </c>
      <c r="E411" s="74" t="e">
        <f>SUM(#REF!)</f>
        <v>#REF!</v>
      </c>
      <c r="F411" s="445" t="e">
        <f>_xll.BQL.QUERY("get(sum(px_last(start=" &amp; TEXT(#REF!, "YYYY-MM-DD") &amp; ", end=" &amp; TEXT(F$5, "YYYY-MM-DD") &amp; "))) for('"&amp;$B411&amp;"')")</f>
        <v>#REF!</v>
      </c>
      <c r="G411" s="445">
        <f>_xll.BQL.QUERY("get(sum(px_last(start=" &amp; TEXT(F$5, "YYYY-MM-DD") &amp; ", end=" &amp; TEXT(G$5, "YYYY-MM-DD") &amp; "))) for('"&amp;$B411&amp;"')")</f>
        <v>17237844</v>
      </c>
      <c r="H411" s="445">
        <f>_xll.BQL.QUERY("get(sum(px_last(start=" &amp; TEXT(G$5, "YYYY-MM-DD") &amp; ", end=" &amp; TEXT(H$5, "YYYY-MM-DD") &amp; "))) for('"&amp;$B411&amp;"')")</f>
        <v>28677352</v>
      </c>
      <c r="I411" s="445">
        <f>_xll.BQL.QUERY("get(sum(px_last(start=" &amp; TEXT(H$5, "YYYY-MM-DD") &amp; ", end=" &amp; TEXT(I$5, "YYYY-MM-DD") &amp; "))) for('"&amp;$B411&amp;"')")</f>
        <v>13257953</v>
      </c>
      <c r="J411" s="74" t="e">
        <f>SUM(#REF!)</f>
        <v>#REF!</v>
      </c>
      <c r="K411" s="445" t="e">
        <f>_xll.BQL.QUERY("get(sum(px_last(start=" &amp; TEXT(#REF!, "YYYY-MM-DD") &amp; ", end=" &amp; TEXT(K$5, "YYYY-MM-DD") &amp; "))) for('"&amp;$B411&amp;"')")</f>
        <v>#REF!</v>
      </c>
      <c r="L411" s="445">
        <f>_xll.BQL.QUERY("get(sum(px_last(start=" &amp; TEXT(K$5, "YYYY-MM-DD") &amp; ", end=" &amp; TEXT(L$5, "YYYY-MM-DD") &amp; "))) for('"&amp;$B411&amp;"')")</f>
        <v>2253315</v>
      </c>
      <c r="M411" s="445">
        <f>_xll.BQL.QUERY("get(sum(px_last(start=" &amp; TEXT(L$5, "YYYY-MM-DD") &amp; ", end=" &amp; TEXT(M$5, "YYYY-MM-DD") &amp; "))) for('"&amp;$B411&amp;"')")</f>
        <v>11302277</v>
      </c>
      <c r="N411" s="445">
        <f>_xll.BQL.QUERY("get(sum(px_last(start=" &amp; TEXT(M$5, "YYYY-MM-DD") &amp; ", end=" &amp; TEXT(N$5, "YYYY-MM-DD") &amp; "))) for('"&amp;$B411&amp;"')")</f>
        <v>4901553</v>
      </c>
      <c r="O411" s="74" t="e">
        <f>SUM(K411:N411)</f>
        <v>#REF!</v>
      </c>
      <c r="P411" s="445">
        <f>_xll.BQL.QUERY("get(sum(px_last(start=" &amp; TEXT(O$5, "YYYY-MM-DD") &amp; ", end=" &amp; TEXT(P$5, "YYYY-MM-DD") &amp; "))) for('"&amp;$B411&amp;"')")</f>
        <v>3268210</v>
      </c>
      <c r="Q411" s="445">
        <f>_xll.BQL.QUERY("get(sum(px_last(start=" &amp; TEXT(P$5, "YYYY-MM-DD") &amp; ", end=" &amp; TEXT(Q$5, "YYYY-MM-DD") &amp; "))) for('"&amp;$B411&amp;"')")</f>
        <v>6178460</v>
      </c>
      <c r="R411" s="445">
        <f>_xll.BQL.QUERY("get(sum(px_last(start=" &amp; TEXT(Q$5, "YYYY-MM-DD") &amp; ", end=" &amp; TEXT(R$5, "YYYY-MM-DD") &amp; "))) for('"&amp;$B411&amp;"')")</f>
        <v>23397772</v>
      </c>
      <c r="S411" s="445">
        <f>_xll.BQL.QUERY("get(sum(px_last(start=" &amp; TEXT(R$5, "YYYY-MM-DD") &amp; ", end=" &amp; TEXT(S$5, "YYYY-MM-DD") &amp; "))) for('"&amp;$B411&amp;"')")</f>
        <v>16222063</v>
      </c>
      <c r="T411" s="74">
        <f>SUM(P411:S411)</f>
        <v>49066505</v>
      </c>
      <c r="U411" s="445">
        <f>_xll.BQL.QUERY("get(sum(px_last(start=" &amp; TEXT(T$5, "YYYY-MM-DD") &amp; ", end=" &amp; TEXT(U$5, "YYYY-MM-DD") &amp; "))) for('"&amp;$B411&amp;"')")</f>
        <v>13344700</v>
      </c>
      <c r="V411" s="445">
        <f>_xll.BQL.QUERY("get(sum(px_last(start=" &amp; TEXT(U$5, "YYYY-MM-DD") &amp; ", end=" &amp; TEXT(V$5, "YYYY-MM-DD") &amp; "))) for('"&amp;$B411&amp;"')")</f>
        <v>20061986</v>
      </c>
      <c r="W411" s="445">
        <f>_xll.BQL.QUERY("get(sum(px_last(start=" &amp; TEXT(V$5, "YYYY-MM-DD") &amp; ", end=" &amp; TEXT(W$5, "YYYY-MM-DD") &amp; "))) for('"&amp;$B411&amp;"')")</f>
        <v>34871571</v>
      </c>
      <c r="X411" s="445">
        <f>_xll.BQL.QUERY("get(sum(px_last(start=" &amp; TEXT(W$5, "YYYY-MM-DD") &amp; ", end=" &amp; TEXT(X$5, "YYYY-MM-DD") &amp; "))) for('"&amp;$B411&amp;"')")</f>
        <v>20111337</v>
      </c>
      <c r="Y411" s="74">
        <f>SUM(U411:X411)</f>
        <v>88389594</v>
      </c>
      <c r="Z411" s="445">
        <f>_xll.BQL.QUERY("get(sum(px_last(start=" &amp; TEXT(Y$5, "YYYY-MM-DD") &amp; ", end=" &amp; TEXT(Z$5, "YYYY-MM-DD") &amp; "))) for('"&amp;$B411&amp;"')")</f>
        <v>15849857</v>
      </c>
      <c r="AA411" s="445">
        <f>_xll.BQL.QUERY("get(sum(px_last(start=" &amp; TEXT(Z$5, "YYYY-MM-DD") &amp; ", end=" &amp; TEXT(AA$5, "YYYY-MM-DD") &amp; "))) for('"&amp;$B411&amp;"')")</f>
        <v>20954116</v>
      </c>
      <c r="AB411" s="445">
        <f>_xll.BQL.QUERY("get(sum(px_last(start=" &amp; TEXT(AA$5, "YYYY-MM-DD") &amp; ", end=" &amp; TEXT(AB$5, "YYYY-MM-DD") &amp; "))) for('"&amp;$B411&amp;"')")</f>
        <v>33343847</v>
      </c>
      <c r="AC411" s="445">
        <f>_xll.BQL.QUERY("get(sum(px_last(start=" &amp; TEXT(AB$5, "YYYY-MM-DD") &amp; ", end=" &amp; TEXT(AC$5, "YYYY-MM-DD") &amp; "))) for('"&amp;$B411&amp;"')")</f>
        <v>6783808</v>
      </c>
      <c r="AD411" s="283">
        <f>SUM(Z411:AC411)</f>
        <v>76931628</v>
      </c>
      <c r="AE411" s="445" t="str">
        <f>_xll.BQL.QUERY("get(sum(px_last(start=" &amp; TEXT(AD$5, "YYYY-MM-DD") &amp; ", end=" &amp; TEXT(AE$5, "YYYY-MM-DD") &amp; "))) for('"&amp;$B411&amp;"')")</f>
        <v>#N/A</v>
      </c>
      <c r="AF411" s="445" t="str">
        <f>_xll.BQL.QUERY("get(sum(px_last(start=" &amp; TEXT(AE$5, "YYYY-MM-DD") &amp; ", end=" &amp; TEXT(AF$5, "YYYY-MM-DD") &amp; "))) for('"&amp;$B411&amp;"')")</f>
        <v>#N/A</v>
      </c>
      <c r="AG411" s="445"/>
      <c r="AH411" s="280"/>
      <c r="AI411" s="320"/>
      <c r="AJ411" s="280"/>
      <c r="AK411" s="280"/>
      <c r="AL411" s="280"/>
      <c r="AM411" s="280"/>
      <c r="AN411" s="320"/>
      <c r="AO411" s="280"/>
      <c r="AP411" s="280"/>
      <c r="AQ411" s="280"/>
      <c r="AR411" s="280"/>
      <c r="AS411" s="320"/>
      <c r="AT411" s="315"/>
      <c r="AU411" s="508"/>
      <c r="AV411" s="143"/>
      <c r="AW411" s="143"/>
      <c r="AX411" s="143"/>
      <c r="AY411" s="143"/>
      <c r="AZ411" s="143"/>
      <c r="BA411" s="143"/>
      <c r="BB411" s="143"/>
      <c r="BC411" s="143"/>
      <c r="BD411" s="143"/>
      <c r="BE411" s="143"/>
      <c r="BF411" s="143"/>
      <c r="BG411" s="143"/>
      <c r="BH411" s="143"/>
      <c r="BI411" s="143"/>
      <c r="BJ411" s="143"/>
      <c r="BK411" s="143"/>
      <c r="BL411" s="143"/>
      <c r="BM411" s="143"/>
      <c r="BN411" s="143"/>
      <c r="BO411" s="143"/>
      <c r="BP411" s="143"/>
      <c r="BQ411" s="143"/>
      <c r="BR411" s="143"/>
      <c r="BS411" s="143"/>
      <c r="BT411" s="143"/>
      <c r="BU411" s="143"/>
      <c r="BV411" s="143"/>
      <c r="BW411" s="143"/>
      <c r="BX411" s="143"/>
      <c r="BY411" s="143"/>
      <c r="BZ411" s="143"/>
      <c r="CA411" s="143"/>
      <c r="CB411" s="143"/>
      <c r="CC411" s="143"/>
      <c r="CD411" s="143"/>
      <c r="CE411" s="143"/>
      <c r="CF411" s="143"/>
      <c r="CG411" s="143"/>
      <c r="CH411" s="143"/>
      <c r="CI411" s="143"/>
      <c r="CJ411" s="143"/>
      <c r="CK411" s="143"/>
      <c r="CL411" s="143"/>
      <c r="CM411" s="143"/>
      <c r="CN411" s="143"/>
      <c r="CO411" s="143"/>
      <c r="CP411" s="143"/>
      <c r="CQ411" s="143"/>
      <c r="CR411" s="143"/>
      <c r="CS411" s="143"/>
      <c r="CT411" s="143"/>
      <c r="CU411" s="143"/>
      <c r="CV411" s="143"/>
      <c r="CW411" s="143"/>
      <c r="CX411" s="143"/>
      <c r="CY411" s="143"/>
      <c r="CZ411" s="143"/>
      <c r="DA411" s="143"/>
      <c r="DB411" s="143"/>
      <c r="DC411" s="143"/>
      <c r="DD411" s="143"/>
      <c r="DE411" s="143"/>
      <c r="DF411" s="143"/>
      <c r="DG411" s="143"/>
      <c r="DH411" s="143"/>
      <c r="DI411" s="143"/>
      <c r="DJ411" s="143"/>
      <c r="DK411" s="143"/>
      <c r="DL411" s="143"/>
      <c r="DM411" s="143"/>
      <c r="DN411" s="143"/>
      <c r="DO411" s="143"/>
      <c r="DP411" s="143"/>
      <c r="DQ411" s="143"/>
      <c r="DR411" s="143"/>
      <c r="DS411" s="143"/>
      <c r="DT411" s="143"/>
      <c r="DU411" s="143"/>
      <c r="DV411" s="143"/>
      <c r="DW411" s="143"/>
      <c r="DX411" s="143"/>
      <c r="DY411" s="143"/>
      <c r="DZ411" s="143"/>
      <c r="EA411" s="143"/>
      <c r="EB411" s="143"/>
      <c r="EC411" s="143"/>
      <c r="ED411" s="143"/>
      <c r="EE411" s="143"/>
      <c r="EF411" s="143"/>
      <c r="EG411" s="143"/>
      <c r="EH411" s="143"/>
      <c r="EI411" s="143"/>
      <c r="EJ411" s="143"/>
      <c r="EK411" s="143"/>
      <c r="EL411" s="143"/>
      <c r="EM411" s="143"/>
      <c r="EN411" s="143"/>
      <c r="EO411" s="143"/>
      <c r="EP411" s="143"/>
      <c r="EQ411" s="143"/>
      <c r="ER411" s="143"/>
      <c r="ES411" s="143"/>
      <c r="ET411" s="143"/>
      <c r="EU411" s="143"/>
      <c r="EV411" s="143"/>
      <c r="EW411" s="143"/>
      <c r="EX411" s="143"/>
      <c r="EY411" s="143"/>
      <c r="EZ411" s="143"/>
      <c r="FA411" s="143"/>
      <c r="FB411" s="143"/>
      <c r="FC411" s="143"/>
      <c r="FD411" s="143"/>
      <c r="FE411" s="143"/>
      <c r="FF411" s="143"/>
      <c r="FG411" s="143"/>
      <c r="FH411" s="143"/>
      <c r="FI411" s="143"/>
      <c r="FJ411" s="143"/>
      <c r="FK411" s="143"/>
      <c r="FL411" s="143"/>
      <c r="FM411" s="143"/>
      <c r="FN411" s="143"/>
      <c r="FO411" s="143"/>
      <c r="FP411" s="143"/>
      <c r="FQ411" s="143"/>
      <c r="FR411" s="143"/>
      <c r="FS411" s="143"/>
      <c r="FT411" s="143"/>
      <c r="FU411" s="143"/>
      <c r="FV411" s="143"/>
      <c r="FW411" s="143"/>
      <c r="FX411" s="143"/>
      <c r="FY411" s="143"/>
      <c r="FZ411" s="143"/>
      <c r="GA411" s="143"/>
      <c r="GB411" s="143"/>
      <c r="GC411" s="143"/>
      <c r="GD411" s="143"/>
      <c r="GE411" s="143"/>
      <c r="GF411" s="143"/>
      <c r="GG411" s="143"/>
      <c r="GH411" s="143"/>
      <c r="GI411" s="143"/>
      <c r="GJ411" s="143"/>
      <c r="GK411" s="143"/>
      <c r="GL411" s="143"/>
      <c r="GM411" s="143"/>
      <c r="GN411" s="143"/>
      <c r="GO411" s="143"/>
      <c r="GP411" s="143"/>
      <c r="GQ411" s="143"/>
      <c r="GR411" s="143"/>
      <c r="GS411" s="143"/>
      <c r="GT411" s="143"/>
      <c r="GU411" s="143"/>
      <c r="GV411" s="143"/>
      <c r="GW411" s="143"/>
      <c r="GX411" s="143"/>
      <c r="GY411" s="143"/>
      <c r="GZ411" s="143"/>
      <c r="HA411" s="143"/>
      <c r="HB411" s="143"/>
      <c r="HC411" s="143"/>
      <c r="HD411" s="143"/>
      <c r="HE411" s="143"/>
      <c r="HF411" s="143"/>
      <c r="HG411" s="143"/>
      <c r="HH411" s="143"/>
      <c r="HI411" s="143"/>
      <c r="HJ411" s="143"/>
      <c r="HK411" s="143"/>
      <c r="HL411" s="143"/>
      <c r="HM411" s="143"/>
      <c r="HN411" s="143"/>
      <c r="HO411" s="143"/>
      <c r="HP411" s="143"/>
      <c r="HQ411" s="143"/>
      <c r="HR411" s="143"/>
      <c r="HS411" s="143"/>
      <c r="HT411" s="143"/>
      <c r="HU411" s="143"/>
      <c r="HV411" s="143"/>
      <c r="HW411" s="143"/>
      <c r="HX411" s="143"/>
      <c r="HY411" s="143"/>
      <c r="HZ411" s="143"/>
      <c r="IA411" s="143"/>
      <c r="IB411" s="143"/>
      <c r="IC411" s="143"/>
      <c r="ID411" s="143"/>
      <c r="IE411" s="143"/>
      <c r="IF411" s="143"/>
      <c r="IG411" s="143"/>
      <c r="IH411" s="143"/>
      <c r="II411" s="143"/>
      <c r="IJ411" s="143"/>
      <c r="IK411" s="143"/>
      <c r="IL411" s="143"/>
      <c r="IM411" s="143"/>
      <c r="IN411" s="143"/>
      <c r="IO411" s="143"/>
      <c r="IP411" s="143"/>
      <c r="IQ411" s="143"/>
      <c r="IR411" s="143"/>
      <c r="IS411" s="143"/>
      <c r="IT411" s="143"/>
      <c r="IU411" s="143"/>
      <c r="IV411" s="143"/>
      <c r="IW411" s="143"/>
      <c r="IX411" s="143"/>
      <c r="IY411" s="143"/>
      <c r="IZ411" s="143"/>
      <c r="JA411" s="143"/>
      <c r="JB411" s="143"/>
      <c r="JC411" s="143"/>
      <c r="JD411" s="143"/>
      <c r="JE411" s="143"/>
      <c r="JF411" s="143"/>
      <c r="JG411" s="143"/>
      <c r="JH411" s="143"/>
      <c r="JI411" s="143"/>
    </row>
    <row r="412" spans="1:269" hidden="1" outlineLevel="1">
      <c r="A412" s="437" t="s">
        <v>208</v>
      </c>
      <c r="B412" s="144"/>
      <c r="C412" s="417" t="e">
        <f>C411/#REF!-1</f>
        <v>#REF!</v>
      </c>
      <c r="D412" s="417" t="e">
        <f>D411/#REF!-1</f>
        <v>#REF!</v>
      </c>
      <c r="E412" s="417" t="e">
        <f>E411/#REF!-1</f>
        <v>#REF!</v>
      </c>
      <c r="F412" s="414" t="e">
        <f>F411/#REF!-1</f>
        <v>#REF!</v>
      </c>
      <c r="G412" s="414" t="e">
        <f>G411/#REF!-1</f>
        <v>#REF!</v>
      </c>
      <c r="H412" s="414" t="e">
        <f>H411/#REF!-1</f>
        <v>#REF!</v>
      </c>
      <c r="I412" s="414" t="e">
        <f>I411/#REF!-1</f>
        <v>#REF!</v>
      </c>
      <c r="J412" s="417" t="e">
        <f>J411/#REF!-1</f>
        <v>#REF!</v>
      </c>
      <c r="K412" s="414" t="e">
        <f>K411/#REF!-1</f>
        <v>#REF!</v>
      </c>
      <c r="L412" s="414" t="e">
        <f>L411/#REF!-1</f>
        <v>#REF!</v>
      </c>
      <c r="M412" s="414" t="e">
        <f>M411/#REF!-1</f>
        <v>#REF!</v>
      </c>
      <c r="N412" s="414" t="e">
        <f>N411/#REF!-1</f>
        <v>#REF!</v>
      </c>
      <c r="O412" s="417" t="e">
        <f>O411/#REF!-1</f>
        <v>#REF!</v>
      </c>
      <c r="P412" s="414" t="e">
        <f t="shared" ref="P412" si="879">P411/K411-1</f>
        <v>#REF!</v>
      </c>
      <c r="Q412" s="414">
        <f t="shared" ref="Q412" si="880">Q411/L411-1</f>
        <v>1.7419424270463737</v>
      </c>
      <c r="R412" s="414">
        <f t="shared" ref="R412" si="881">R411/M411-1</f>
        <v>1.0701821411738539</v>
      </c>
      <c r="S412" s="414">
        <f t="shared" ref="S412" si="882">S411/N411-1</f>
        <v>2.3095761690223484</v>
      </c>
      <c r="T412" s="417" t="e">
        <f t="shared" ref="T412" si="883">T411/O411-1</f>
        <v>#REF!</v>
      </c>
      <c r="U412" s="414">
        <f t="shared" ref="U412" si="884">U411/P411-1</f>
        <v>3.0831831491856398</v>
      </c>
      <c r="V412" s="414">
        <f t="shared" ref="V412" si="885">V411/Q411-1</f>
        <v>2.2470851959873497</v>
      </c>
      <c r="W412" s="414">
        <f t="shared" ref="W412" si="886">W411/R411-1</f>
        <v>0.49037998147857831</v>
      </c>
      <c r="X412" s="414">
        <f t="shared" ref="X412" si="887">X411/S411-1</f>
        <v>0.23975212030676984</v>
      </c>
      <c r="Y412" s="417">
        <f t="shared" ref="Y412" si="888">Y411/T411-1</f>
        <v>0.80142429137759041</v>
      </c>
      <c r="Z412" s="414">
        <f t="shared" ref="Z412" si="889">Z411/U411-1</f>
        <v>0.18772673795589268</v>
      </c>
      <c r="AA412" s="414">
        <f t="shared" ref="AA412" si="890">AA411/V411-1</f>
        <v>4.4468678225575431E-2</v>
      </c>
      <c r="AB412" s="414">
        <f t="shared" ref="AB412" si="891">AB411/W411-1</f>
        <v>-4.3810013606785936E-2</v>
      </c>
      <c r="AC412" s="414">
        <f t="shared" ref="AC412" si="892">AC411/X411-1</f>
        <v>-0.66268736882087942</v>
      </c>
      <c r="AD412" s="422">
        <f t="shared" ref="AD412" si="893">AD411/Y411-1</f>
        <v>-0.12963025941718886</v>
      </c>
      <c r="AE412" s="414" t="e">
        <f t="shared" ref="AE412" si="894">AE411/Z411-1</f>
        <v>#VALUE!</v>
      </c>
      <c r="AF412" s="414" t="e">
        <f t="shared" ref="AF412" si="895">AF411/AA411-1</f>
        <v>#VALUE!</v>
      </c>
      <c r="AG412" s="414"/>
      <c r="AH412" s="280"/>
      <c r="AI412" s="320"/>
      <c r="AJ412" s="280"/>
      <c r="AK412" s="280"/>
      <c r="AL412" s="280"/>
      <c r="AM412" s="280"/>
      <c r="AN412" s="320"/>
      <c r="AO412" s="280"/>
      <c r="AP412" s="280"/>
      <c r="AQ412" s="280"/>
      <c r="AR412" s="280"/>
      <c r="AS412" s="320"/>
      <c r="AT412" s="315"/>
      <c r="AU412" s="508"/>
      <c r="AV412" s="143"/>
      <c r="AW412" s="143"/>
      <c r="AX412" s="143"/>
      <c r="AY412" s="143"/>
      <c r="AZ412" s="143"/>
      <c r="BA412" s="143"/>
      <c r="BB412" s="143"/>
      <c r="BC412" s="143"/>
      <c r="BD412" s="143"/>
      <c r="BE412" s="143"/>
      <c r="BF412" s="143"/>
      <c r="BG412" s="143"/>
      <c r="BH412" s="143"/>
      <c r="BI412" s="143"/>
      <c r="BJ412" s="143"/>
      <c r="BK412" s="143"/>
      <c r="BL412" s="143"/>
      <c r="BM412" s="143"/>
      <c r="BN412" s="143"/>
      <c r="BO412" s="143"/>
      <c r="BP412" s="143"/>
      <c r="BQ412" s="143"/>
      <c r="BR412" s="143"/>
      <c r="BS412" s="143"/>
      <c r="BT412" s="143"/>
      <c r="BU412" s="143"/>
      <c r="BV412" s="143"/>
      <c r="BW412" s="143"/>
      <c r="BX412" s="143"/>
      <c r="BY412" s="143"/>
      <c r="BZ412" s="143"/>
      <c r="CA412" s="143"/>
      <c r="CB412" s="143"/>
      <c r="CC412" s="143"/>
      <c r="CD412" s="143"/>
      <c r="CE412" s="143"/>
      <c r="CF412" s="143"/>
      <c r="CG412" s="143"/>
      <c r="CH412" s="143"/>
      <c r="CI412" s="143"/>
      <c r="CJ412" s="143"/>
      <c r="CK412" s="143"/>
      <c r="CL412" s="143"/>
      <c r="CM412" s="143"/>
      <c r="CN412" s="143"/>
      <c r="CO412" s="143"/>
      <c r="CP412" s="143"/>
      <c r="CQ412" s="143"/>
      <c r="CR412" s="143"/>
      <c r="CS412" s="143"/>
      <c r="CT412" s="143"/>
      <c r="CU412" s="143"/>
      <c r="CV412" s="143"/>
      <c r="CW412" s="143"/>
      <c r="CX412" s="143"/>
      <c r="CY412" s="143"/>
      <c r="CZ412" s="143"/>
      <c r="DA412" s="143"/>
      <c r="DB412" s="143"/>
      <c r="DC412" s="143"/>
      <c r="DD412" s="143"/>
      <c r="DE412" s="143"/>
      <c r="DF412" s="143"/>
      <c r="DG412" s="143"/>
      <c r="DH412" s="143"/>
      <c r="DI412" s="143"/>
      <c r="DJ412" s="143"/>
      <c r="DK412" s="143"/>
      <c r="DL412" s="143"/>
      <c r="DM412" s="143"/>
      <c r="DN412" s="143"/>
      <c r="DO412" s="143"/>
      <c r="DP412" s="143"/>
      <c r="DQ412" s="143"/>
      <c r="DR412" s="143"/>
      <c r="DS412" s="143"/>
      <c r="DT412" s="143"/>
      <c r="DU412" s="143"/>
      <c r="DV412" s="143"/>
      <c r="DW412" s="143"/>
      <c r="DX412" s="143"/>
      <c r="DY412" s="143"/>
      <c r="DZ412" s="143"/>
      <c r="EA412" s="143"/>
      <c r="EB412" s="143"/>
      <c r="EC412" s="143"/>
      <c r="ED412" s="143"/>
      <c r="EE412" s="143"/>
      <c r="EF412" s="143"/>
      <c r="EG412" s="143"/>
      <c r="EH412" s="143"/>
      <c r="EI412" s="143"/>
      <c r="EJ412" s="143"/>
      <c r="EK412" s="143"/>
      <c r="EL412" s="143"/>
      <c r="EM412" s="143"/>
      <c r="EN412" s="143"/>
      <c r="EO412" s="143"/>
      <c r="EP412" s="143"/>
      <c r="EQ412" s="143"/>
      <c r="ER412" s="143"/>
      <c r="ES412" s="143"/>
      <c r="ET412" s="143"/>
      <c r="EU412" s="143"/>
      <c r="EV412" s="143"/>
      <c r="EW412" s="143"/>
      <c r="EX412" s="143"/>
      <c r="EY412" s="143"/>
      <c r="EZ412" s="143"/>
      <c r="FA412" s="143"/>
      <c r="FB412" s="143"/>
      <c r="FC412" s="143"/>
      <c r="FD412" s="143"/>
      <c r="FE412" s="143"/>
      <c r="FF412" s="143"/>
      <c r="FG412" s="143"/>
      <c r="FH412" s="143"/>
      <c r="FI412" s="143"/>
      <c r="FJ412" s="143"/>
      <c r="FK412" s="143"/>
      <c r="FL412" s="143"/>
      <c r="FM412" s="143"/>
      <c r="FN412" s="143"/>
      <c r="FO412" s="143"/>
      <c r="FP412" s="143"/>
      <c r="FQ412" s="143"/>
      <c r="FR412" s="143"/>
      <c r="FS412" s="143"/>
      <c r="FT412" s="143"/>
      <c r="FU412" s="143"/>
      <c r="FV412" s="143"/>
      <c r="FW412" s="143"/>
      <c r="FX412" s="143"/>
      <c r="FY412" s="143"/>
      <c r="FZ412" s="143"/>
      <c r="GA412" s="143"/>
      <c r="GB412" s="143"/>
      <c r="GC412" s="143"/>
      <c r="GD412" s="143"/>
      <c r="GE412" s="143"/>
      <c r="GF412" s="143"/>
      <c r="GG412" s="143"/>
      <c r="GH412" s="143"/>
      <c r="GI412" s="143"/>
      <c r="GJ412" s="143"/>
      <c r="GK412" s="143"/>
      <c r="GL412" s="143"/>
      <c r="GM412" s="143"/>
      <c r="GN412" s="143"/>
      <c r="GO412" s="143"/>
      <c r="GP412" s="143"/>
      <c r="GQ412" s="143"/>
      <c r="GR412" s="143"/>
      <c r="GS412" s="143"/>
      <c r="GT412" s="143"/>
      <c r="GU412" s="143"/>
      <c r="GV412" s="143"/>
      <c r="GW412" s="143"/>
      <c r="GX412" s="143"/>
      <c r="GY412" s="143"/>
      <c r="GZ412" s="143"/>
      <c r="HA412" s="143"/>
      <c r="HB412" s="143"/>
      <c r="HC412" s="143"/>
      <c r="HD412" s="143"/>
      <c r="HE412" s="143"/>
      <c r="HF412" s="143"/>
      <c r="HG412" s="143"/>
      <c r="HH412" s="143"/>
      <c r="HI412" s="143"/>
      <c r="HJ412" s="143"/>
      <c r="HK412" s="143"/>
      <c r="HL412" s="143"/>
      <c r="HM412" s="143"/>
      <c r="HN412" s="143"/>
      <c r="HO412" s="143"/>
      <c r="HP412" s="143"/>
      <c r="HQ412" s="143"/>
      <c r="HR412" s="143"/>
      <c r="HS412" s="143"/>
      <c r="HT412" s="143"/>
      <c r="HU412" s="143"/>
      <c r="HV412" s="143"/>
      <c r="HW412" s="143"/>
      <c r="HX412" s="143"/>
      <c r="HY412" s="143"/>
      <c r="HZ412" s="143"/>
      <c r="IA412" s="143"/>
      <c r="IB412" s="143"/>
      <c r="IC412" s="143"/>
      <c r="ID412" s="143"/>
      <c r="IE412" s="143"/>
      <c r="IF412" s="143"/>
      <c r="IG412" s="143"/>
      <c r="IH412" s="143"/>
      <c r="II412" s="143"/>
      <c r="IJ412" s="143"/>
      <c r="IK412" s="143"/>
      <c r="IL412" s="143"/>
      <c r="IM412" s="143"/>
      <c r="IN412" s="143"/>
      <c r="IO412" s="143"/>
      <c r="IP412" s="143"/>
      <c r="IQ412" s="143"/>
      <c r="IR412" s="143"/>
      <c r="IS412" s="143"/>
      <c r="IT412" s="143"/>
      <c r="IU412" s="143"/>
      <c r="IV412" s="143"/>
      <c r="IW412" s="143"/>
      <c r="IX412" s="143"/>
      <c r="IY412" s="143"/>
      <c r="IZ412" s="143"/>
      <c r="JA412" s="143"/>
      <c r="JB412" s="143"/>
      <c r="JC412" s="143"/>
      <c r="JD412" s="143"/>
      <c r="JE412" s="143"/>
      <c r="JF412" s="143"/>
      <c r="JG412" s="143"/>
      <c r="JH412" s="143"/>
      <c r="JI412" s="143"/>
    </row>
    <row r="413" spans="1:269" hidden="1" outlineLevel="1">
      <c r="A413" s="437" t="s">
        <v>207</v>
      </c>
      <c r="B413" s="144"/>
      <c r="C413" s="417" t="e">
        <f>C411/#REF!-1</f>
        <v>#REF!</v>
      </c>
      <c r="D413" s="417" t="e">
        <f>D411/#REF!-1</f>
        <v>#REF!</v>
      </c>
      <c r="E413" s="417" t="e">
        <f>E411/#REF!-1</f>
        <v>#REF!</v>
      </c>
      <c r="F413" s="414" t="e">
        <f>F411/#REF!-1</f>
        <v>#REF!</v>
      </c>
      <c r="G413" s="414" t="e">
        <f>G411/#REF!-1</f>
        <v>#REF!</v>
      </c>
      <c r="H413" s="414" t="e">
        <f>H411/#REF!-1</f>
        <v>#REF!</v>
      </c>
      <c r="I413" s="414" t="e">
        <f>I411/#REF!-1</f>
        <v>#REF!</v>
      </c>
      <c r="J413" s="417" t="e">
        <f>J411/#REF!-1</f>
        <v>#REF!</v>
      </c>
      <c r="K413" s="414" t="e">
        <f>K411/#REF!-1</f>
        <v>#REF!</v>
      </c>
      <c r="L413" s="414" t="e">
        <f>L411/#REF!-1</f>
        <v>#REF!</v>
      </c>
      <c r="M413" s="414" t="e">
        <f>M411/#REF!-1</f>
        <v>#REF!</v>
      </c>
      <c r="N413" s="414" t="e">
        <f>N411/#REF!-1</f>
        <v>#REF!</v>
      </c>
      <c r="O413" s="417" t="e">
        <f>O411/#REF!-1</f>
        <v>#REF!</v>
      </c>
      <c r="P413" s="414" t="e">
        <f>P411/#REF!-1</f>
        <v>#REF!</v>
      </c>
      <c r="Q413" s="414" t="e">
        <f>Q411/#REF!-1</f>
        <v>#REF!</v>
      </c>
      <c r="R413" s="414" t="e">
        <f>R411/#REF!-1</f>
        <v>#REF!</v>
      </c>
      <c r="S413" s="414" t="e">
        <f>S411/#REF!-1</f>
        <v>#REF!</v>
      </c>
      <c r="T413" s="417" t="e">
        <f>T411/#REF!-1</f>
        <v>#REF!</v>
      </c>
      <c r="U413" s="414" t="e">
        <f>U411/#REF!-1</f>
        <v>#REF!</v>
      </c>
      <c r="V413" s="414" t="e">
        <f>V411/#REF!-1</f>
        <v>#REF!</v>
      </c>
      <c r="W413" s="414" t="e">
        <f>W411/#REF!-1</f>
        <v>#REF!</v>
      </c>
      <c r="X413" s="414" t="e">
        <f>X411/#REF!-1</f>
        <v>#REF!</v>
      </c>
      <c r="Y413" s="417" t="e">
        <f>Y411/#REF!-1</f>
        <v>#REF!</v>
      </c>
      <c r="Z413" s="414" t="e">
        <f>Z411/#REF!-1</f>
        <v>#REF!</v>
      </c>
      <c r="AA413" s="414" t="e">
        <f>AA411/#REF!-1</f>
        <v>#REF!</v>
      </c>
      <c r="AB413" s="414" t="e">
        <f>AB411/#REF!-1</f>
        <v>#REF!</v>
      </c>
      <c r="AC413" s="414" t="e">
        <f>AC411/#REF!-1</f>
        <v>#REF!</v>
      </c>
      <c r="AD413" s="422" t="e">
        <f>AD411/#REF!-1</f>
        <v>#REF!</v>
      </c>
      <c r="AE413" s="414" t="e">
        <f>AE411/#REF!-1</f>
        <v>#VALUE!</v>
      </c>
      <c r="AF413" s="414" t="e">
        <f>AF411/#REF!-1</f>
        <v>#VALUE!</v>
      </c>
      <c r="AG413" s="414"/>
      <c r="AH413" s="280"/>
      <c r="AI413" s="320"/>
      <c r="AJ413" s="280"/>
      <c r="AK413" s="280"/>
      <c r="AL413" s="280"/>
      <c r="AM413" s="280"/>
      <c r="AN413" s="320"/>
      <c r="AO413" s="280"/>
      <c r="AP413" s="280"/>
      <c r="AQ413" s="280"/>
      <c r="AR413" s="280"/>
      <c r="AS413" s="320"/>
      <c r="AT413" s="315"/>
      <c r="AU413" s="508"/>
      <c r="AV413" s="143"/>
      <c r="AW413" s="143"/>
      <c r="AX413" s="143"/>
      <c r="AY413" s="143"/>
      <c r="AZ413" s="143"/>
      <c r="BA413" s="143"/>
      <c r="BB413" s="143"/>
      <c r="BC413" s="143"/>
      <c r="BD413" s="143"/>
      <c r="BE413" s="143"/>
      <c r="BF413" s="143"/>
      <c r="BG413" s="143"/>
      <c r="BH413" s="143"/>
      <c r="BI413" s="143"/>
      <c r="BJ413" s="143"/>
      <c r="BK413" s="143"/>
      <c r="BL413" s="143"/>
      <c r="BM413" s="143"/>
      <c r="BN413" s="143"/>
      <c r="BO413" s="143"/>
      <c r="BP413" s="143"/>
      <c r="BQ413" s="143"/>
      <c r="BR413" s="143"/>
      <c r="BS413" s="143"/>
      <c r="BT413" s="143"/>
      <c r="BU413" s="143"/>
      <c r="BV413" s="143"/>
      <c r="BW413" s="143"/>
      <c r="BX413" s="143"/>
      <c r="BY413" s="143"/>
      <c r="BZ413" s="143"/>
      <c r="CA413" s="143"/>
      <c r="CB413" s="143"/>
      <c r="CC413" s="143"/>
      <c r="CD413" s="143"/>
      <c r="CE413" s="143"/>
      <c r="CF413" s="143"/>
      <c r="CG413" s="143"/>
      <c r="CH413" s="143"/>
      <c r="CI413" s="143"/>
      <c r="CJ413" s="143"/>
      <c r="CK413" s="143"/>
      <c r="CL413" s="143"/>
      <c r="CM413" s="143"/>
      <c r="CN413" s="143"/>
      <c r="CO413" s="143"/>
      <c r="CP413" s="143"/>
      <c r="CQ413" s="143"/>
      <c r="CR413" s="143"/>
      <c r="CS413" s="143"/>
      <c r="CT413" s="143"/>
      <c r="CU413" s="143"/>
      <c r="CV413" s="143"/>
      <c r="CW413" s="143"/>
      <c r="CX413" s="143"/>
      <c r="CY413" s="143"/>
      <c r="CZ413" s="143"/>
      <c r="DA413" s="143"/>
      <c r="DB413" s="143"/>
      <c r="DC413" s="143"/>
      <c r="DD413" s="143"/>
      <c r="DE413" s="143"/>
      <c r="DF413" s="143"/>
      <c r="DG413" s="143"/>
      <c r="DH413" s="143"/>
      <c r="DI413" s="143"/>
      <c r="DJ413" s="143"/>
      <c r="DK413" s="143"/>
      <c r="DL413" s="143"/>
      <c r="DM413" s="143"/>
      <c r="DN413" s="143"/>
      <c r="DO413" s="143"/>
      <c r="DP413" s="143"/>
      <c r="DQ413" s="143"/>
      <c r="DR413" s="143"/>
      <c r="DS413" s="143"/>
      <c r="DT413" s="143"/>
      <c r="DU413" s="143"/>
      <c r="DV413" s="143"/>
      <c r="DW413" s="143"/>
      <c r="DX413" s="143"/>
      <c r="DY413" s="143"/>
      <c r="DZ413" s="143"/>
      <c r="EA413" s="143"/>
      <c r="EB413" s="143"/>
      <c r="EC413" s="143"/>
      <c r="ED413" s="143"/>
      <c r="EE413" s="143"/>
      <c r="EF413" s="143"/>
      <c r="EG413" s="143"/>
      <c r="EH413" s="143"/>
      <c r="EI413" s="143"/>
      <c r="EJ413" s="143"/>
      <c r="EK413" s="143"/>
      <c r="EL413" s="143"/>
      <c r="EM413" s="143"/>
      <c r="EN413" s="143"/>
      <c r="EO413" s="143"/>
      <c r="EP413" s="143"/>
      <c r="EQ413" s="143"/>
      <c r="ER413" s="143"/>
      <c r="ES413" s="143"/>
      <c r="ET413" s="143"/>
      <c r="EU413" s="143"/>
      <c r="EV413" s="143"/>
      <c r="EW413" s="143"/>
      <c r="EX413" s="143"/>
      <c r="EY413" s="143"/>
      <c r="EZ413" s="143"/>
      <c r="FA413" s="143"/>
      <c r="FB413" s="143"/>
      <c r="FC413" s="143"/>
      <c r="FD413" s="143"/>
      <c r="FE413" s="143"/>
      <c r="FF413" s="143"/>
      <c r="FG413" s="143"/>
      <c r="FH413" s="143"/>
      <c r="FI413" s="143"/>
      <c r="FJ413" s="143"/>
      <c r="FK413" s="143"/>
      <c r="FL413" s="143"/>
      <c r="FM413" s="143"/>
      <c r="FN413" s="143"/>
      <c r="FO413" s="143"/>
      <c r="FP413" s="143"/>
      <c r="FQ413" s="143"/>
      <c r="FR413" s="143"/>
      <c r="FS413" s="143"/>
      <c r="FT413" s="143"/>
      <c r="FU413" s="143"/>
      <c r="FV413" s="143"/>
      <c r="FW413" s="143"/>
      <c r="FX413" s="143"/>
      <c r="FY413" s="143"/>
      <c r="FZ413" s="143"/>
      <c r="GA413" s="143"/>
      <c r="GB413" s="143"/>
      <c r="GC413" s="143"/>
      <c r="GD413" s="143"/>
      <c r="GE413" s="143"/>
      <c r="GF413" s="143"/>
      <c r="GG413" s="143"/>
      <c r="GH413" s="143"/>
      <c r="GI413" s="143"/>
      <c r="GJ413" s="143"/>
      <c r="GK413" s="143"/>
      <c r="GL413" s="143"/>
      <c r="GM413" s="143"/>
      <c r="GN413" s="143"/>
      <c r="GO413" s="143"/>
      <c r="GP413" s="143"/>
      <c r="GQ413" s="143"/>
      <c r="GR413" s="143"/>
      <c r="GS413" s="143"/>
      <c r="GT413" s="143"/>
      <c r="GU413" s="143"/>
      <c r="GV413" s="143"/>
      <c r="GW413" s="143"/>
      <c r="GX413" s="143"/>
      <c r="GY413" s="143"/>
      <c r="GZ413" s="143"/>
      <c r="HA413" s="143"/>
      <c r="HB413" s="143"/>
      <c r="HC413" s="143"/>
      <c r="HD413" s="143"/>
      <c r="HE413" s="143"/>
      <c r="HF413" s="143"/>
      <c r="HG413" s="143"/>
      <c r="HH413" s="143"/>
      <c r="HI413" s="143"/>
      <c r="HJ413" s="143"/>
      <c r="HK413" s="143"/>
      <c r="HL413" s="143"/>
      <c r="HM413" s="143"/>
      <c r="HN413" s="143"/>
      <c r="HO413" s="143"/>
      <c r="HP413" s="143"/>
      <c r="HQ413" s="143"/>
      <c r="HR413" s="143"/>
      <c r="HS413" s="143"/>
      <c r="HT413" s="143"/>
      <c r="HU413" s="143"/>
      <c r="HV413" s="143"/>
      <c r="HW413" s="143"/>
      <c r="HX413" s="143"/>
      <c r="HY413" s="143"/>
      <c r="HZ413" s="143"/>
      <c r="IA413" s="143"/>
      <c r="IB413" s="143"/>
      <c r="IC413" s="143"/>
      <c r="ID413" s="143"/>
      <c r="IE413" s="143"/>
      <c r="IF413" s="143"/>
      <c r="IG413" s="143"/>
      <c r="IH413" s="143"/>
      <c r="II413" s="143"/>
      <c r="IJ413" s="143"/>
      <c r="IK413" s="143"/>
      <c r="IL413" s="143"/>
      <c r="IM413" s="143"/>
      <c r="IN413" s="143"/>
      <c r="IO413" s="143"/>
      <c r="IP413" s="143"/>
      <c r="IQ413" s="143"/>
      <c r="IR413" s="143"/>
      <c r="IS413" s="143"/>
      <c r="IT413" s="143"/>
      <c r="IU413" s="143"/>
      <c r="IV413" s="143"/>
      <c r="IW413" s="143"/>
      <c r="IX413" s="143"/>
      <c r="IY413" s="143"/>
      <c r="IZ413" s="143"/>
      <c r="JA413" s="143"/>
      <c r="JB413" s="143"/>
      <c r="JC413" s="143"/>
      <c r="JD413" s="143"/>
      <c r="JE413" s="143"/>
      <c r="JF413" s="143"/>
      <c r="JG413" s="143"/>
      <c r="JH413" s="143"/>
      <c r="JI413" s="143"/>
    </row>
    <row r="414" spans="1:269" hidden="1" outlineLevel="1">
      <c r="A414" s="83" t="s">
        <v>269</v>
      </c>
      <c r="B414" s="144" t="s">
        <v>270</v>
      </c>
      <c r="C414" s="475" t="e">
        <f>_xll.BQL.QUERY("get(avg(px_last(start=" &amp; TEXT(#REF!, "YYYY-MM-DD") &amp; ", end=" &amp; TEXT(C$5, "YYYY-MM-DD") &amp; "))) for('"&amp;$B414&amp;"')")</f>
        <v>#REF!</v>
      </c>
      <c r="D414" s="475" t="e">
        <f>_xll.BQL.QUERY("get(avg(px_last(start=" &amp; TEXT(#REF!, "YYYY-MM-DD") &amp; ", end=" &amp; TEXT(D$5, "YYYY-MM-DD") &amp; "))) for('"&amp;$B414&amp;"')")</f>
        <v>#REF!</v>
      </c>
      <c r="E414" s="475" t="e">
        <f>_xll.BQL.QUERY("get(avg(px_last(start=" &amp; TEXT(#REF!, "YYYY-MM-DD") &amp; ", end=" &amp; TEXT(E$5, "YYYY-MM-DD") &amp; "))) for('"&amp;$B414&amp;"')")</f>
        <v>#REF!</v>
      </c>
      <c r="F414" s="335" t="e">
        <f>_xll.BQL.QUERY("get(avg(px_last(start=" &amp; TEXT(#REF!, "YYYY-MM-DD") &amp; ", end=" &amp; TEXT(F$5, "YYYY-MM-DD") &amp; "))) for('"&amp;$B414&amp;"')")</f>
        <v>#REF!</v>
      </c>
      <c r="G414" s="335">
        <f>_xll.BQL.QUERY("get(avg(px_last(start=" &amp; TEXT(F$5, "YYYY-MM-DD") &amp; ", end=" &amp; TEXT(G$5, "YYYY-MM-DD") &amp; "))) for('"&amp;$B414&amp;"')")</f>
        <v>98.289666666666662</v>
      </c>
      <c r="H414" s="335">
        <f>_xll.BQL.QUERY("get(avg(px_last(start=" &amp; TEXT(G$5, "YYYY-MM-DD") &amp; ", end=" &amp; TEXT(H$5, "YYYY-MM-DD") &amp; "))) for('"&amp;$B414&amp;"')")</f>
        <v>99.064666666666653</v>
      </c>
      <c r="I414" s="335">
        <f>_xll.BQL.QUERY("get(avg(px_last(start=" &amp; TEXT(H$5, "YYYY-MM-DD") &amp; ", end=" &amp; TEXT(I$5, "YYYY-MM-DD") &amp; "))) for('"&amp;$B414&amp;"')")</f>
        <v>98.339666666666673</v>
      </c>
      <c r="J414" s="475" t="e">
        <f>_xll.BQL.QUERY("get(avg(px_last(start=" &amp; TEXT(#REF!, "YYYY-MM-DD") &amp; ", end=" &amp; TEXT(J$5, "YYYY-MM-DD") &amp; "))) for('"&amp;$B414&amp;"')")</f>
        <v>#REF!</v>
      </c>
      <c r="K414" s="335" t="e">
        <f>_xll.BQL.QUERY("get(avg(px_last(start=" &amp; TEXT(#REF!, "YYYY-MM-DD") &amp; ", end=" &amp; TEXT(K$5, "YYYY-MM-DD") &amp; "))) for('"&amp;$B414&amp;"')")</f>
        <v>#REF!</v>
      </c>
      <c r="L414" s="335">
        <f>_xll.BQL.QUERY("get(avg(px_last(start=" &amp; TEXT(K$5, "YYYY-MM-DD") &amp; ", end=" &amp; TEXT(L$5, "YYYY-MM-DD") &amp; "))) for('"&amp;$B414&amp;"')")</f>
        <v>99.744250000000008</v>
      </c>
      <c r="M414" s="335">
        <f>_xll.BQL.QUERY("get(avg(px_last(start=" &amp; TEXT(L$5, "YYYY-MM-DD") &amp; ", end=" &amp; TEXT(M$5, "YYYY-MM-DD") &amp; "))) for('"&amp;$B414&amp;"')")</f>
        <v>99.644749999999988</v>
      </c>
      <c r="N414" s="335">
        <f>_xll.BQL.QUERY("get(avg(px_last(start=" &amp; TEXT(M$5, "YYYY-MM-DD") &amp; ", end=" &amp; TEXT(N$5, "YYYY-MM-DD") &amp; "))) for('"&amp;$B414&amp;"')")</f>
        <v>98.800249999999991</v>
      </c>
      <c r="O414" s="475" t="e">
        <f>_xll.BQL.QUERY("get(avg(px_last(start=" &amp; TEXT(#REF!, "YYYY-MM-DD") &amp; ", end=" &amp; TEXT(O$5, "YYYY-MM-DD") &amp; "))) for('"&amp;$B414&amp;"')")</f>
        <v>#REF!</v>
      </c>
      <c r="P414" s="335">
        <f>_xll.BQL.QUERY("get(avg(px_last(start=" &amp; TEXT(O$5, "YYYY-MM-DD") &amp; ", end=" &amp; TEXT(P$5, "YYYY-MM-DD") &amp; "))) for('"&amp;$B414&amp;"')")</f>
        <v>98.641499999999994</v>
      </c>
      <c r="Q414" s="335">
        <f>_xll.BQL.QUERY("get(avg(px_last(start=" &amp; TEXT(P$5, "YYYY-MM-DD") &amp; ", end=" &amp; TEXT(Q$5, "YYYY-MM-DD") &amp; "))) for('"&amp;$B414&amp;"')")</f>
        <v>99.341499999999996</v>
      </c>
      <c r="R414" s="335">
        <f>_xll.BQL.QUERY("get(avg(px_last(start=" &amp; TEXT(Q$5, "YYYY-MM-DD") &amp; ", end=" &amp; TEXT(R$5, "YYYY-MM-DD") &amp; "))) for('"&amp;$B414&amp;"')")</f>
        <v>100.4915</v>
      </c>
      <c r="S414" s="335">
        <f>_xll.BQL.QUERY("get(avg(px_last(start=" &amp; TEXT(R$5, "YYYY-MM-DD") &amp; ", end=" &amp; TEXT(S$5, "YYYY-MM-DD") &amp; "))) for('"&amp;$B414&amp;"')")</f>
        <v>101.01900000000001</v>
      </c>
      <c r="T414" s="475">
        <f>_xll.BQL.QUERY("get(avg(px_last(start=" &amp; TEXT(O$5, "YYYY-MM-DD") &amp; ", end=" &amp; TEXT(T$5, "YYYY-MM-DD") &amp; "))) for('"&amp;$B414&amp;"')")</f>
        <v>99.880307692307696</v>
      </c>
      <c r="U414" s="335">
        <f>_xll.BQL.QUERY("get(avg(px_last(start=" &amp; TEXT(T$5, "YYYY-MM-DD") &amp; ", end=" &amp; TEXT(U$5, "YYYY-MM-DD") &amp; "))) for('"&amp;$B414&amp;"')")</f>
        <v>102.08775</v>
      </c>
      <c r="V414" s="335">
        <f>_xll.BQL.QUERY("get(avg(px_last(start=" &amp; TEXT(U$5, "YYYY-MM-DD") &amp; ", end=" &amp; TEXT(V$5, "YYYY-MM-DD") &amp; "))) for('"&amp;$B414&amp;"')")</f>
        <v>105.239</v>
      </c>
      <c r="W414" s="335">
        <f>_xll.BQL.QUERY("get(avg(px_last(start=" &amp; TEXT(V$5, "YYYY-MM-DD") &amp; ", end=" &amp; TEXT(W$5, "YYYY-MM-DD") &amp; "))) for('"&amp;$B414&amp;"')")</f>
        <v>108.09650000000001</v>
      </c>
      <c r="X414" s="335">
        <f>_xll.BQL.QUERY("get(avg(px_last(start=" &amp; TEXT(W$5, "YYYY-MM-DD") &amp; ", end=" &amp; TEXT(X$5, "YYYY-MM-DD") &amp; "))) for('"&amp;$B414&amp;"')")</f>
        <v>108.902</v>
      </c>
      <c r="Y414" s="475">
        <f>_xll.BQL.QUERY("get(avg(px_last(start=" &amp; TEXT(T$5, "YYYY-MM-DD") &amp; ", end=" &amp; TEXT(Y$5, "YYYY-MM-DD") &amp; "))) for('"&amp;$B414&amp;"')")</f>
        <v>106.02138461538462</v>
      </c>
      <c r="Z414" s="335">
        <f>_xll.BQL.QUERY("get(avg(px_last(start=" &amp; TEXT(Y$5, "YYYY-MM-DD") &amp; ", end=" &amp; TEXT(Z$5, "YYYY-MM-DD") &amp; "))) for('"&amp;$B414&amp;"')")</f>
        <v>110.08725</v>
      </c>
      <c r="AA414" s="335">
        <f>_xll.BQL.QUERY("get(avg(px_last(start=" &amp; TEXT(Z$5, "YYYY-MM-DD") &amp; ", end=" &amp; TEXT(AA$5, "YYYY-MM-DD") &amp; "))) for('"&amp;$B414&amp;"')")</f>
        <v>112.9845</v>
      </c>
      <c r="AB414" s="335">
        <f>_xll.BQL.QUERY("get(avg(px_last(start=" &amp; TEXT(AA$5, "YYYY-MM-DD") &amp; ", end=" &amp; TEXT(AB$5, "YYYY-MM-DD") &amp; "))) for('"&amp;$B414&amp;"')")</f>
        <v>115.11075</v>
      </c>
      <c r="AC414" s="335">
        <f>_xll.BQL.QUERY("get(avg(px_last(start=" &amp; TEXT(AB$5, "YYYY-MM-DD") &amp; ", end=" &amp; TEXT(AC$5, "YYYY-MM-DD") &amp; "))) for('"&amp;$B414&amp;"')")</f>
        <v>115.65</v>
      </c>
      <c r="AD414" s="540">
        <f>_xll.BQL.QUERY("get(avg(px_last(start=" &amp; TEXT(Y$5, "YYYY-MM-DD") &amp; ", end=" &amp; TEXT(AD$5, "YYYY-MM-DD") &amp; "))) for('"&amp;$B414&amp;"')")</f>
        <v>112.9880909090909</v>
      </c>
      <c r="AE414" s="335" t="str">
        <f>_xll.BQL.QUERY("get(avg(px_last(start=" &amp; TEXT(AD$5, "YYYY-MM-DD") &amp; ", end=" &amp; TEXT(AE$5, "YYYY-MM-DD") &amp; "))) for('"&amp;$B414&amp;"')")</f>
        <v>#N/A</v>
      </c>
      <c r="AF414" s="335" t="str">
        <f>_xll.BQL.QUERY("get(avg(px_last(start=" &amp; TEXT(AE$5, "YYYY-MM-DD") &amp; ", end=" &amp; TEXT(AF$5, "YYYY-MM-DD") &amp; "))) for('"&amp;$B414&amp;"')")</f>
        <v>#N/A</v>
      </c>
      <c r="AG414" s="335"/>
      <c r="AH414" s="280"/>
      <c r="AI414" s="320"/>
      <c r="AJ414" s="280"/>
      <c r="AK414" s="280"/>
      <c r="AL414" s="280"/>
      <c r="AM414" s="280"/>
      <c r="AN414" s="320"/>
      <c r="AO414" s="280"/>
      <c r="AP414" s="280"/>
      <c r="AQ414" s="280"/>
      <c r="AR414" s="280"/>
      <c r="AS414" s="320"/>
      <c r="AT414" s="315"/>
      <c r="AU414" s="508"/>
      <c r="AV414" s="143"/>
      <c r="AW414" s="143"/>
      <c r="AX414" s="143"/>
      <c r="AY414" s="143"/>
      <c r="AZ414" s="143"/>
      <c r="BA414" s="143"/>
      <c r="BB414" s="143"/>
      <c r="BC414" s="143"/>
      <c r="BD414" s="143"/>
      <c r="BE414" s="143"/>
      <c r="BF414" s="143"/>
      <c r="BG414" s="143"/>
      <c r="BH414" s="143"/>
      <c r="BI414" s="143"/>
      <c r="BJ414" s="143"/>
      <c r="BK414" s="143"/>
      <c r="BL414" s="143"/>
      <c r="BM414" s="143"/>
      <c r="BN414" s="143"/>
      <c r="BO414" s="143"/>
      <c r="BP414" s="143"/>
      <c r="BQ414" s="143"/>
      <c r="BR414" s="143"/>
      <c r="BS414" s="143"/>
      <c r="BT414" s="143"/>
      <c r="BU414" s="143"/>
      <c r="BV414" s="143"/>
      <c r="BW414" s="143"/>
      <c r="BX414" s="143"/>
      <c r="BY414" s="143"/>
      <c r="BZ414" s="143"/>
      <c r="CA414" s="143"/>
      <c r="CB414" s="143"/>
      <c r="CC414" s="143"/>
      <c r="CD414" s="143"/>
      <c r="CE414" s="143"/>
      <c r="CF414" s="143"/>
      <c r="CG414" s="143"/>
      <c r="CH414" s="143"/>
      <c r="CI414" s="143"/>
      <c r="CJ414" s="143"/>
      <c r="CK414" s="143"/>
      <c r="CL414" s="143"/>
      <c r="CM414" s="143"/>
      <c r="CN414" s="143"/>
      <c r="CO414" s="143"/>
      <c r="CP414" s="143"/>
      <c r="CQ414" s="143"/>
      <c r="CR414" s="143"/>
      <c r="CS414" s="143"/>
      <c r="CT414" s="143"/>
      <c r="CU414" s="143"/>
      <c r="CV414" s="143"/>
      <c r="CW414" s="143"/>
      <c r="CX414" s="143"/>
      <c r="CY414" s="143"/>
      <c r="CZ414" s="143"/>
      <c r="DA414" s="143"/>
      <c r="DB414" s="143"/>
      <c r="DC414" s="143"/>
      <c r="DD414" s="143"/>
      <c r="DE414" s="143"/>
      <c r="DF414" s="143"/>
      <c r="DG414" s="143"/>
      <c r="DH414" s="143"/>
      <c r="DI414" s="143"/>
      <c r="DJ414" s="143"/>
      <c r="DK414" s="143"/>
      <c r="DL414" s="143"/>
      <c r="DM414" s="143"/>
      <c r="DN414" s="143"/>
      <c r="DO414" s="143"/>
      <c r="DP414" s="143"/>
      <c r="DQ414" s="143"/>
      <c r="DR414" s="143"/>
      <c r="DS414" s="143"/>
      <c r="DT414" s="143"/>
      <c r="DU414" s="143"/>
      <c r="DV414" s="143"/>
      <c r="DW414" s="143"/>
      <c r="DX414" s="143"/>
      <c r="DY414" s="143"/>
      <c r="DZ414" s="143"/>
      <c r="EA414" s="143"/>
      <c r="EB414" s="143"/>
      <c r="EC414" s="143"/>
      <c r="ED414" s="143"/>
      <c r="EE414" s="143"/>
      <c r="EF414" s="143"/>
      <c r="EG414" s="143"/>
      <c r="EH414" s="143"/>
      <c r="EI414" s="143"/>
      <c r="EJ414" s="143"/>
      <c r="EK414" s="143"/>
      <c r="EL414" s="143"/>
      <c r="EM414" s="143"/>
      <c r="EN414" s="143"/>
      <c r="EO414" s="143"/>
      <c r="EP414" s="143"/>
      <c r="EQ414" s="143"/>
      <c r="ER414" s="143"/>
      <c r="ES414" s="143"/>
      <c r="ET414" s="143"/>
      <c r="EU414" s="143"/>
      <c r="EV414" s="143"/>
      <c r="EW414" s="143"/>
      <c r="EX414" s="143"/>
      <c r="EY414" s="143"/>
      <c r="EZ414" s="143"/>
      <c r="FA414" s="143"/>
      <c r="FB414" s="143"/>
      <c r="FC414" s="143"/>
      <c r="FD414" s="143"/>
      <c r="FE414" s="143"/>
      <c r="FF414" s="143"/>
      <c r="FG414" s="143"/>
      <c r="FH414" s="143"/>
      <c r="FI414" s="143"/>
      <c r="FJ414" s="143"/>
      <c r="FK414" s="143"/>
      <c r="FL414" s="143"/>
      <c r="FM414" s="143"/>
      <c r="FN414" s="143"/>
      <c r="FO414" s="143"/>
      <c r="FP414" s="143"/>
      <c r="FQ414" s="143"/>
      <c r="FR414" s="143"/>
      <c r="FS414" s="143"/>
      <c r="FT414" s="143"/>
      <c r="FU414" s="143"/>
      <c r="FV414" s="143"/>
      <c r="FW414" s="143"/>
      <c r="FX414" s="143"/>
      <c r="FY414" s="143"/>
      <c r="FZ414" s="143"/>
      <c r="GA414" s="143"/>
      <c r="GB414" s="143"/>
      <c r="GC414" s="143"/>
      <c r="GD414" s="143"/>
      <c r="GE414" s="143"/>
      <c r="GF414" s="143"/>
      <c r="GG414" s="143"/>
      <c r="GH414" s="143"/>
      <c r="GI414" s="143"/>
      <c r="GJ414" s="143"/>
      <c r="GK414" s="143"/>
      <c r="GL414" s="143"/>
      <c r="GM414" s="143"/>
      <c r="GN414" s="143"/>
      <c r="GO414" s="143"/>
      <c r="GP414" s="143"/>
      <c r="GQ414" s="143"/>
      <c r="GR414" s="143"/>
      <c r="GS414" s="143"/>
      <c r="GT414" s="143"/>
      <c r="GU414" s="143"/>
      <c r="GV414" s="143"/>
      <c r="GW414" s="143"/>
      <c r="GX414" s="143"/>
      <c r="GY414" s="143"/>
      <c r="GZ414" s="143"/>
      <c r="HA414" s="143"/>
      <c r="HB414" s="143"/>
      <c r="HC414" s="143"/>
      <c r="HD414" s="143"/>
      <c r="HE414" s="143"/>
      <c r="HF414" s="143"/>
      <c r="HG414" s="143"/>
      <c r="HH414" s="143"/>
      <c r="HI414" s="143"/>
      <c r="HJ414" s="143"/>
      <c r="HK414" s="143"/>
      <c r="HL414" s="143"/>
      <c r="HM414" s="143"/>
      <c r="HN414" s="143"/>
      <c r="HO414" s="143"/>
      <c r="HP414" s="143"/>
      <c r="HQ414" s="143"/>
      <c r="HR414" s="143"/>
      <c r="HS414" s="143"/>
      <c r="HT414" s="143"/>
      <c r="HU414" s="143"/>
      <c r="HV414" s="143"/>
      <c r="HW414" s="143"/>
      <c r="HX414" s="143"/>
      <c r="HY414" s="143"/>
      <c r="HZ414" s="143"/>
      <c r="IA414" s="143"/>
      <c r="IB414" s="143"/>
      <c r="IC414" s="143"/>
      <c r="ID414" s="143"/>
      <c r="IE414" s="143"/>
      <c r="IF414" s="143"/>
      <c r="IG414" s="143"/>
      <c r="IH414" s="143"/>
      <c r="II414" s="143"/>
      <c r="IJ414" s="143"/>
      <c r="IK414" s="143"/>
      <c r="IL414" s="143"/>
      <c r="IM414" s="143"/>
      <c r="IN414" s="143"/>
      <c r="IO414" s="143"/>
      <c r="IP414" s="143"/>
      <c r="IQ414" s="143"/>
      <c r="IR414" s="143"/>
      <c r="IS414" s="143"/>
      <c r="IT414" s="143"/>
      <c r="IU414" s="143"/>
      <c r="IV414" s="143"/>
      <c r="IW414" s="143"/>
      <c r="IX414" s="143"/>
      <c r="IY414" s="143"/>
      <c r="IZ414" s="143"/>
      <c r="JA414" s="143"/>
      <c r="JB414" s="143"/>
      <c r="JC414" s="143"/>
      <c r="JD414" s="143"/>
      <c r="JE414" s="143"/>
      <c r="JF414" s="143"/>
      <c r="JG414" s="143"/>
      <c r="JH414" s="143"/>
      <c r="JI414" s="143"/>
    </row>
    <row r="415" spans="1:269" hidden="1" outlineLevel="1">
      <c r="A415" s="437" t="s">
        <v>208</v>
      </c>
      <c r="B415" s="144"/>
      <c r="C415" s="417" t="e">
        <f>C414/#REF!-1</f>
        <v>#REF!</v>
      </c>
      <c r="D415" s="417" t="e">
        <f>D414/#REF!-1</f>
        <v>#REF!</v>
      </c>
      <c r="E415" s="417" t="e">
        <f>E414/#REF!-1</f>
        <v>#REF!</v>
      </c>
      <c r="F415" s="414" t="e">
        <f>F414/#REF!-1</f>
        <v>#REF!</v>
      </c>
      <c r="G415" s="414" t="e">
        <f>G414/#REF!-1</f>
        <v>#REF!</v>
      </c>
      <c r="H415" s="414" t="e">
        <f>H414/#REF!-1</f>
        <v>#REF!</v>
      </c>
      <c r="I415" s="414" t="e">
        <f>I414/#REF!-1</f>
        <v>#REF!</v>
      </c>
      <c r="J415" s="417" t="e">
        <f>J414/#REF!-1</f>
        <v>#REF!</v>
      </c>
      <c r="K415" s="414" t="e">
        <f>K414/#REF!-1</f>
        <v>#REF!</v>
      </c>
      <c r="L415" s="414" t="e">
        <f>L414/#REF!-1</f>
        <v>#REF!</v>
      </c>
      <c r="M415" s="414" t="e">
        <f>M414/#REF!-1</f>
        <v>#REF!</v>
      </c>
      <c r="N415" s="414" t="e">
        <f>N414/#REF!-1</f>
        <v>#REF!</v>
      </c>
      <c r="O415" s="417" t="e">
        <f>O414/#REF!-1</f>
        <v>#REF!</v>
      </c>
      <c r="P415" s="414" t="e">
        <f t="shared" ref="P415" si="896">P414/K414-1</f>
        <v>#REF!</v>
      </c>
      <c r="Q415" s="414">
        <f t="shared" ref="Q415" si="897">Q414/L414-1</f>
        <v>-4.0378267418924585E-3</v>
      </c>
      <c r="R415" s="414">
        <f t="shared" ref="R415" si="898">R414/M414-1</f>
        <v>8.4976880367506613E-3</v>
      </c>
      <c r="S415" s="414">
        <f t="shared" ref="S415" si="899">S414/N414-1</f>
        <v>2.245692698146029E-2</v>
      </c>
      <c r="T415" s="417" t="e">
        <f t="shared" ref="T415" si="900">T414/O414-1</f>
        <v>#REF!</v>
      </c>
      <c r="U415" s="414">
        <f t="shared" ref="U415" si="901">U414/P414-1</f>
        <v>3.4937120785876186E-2</v>
      </c>
      <c r="V415" s="414">
        <f t="shared" ref="V415" si="902">V414/Q414-1</f>
        <v>5.9365924613580479E-2</v>
      </c>
      <c r="W415" s="414">
        <f t="shared" ref="W415" si="903">W414/R414-1</f>
        <v>7.5678042421498448E-2</v>
      </c>
      <c r="X415" s="414">
        <f t="shared" ref="X415" si="904">X414/S414-1</f>
        <v>7.8034825131905849E-2</v>
      </c>
      <c r="Y415" s="417">
        <f t="shared" ref="Y415" si="905">Y414/T414-1</f>
        <v>6.1484361281657129E-2</v>
      </c>
      <c r="Z415" s="414">
        <f t="shared" ref="Z415" si="906">Z414/U414-1</f>
        <v>7.8359058750927524E-2</v>
      </c>
      <c r="AA415" s="414">
        <f t="shared" ref="AA415" si="907">AA414/V414-1</f>
        <v>7.3599141002860025E-2</v>
      </c>
      <c r="AB415" s="414">
        <f t="shared" ref="AB415" si="908">AB414/W414-1</f>
        <v>6.4888779932745111E-2</v>
      </c>
      <c r="AC415" s="414">
        <f t="shared" ref="AC415" si="909">AC414/X414-1</f>
        <v>6.1963967603900771E-2</v>
      </c>
      <c r="AD415" s="422">
        <f t="shared" ref="AD415" si="910">AD414/Y414-1</f>
        <v>6.5710387757899058E-2</v>
      </c>
      <c r="AE415" s="414" t="e">
        <f t="shared" ref="AE415" si="911">AE414/Z414-1</f>
        <v>#VALUE!</v>
      </c>
      <c r="AF415" s="414" t="e">
        <f t="shared" ref="AF415" si="912">AF414/AA414-1</f>
        <v>#VALUE!</v>
      </c>
      <c r="AG415" s="414"/>
      <c r="AH415" s="280"/>
      <c r="AI415" s="320"/>
      <c r="AJ415" s="280"/>
      <c r="AK415" s="280"/>
      <c r="AL415" s="280"/>
      <c r="AM415" s="280"/>
      <c r="AN415" s="320"/>
      <c r="AO415" s="280"/>
      <c r="AP415" s="280"/>
      <c r="AQ415" s="280"/>
      <c r="AR415" s="280"/>
      <c r="AS415" s="320"/>
      <c r="AT415" s="315"/>
      <c r="AU415" s="508"/>
      <c r="AV415" s="143"/>
      <c r="AW415" s="143"/>
      <c r="AX415" s="143"/>
      <c r="AY415" s="143"/>
      <c r="AZ415" s="143"/>
      <c r="BA415" s="143"/>
      <c r="BB415" s="143"/>
      <c r="BC415" s="143"/>
      <c r="BD415" s="143"/>
      <c r="BE415" s="143"/>
      <c r="BF415" s="143"/>
      <c r="BG415" s="143"/>
      <c r="BH415" s="143"/>
      <c r="BI415" s="143"/>
      <c r="BJ415" s="143"/>
      <c r="BK415" s="143"/>
      <c r="BL415" s="143"/>
      <c r="BM415" s="143"/>
      <c r="BN415" s="143"/>
      <c r="BO415" s="143"/>
      <c r="BP415" s="143"/>
      <c r="BQ415" s="143"/>
      <c r="BR415" s="143"/>
      <c r="BS415" s="143"/>
      <c r="BT415" s="143"/>
      <c r="BU415" s="143"/>
      <c r="BV415" s="143"/>
      <c r="BW415" s="143"/>
      <c r="BX415" s="143"/>
      <c r="BY415" s="143"/>
      <c r="BZ415" s="143"/>
      <c r="CA415" s="143"/>
      <c r="CB415" s="143"/>
      <c r="CC415" s="143"/>
      <c r="CD415" s="143"/>
      <c r="CE415" s="143"/>
      <c r="CF415" s="143"/>
      <c r="CG415" s="143"/>
      <c r="CH415" s="143"/>
      <c r="CI415" s="143"/>
      <c r="CJ415" s="143"/>
      <c r="CK415" s="143"/>
      <c r="CL415" s="143"/>
      <c r="CM415" s="143"/>
      <c r="CN415" s="143"/>
      <c r="CO415" s="143"/>
      <c r="CP415" s="143"/>
      <c r="CQ415" s="143"/>
      <c r="CR415" s="143"/>
      <c r="CS415" s="143"/>
      <c r="CT415" s="143"/>
      <c r="CU415" s="143"/>
      <c r="CV415" s="143"/>
      <c r="CW415" s="143"/>
      <c r="CX415" s="143"/>
      <c r="CY415" s="143"/>
      <c r="CZ415" s="143"/>
      <c r="DA415" s="143"/>
      <c r="DB415" s="143"/>
      <c r="DC415" s="143"/>
      <c r="DD415" s="143"/>
      <c r="DE415" s="143"/>
      <c r="DF415" s="143"/>
      <c r="DG415" s="143"/>
      <c r="DH415" s="143"/>
      <c r="DI415" s="143"/>
      <c r="DJ415" s="143"/>
      <c r="DK415" s="143"/>
      <c r="DL415" s="143"/>
      <c r="DM415" s="143"/>
      <c r="DN415" s="143"/>
      <c r="DO415" s="143"/>
      <c r="DP415" s="143"/>
      <c r="DQ415" s="143"/>
      <c r="DR415" s="143"/>
      <c r="DS415" s="143"/>
      <c r="DT415" s="143"/>
      <c r="DU415" s="143"/>
      <c r="DV415" s="143"/>
      <c r="DW415" s="143"/>
      <c r="DX415" s="143"/>
      <c r="DY415" s="143"/>
      <c r="DZ415" s="143"/>
      <c r="EA415" s="143"/>
      <c r="EB415" s="143"/>
      <c r="EC415" s="143"/>
      <c r="ED415" s="143"/>
      <c r="EE415" s="143"/>
      <c r="EF415" s="143"/>
      <c r="EG415" s="143"/>
      <c r="EH415" s="143"/>
      <c r="EI415" s="143"/>
      <c r="EJ415" s="143"/>
      <c r="EK415" s="143"/>
      <c r="EL415" s="143"/>
      <c r="EM415" s="143"/>
      <c r="EN415" s="143"/>
      <c r="EO415" s="143"/>
      <c r="EP415" s="143"/>
      <c r="EQ415" s="143"/>
      <c r="ER415" s="143"/>
      <c r="ES415" s="143"/>
      <c r="ET415" s="143"/>
      <c r="EU415" s="143"/>
      <c r="EV415" s="143"/>
      <c r="EW415" s="143"/>
      <c r="EX415" s="143"/>
      <c r="EY415" s="143"/>
      <c r="EZ415" s="143"/>
      <c r="FA415" s="143"/>
      <c r="FB415" s="143"/>
      <c r="FC415" s="143"/>
      <c r="FD415" s="143"/>
      <c r="FE415" s="143"/>
      <c r="FF415" s="143"/>
      <c r="FG415" s="143"/>
      <c r="FH415" s="143"/>
      <c r="FI415" s="143"/>
      <c r="FJ415" s="143"/>
      <c r="FK415" s="143"/>
      <c r="FL415" s="143"/>
      <c r="FM415" s="143"/>
      <c r="FN415" s="143"/>
      <c r="FO415" s="143"/>
      <c r="FP415" s="143"/>
      <c r="FQ415" s="143"/>
      <c r="FR415" s="143"/>
      <c r="FS415" s="143"/>
      <c r="FT415" s="143"/>
      <c r="FU415" s="143"/>
      <c r="FV415" s="143"/>
      <c r="FW415" s="143"/>
      <c r="FX415" s="143"/>
      <c r="FY415" s="143"/>
      <c r="FZ415" s="143"/>
      <c r="GA415" s="143"/>
      <c r="GB415" s="143"/>
      <c r="GC415" s="143"/>
      <c r="GD415" s="143"/>
      <c r="GE415" s="143"/>
      <c r="GF415" s="143"/>
      <c r="GG415" s="143"/>
      <c r="GH415" s="143"/>
      <c r="GI415" s="143"/>
      <c r="GJ415" s="143"/>
      <c r="GK415" s="143"/>
      <c r="GL415" s="143"/>
      <c r="GM415" s="143"/>
      <c r="GN415" s="143"/>
      <c r="GO415" s="143"/>
      <c r="GP415" s="143"/>
      <c r="GQ415" s="143"/>
      <c r="GR415" s="143"/>
      <c r="GS415" s="143"/>
      <c r="GT415" s="143"/>
      <c r="GU415" s="143"/>
      <c r="GV415" s="143"/>
      <c r="GW415" s="143"/>
      <c r="GX415" s="143"/>
      <c r="GY415" s="143"/>
      <c r="GZ415" s="143"/>
      <c r="HA415" s="143"/>
      <c r="HB415" s="143"/>
      <c r="HC415" s="143"/>
      <c r="HD415" s="143"/>
      <c r="HE415" s="143"/>
      <c r="HF415" s="143"/>
      <c r="HG415" s="143"/>
      <c r="HH415" s="143"/>
      <c r="HI415" s="143"/>
      <c r="HJ415" s="143"/>
      <c r="HK415" s="143"/>
      <c r="HL415" s="143"/>
      <c r="HM415" s="143"/>
      <c r="HN415" s="143"/>
      <c r="HO415" s="143"/>
      <c r="HP415" s="143"/>
      <c r="HQ415" s="143"/>
      <c r="HR415" s="143"/>
      <c r="HS415" s="143"/>
      <c r="HT415" s="143"/>
      <c r="HU415" s="143"/>
      <c r="HV415" s="143"/>
      <c r="HW415" s="143"/>
      <c r="HX415" s="143"/>
      <c r="HY415" s="143"/>
      <c r="HZ415" s="143"/>
      <c r="IA415" s="143"/>
      <c r="IB415" s="143"/>
      <c r="IC415" s="143"/>
      <c r="ID415" s="143"/>
      <c r="IE415" s="143"/>
      <c r="IF415" s="143"/>
      <c r="IG415" s="143"/>
      <c r="IH415" s="143"/>
      <c r="II415" s="143"/>
      <c r="IJ415" s="143"/>
      <c r="IK415" s="143"/>
      <c r="IL415" s="143"/>
      <c r="IM415" s="143"/>
      <c r="IN415" s="143"/>
      <c r="IO415" s="143"/>
      <c r="IP415" s="143"/>
      <c r="IQ415" s="143"/>
      <c r="IR415" s="143"/>
      <c r="IS415" s="143"/>
      <c r="IT415" s="143"/>
      <c r="IU415" s="143"/>
      <c r="IV415" s="143"/>
      <c r="IW415" s="143"/>
      <c r="IX415" s="143"/>
      <c r="IY415" s="143"/>
      <c r="IZ415" s="143"/>
      <c r="JA415" s="143"/>
      <c r="JB415" s="143"/>
      <c r="JC415" s="143"/>
      <c r="JD415" s="143"/>
      <c r="JE415" s="143"/>
      <c r="JF415" s="143"/>
      <c r="JG415" s="143"/>
      <c r="JH415" s="143"/>
      <c r="JI415" s="143"/>
    </row>
    <row r="416" spans="1:269" hidden="1" outlineLevel="1">
      <c r="A416" s="437" t="s">
        <v>207</v>
      </c>
      <c r="B416" s="144"/>
      <c r="C416" s="417" t="e">
        <f>C414/#REF!-1</f>
        <v>#REF!</v>
      </c>
      <c r="D416" s="417" t="e">
        <f>D414/#REF!-1</f>
        <v>#REF!</v>
      </c>
      <c r="E416" s="417" t="e">
        <f>E414/#REF!-1</f>
        <v>#REF!</v>
      </c>
      <c r="F416" s="414" t="e">
        <f>F414/#REF!-1</f>
        <v>#REF!</v>
      </c>
      <c r="G416" s="414" t="e">
        <f>G414/#REF!-1</f>
        <v>#REF!</v>
      </c>
      <c r="H416" s="414" t="e">
        <f>H414/#REF!-1</f>
        <v>#REF!</v>
      </c>
      <c r="I416" s="414" t="e">
        <f>I414/#REF!-1</f>
        <v>#REF!</v>
      </c>
      <c r="J416" s="417" t="e">
        <f>J414/#REF!-1</f>
        <v>#REF!</v>
      </c>
      <c r="K416" s="414" t="e">
        <f>K414/#REF!-1</f>
        <v>#REF!</v>
      </c>
      <c r="L416" s="414" t="e">
        <f>L414/#REF!-1</f>
        <v>#REF!</v>
      </c>
      <c r="M416" s="414" t="e">
        <f>M414/#REF!-1</f>
        <v>#REF!</v>
      </c>
      <c r="N416" s="414" t="e">
        <f>N414/#REF!-1</f>
        <v>#REF!</v>
      </c>
      <c r="O416" s="417" t="e">
        <f>O414/#REF!-1</f>
        <v>#REF!</v>
      </c>
      <c r="P416" s="414" t="e">
        <f>P414/#REF!-1</f>
        <v>#REF!</v>
      </c>
      <c r="Q416" s="414" t="e">
        <f>Q414/#REF!-1</f>
        <v>#REF!</v>
      </c>
      <c r="R416" s="414" t="e">
        <f>R414/#REF!-1</f>
        <v>#REF!</v>
      </c>
      <c r="S416" s="414" t="e">
        <f>S414/#REF!-1</f>
        <v>#REF!</v>
      </c>
      <c r="T416" s="417" t="e">
        <f>T414/#REF!-1</f>
        <v>#REF!</v>
      </c>
      <c r="U416" s="414" t="e">
        <f>U414/#REF!-1</f>
        <v>#REF!</v>
      </c>
      <c r="V416" s="414" t="e">
        <f>V414/#REF!-1</f>
        <v>#REF!</v>
      </c>
      <c r="W416" s="414" t="e">
        <f>W414/#REF!-1</f>
        <v>#REF!</v>
      </c>
      <c r="X416" s="414" t="e">
        <f>X414/#REF!-1</f>
        <v>#REF!</v>
      </c>
      <c r="Y416" s="417" t="e">
        <f>Y414/#REF!-1</f>
        <v>#REF!</v>
      </c>
      <c r="Z416" s="414" t="e">
        <f>Z414/#REF!-1</f>
        <v>#REF!</v>
      </c>
      <c r="AA416" s="414" t="e">
        <f>AA414/#REF!-1</f>
        <v>#REF!</v>
      </c>
      <c r="AB416" s="414" t="e">
        <f>AB414/#REF!-1</f>
        <v>#REF!</v>
      </c>
      <c r="AC416" s="414" t="e">
        <f>AC414/#REF!-1</f>
        <v>#REF!</v>
      </c>
      <c r="AD416" s="422" t="e">
        <f>AD414/#REF!-1</f>
        <v>#REF!</v>
      </c>
      <c r="AE416" s="414" t="e">
        <f>AE414/#REF!-1</f>
        <v>#VALUE!</v>
      </c>
      <c r="AF416" s="414" t="e">
        <f>AF414/#REF!-1</f>
        <v>#VALUE!</v>
      </c>
      <c r="AG416" s="414"/>
      <c r="AH416" s="280"/>
      <c r="AI416" s="320"/>
      <c r="AJ416" s="280"/>
      <c r="AK416" s="280"/>
      <c r="AL416" s="280"/>
      <c r="AM416" s="280"/>
      <c r="AN416" s="320"/>
      <c r="AO416" s="280"/>
      <c r="AP416" s="280"/>
      <c r="AQ416" s="280"/>
      <c r="AR416" s="280"/>
      <c r="AS416" s="320"/>
      <c r="AT416" s="315"/>
      <c r="AU416" s="508"/>
      <c r="AV416" s="143"/>
      <c r="AW416" s="143"/>
      <c r="AX416" s="143"/>
      <c r="AY416" s="143"/>
      <c r="AZ416" s="143"/>
      <c r="BA416" s="143"/>
      <c r="BB416" s="143"/>
      <c r="BC416" s="143"/>
      <c r="BD416" s="143"/>
      <c r="BE416" s="143"/>
      <c r="BF416" s="143"/>
      <c r="BG416" s="143"/>
      <c r="BH416" s="143"/>
      <c r="BI416" s="143"/>
      <c r="BJ416" s="143"/>
      <c r="BK416" s="143"/>
      <c r="BL416" s="143"/>
      <c r="BM416" s="143"/>
      <c r="BN416" s="143"/>
      <c r="BO416" s="143"/>
      <c r="BP416" s="143"/>
      <c r="BQ416" s="143"/>
      <c r="BR416" s="143"/>
      <c r="BS416" s="143"/>
      <c r="BT416" s="143"/>
      <c r="BU416" s="143"/>
      <c r="BV416" s="143"/>
      <c r="BW416" s="143"/>
      <c r="BX416" s="143"/>
      <c r="BY416" s="143"/>
      <c r="BZ416" s="143"/>
      <c r="CA416" s="143"/>
      <c r="CB416" s="143"/>
      <c r="CC416" s="143"/>
      <c r="CD416" s="143"/>
      <c r="CE416" s="143"/>
      <c r="CF416" s="143"/>
      <c r="CG416" s="143"/>
      <c r="CH416" s="143"/>
      <c r="CI416" s="143"/>
      <c r="CJ416" s="143"/>
      <c r="CK416" s="143"/>
      <c r="CL416" s="143"/>
      <c r="CM416" s="143"/>
      <c r="CN416" s="143"/>
      <c r="CO416" s="143"/>
      <c r="CP416" s="143"/>
      <c r="CQ416" s="143"/>
      <c r="CR416" s="143"/>
      <c r="CS416" s="143"/>
      <c r="CT416" s="143"/>
      <c r="CU416" s="143"/>
      <c r="CV416" s="143"/>
      <c r="CW416" s="143"/>
      <c r="CX416" s="143"/>
      <c r="CY416" s="143"/>
      <c r="CZ416" s="143"/>
      <c r="DA416" s="143"/>
      <c r="DB416" s="143"/>
      <c r="DC416" s="143"/>
      <c r="DD416" s="143"/>
      <c r="DE416" s="143"/>
      <c r="DF416" s="143"/>
      <c r="DG416" s="143"/>
      <c r="DH416" s="143"/>
      <c r="DI416" s="143"/>
      <c r="DJ416" s="143"/>
      <c r="DK416" s="143"/>
      <c r="DL416" s="143"/>
      <c r="DM416" s="143"/>
      <c r="DN416" s="143"/>
      <c r="DO416" s="143"/>
      <c r="DP416" s="143"/>
      <c r="DQ416" s="143"/>
      <c r="DR416" s="143"/>
      <c r="DS416" s="143"/>
      <c r="DT416" s="143"/>
      <c r="DU416" s="143"/>
      <c r="DV416" s="143"/>
      <c r="DW416" s="143"/>
      <c r="DX416" s="143"/>
      <c r="DY416" s="143"/>
      <c r="DZ416" s="143"/>
      <c r="EA416" s="143"/>
      <c r="EB416" s="143"/>
      <c r="EC416" s="143"/>
      <c r="ED416" s="143"/>
      <c r="EE416" s="143"/>
      <c r="EF416" s="143"/>
      <c r="EG416" s="143"/>
      <c r="EH416" s="143"/>
      <c r="EI416" s="143"/>
      <c r="EJ416" s="143"/>
      <c r="EK416" s="143"/>
      <c r="EL416" s="143"/>
      <c r="EM416" s="143"/>
      <c r="EN416" s="143"/>
      <c r="EO416" s="143"/>
      <c r="EP416" s="143"/>
      <c r="EQ416" s="143"/>
      <c r="ER416" s="143"/>
      <c r="ES416" s="143"/>
      <c r="ET416" s="143"/>
      <c r="EU416" s="143"/>
      <c r="EV416" s="143"/>
      <c r="EW416" s="143"/>
      <c r="EX416" s="143"/>
      <c r="EY416" s="143"/>
      <c r="EZ416" s="143"/>
      <c r="FA416" s="143"/>
      <c r="FB416" s="143"/>
      <c r="FC416" s="143"/>
      <c r="FD416" s="143"/>
      <c r="FE416" s="143"/>
      <c r="FF416" s="143"/>
      <c r="FG416" s="143"/>
      <c r="FH416" s="143"/>
      <c r="FI416" s="143"/>
      <c r="FJ416" s="143"/>
      <c r="FK416" s="143"/>
      <c r="FL416" s="143"/>
      <c r="FM416" s="143"/>
      <c r="FN416" s="143"/>
      <c r="FO416" s="143"/>
      <c r="FP416" s="143"/>
      <c r="FQ416" s="143"/>
      <c r="FR416" s="143"/>
      <c r="FS416" s="143"/>
      <c r="FT416" s="143"/>
      <c r="FU416" s="143"/>
      <c r="FV416" s="143"/>
      <c r="FW416" s="143"/>
      <c r="FX416" s="143"/>
      <c r="FY416" s="143"/>
      <c r="FZ416" s="143"/>
      <c r="GA416" s="143"/>
      <c r="GB416" s="143"/>
      <c r="GC416" s="143"/>
      <c r="GD416" s="143"/>
      <c r="GE416" s="143"/>
      <c r="GF416" s="143"/>
      <c r="GG416" s="143"/>
      <c r="GH416" s="143"/>
      <c r="GI416" s="143"/>
      <c r="GJ416" s="143"/>
      <c r="GK416" s="143"/>
      <c r="GL416" s="143"/>
      <c r="GM416" s="143"/>
      <c r="GN416" s="143"/>
      <c r="GO416" s="143"/>
      <c r="GP416" s="143"/>
      <c r="GQ416" s="143"/>
      <c r="GR416" s="143"/>
      <c r="GS416" s="143"/>
      <c r="GT416" s="143"/>
      <c r="GU416" s="143"/>
      <c r="GV416" s="143"/>
      <c r="GW416" s="143"/>
      <c r="GX416" s="143"/>
      <c r="GY416" s="143"/>
      <c r="GZ416" s="143"/>
      <c r="HA416" s="143"/>
      <c r="HB416" s="143"/>
      <c r="HC416" s="143"/>
      <c r="HD416" s="143"/>
      <c r="HE416" s="143"/>
      <c r="HF416" s="143"/>
      <c r="HG416" s="143"/>
      <c r="HH416" s="143"/>
      <c r="HI416" s="143"/>
      <c r="HJ416" s="143"/>
      <c r="HK416" s="143"/>
      <c r="HL416" s="143"/>
      <c r="HM416" s="143"/>
      <c r="HN416" s="143"/>
      <c r="HO416" s="143"/>
      <c r="HP416" s="143"/>
      <c r="HQ416" s="143"/>
      <c r="HR416" s="143"/>
      <c r="HS416" s="143"/>
      <c r="HT416" s="143"/>
      <c r="HU416" s="143"/>
      <c r="HV416" s="143"/>
      <c r="HW416" s="143"/>
      <c r="HX416" s="143"/>
      <c r="HY416" s="143"/>
      <c r="HZ416" s="143"/>
      <c r="IA416" s="143"/>
      <c r="IB416" s="143"/>
      <c r="IC416" s="143"/>
      <c r="ID416" s="143"/>
      <c r="IE416" s="143"/>
      <c r="IF416" s="143"/>
      <c r="IG416" s="143"/>
      <c r="IH416" s="143"/>
      <c r="II416" s="143"/>
      <c r="IJ416" s="143"/>
      <c r="IK416" s="143"/>
      <c r="IL416" s="143"/>
      <c r="IM416" s="143"/>
      <c r="IN416" s="143"/>
      <c r="IO416" s="143"/>
      <c r="IP416" s="143"/>
      <c r="IQ416" s="143"/>
      <c r="IR416" s="143"/>
      <c r="IS416" s="143"/>
      <c r="IT416" s="143"/>
      <c r="IU416" s="143"/>
      <c r="IV416" s="143"/>
      <c r="IW416" s="143"/>
      <c r="IX416" s="143"/>
      <c r="IY416" s="143"/>
      <c r="IZ416" s="143"/>
      <c r="JA416" s="143"/>
      <c r="JB416" s="143"/>
      <c r="JC416" s="143"/>
      <c r="JD416" s="143"/>
      <c r="JE416" s="143"/>
      <c r="JF416" s="143"/>
      <c r="JG416" s="143"/>
      <c r="JH416" s="143"/>
      <c r="JI416" s="143"/>
    </row>
    <row r="417" spans="1:269" hidden="1" outlineLevel="1">
      <c r="A417" s="437"/>
      <c r="B417" s="144"/>
      <c r="C417" s="417"/>
      <c r="D417" s="417"/>
      <c r="E417" s="417"/>
      <c r="F417" s="414"/>
      <c r="G417" s="414"/>
      <c r="H417" s="414"/>
      <c r="I417" s="414"/>
      <c r="J417" s="417"/>
      <c r="K417" s="414"/>
      <c r="L417" s="414"/>
      <c r="M417" s="414"/>
      <c r="N417" s="414"/>
      <c r="O417" s="417"/>
      <c r="P417" s="414"/>
      <c r="Q417" s="414"/>
      <c r="R417" s="414"/>
      <c r="S417" s="414"/>
      <c r="T417" s="417"/>
      <c r="U417" s="414"/>
      <c r="V417" s="414"/>
      <c r="W417" s="414"/>
      <c r="X417" s="414"/>
      <c r="Y417" s="417"/>
      <c r="Z417" s="414"/>
      <c r="AA417" s="414"/>
      <c r="AB417" s="414"/>
      <c r="AC417" s="414"/>
      <c r="AD417" s="422"/>
      <c r="AE417" s="414"/>
      <c r="AF417" s="414"/>
      <c r="AG417" s="414"/>
      <c r="AH417" s="280"/>
      <c r="AI417" s="320"/>
      <c r="AJ417" s="280"/>
      <c r="AK417" s="280"/>
      <c r="AL417" s="280"/>
      <c r="AM417" s="280"/>
      <c r="AN417" s="320"/>
      <c r="AO417" s="280"/>
      <c r="AP417" s="280"/>
      <c r="AQ417" s="280"/>
      <c r="AR417" s="280"/>
      <c r="AS417" s="320"/>
      <c r="AT417" s="315"/>
      <c r="AU417" s="508"/>
      <c r="AV417" s="143"/>
      <c r="AW417" s="143"/>
      <c r="AX417" s="143"/>
      <c r="AY417" s="143"/>
      <c r="AZ417" s="143"/>
      <c r="BA417" s="143"/>
      <c r="BB417" s="143"/>
      <c r="BC417" s="143"/>
      <c r="BD417" s="143"/>
      <c r="BE417" s="143"/>
      <c r="BF417" s="143"/>
      <c r="BG417" s="143"/>
      <c r="BH417" s="143"/>
      <c r="BI417" s="143"/>
      <c r="BJ417" s="143"/>
      <c r="BK417" s="143"/>
      <c r="BL417" s="143"/>
      <c r="BM417" s="143"/>
      <c r="BN417" s="143"/>
      <c r="BO417" s="143"/>
      <c r="BP417" s="143"/>
      <c r="BQ417" s="143"/>
      <c r="BR417" s="143"/>
      <c r="BS417" s="143"/>
      <c r="BT417" s="143"/>
      <c r="BU417" s="143"/>
      <c r="BV417" s="143"/>
      <c r="BW417" s="143"/>
      <c r="BX417" s="143"/>
      <c r="BY417" s="143"/>
      <c r="BZ417" s="143"/>
      <c r="CA417" s="143"/>
      <c r="CB417" s="143"/>
      <c r="CC417" s="143"/>
      <c r="CD417" s="143"/>
      <c r="CE417" s="143"/>
      <c r="CF417" s="143"/>
      <c r="CG417" s="143"/>
      <c r="CH417" s="143"/>
      <c r="CI417" s="143"/>
      <c r="CJ417" s="143"/>
      <c r="CK417" s="143"/>
      <c r="CL417" s="143"/>
      <c r="CM417" s="143"/>
      <c r="CN417" s="143"/>
      <c r="CO417" s="143"/>
      <c r="CP417" s="143"/>
      <c r="CQ417" s="143"/>
      <c r="CR417" s="143"/>
      <c r="CS417" s="143"/>
      <c r="CT417" s="143"/>
      <c r="CU417" s="143"/>
      <c r="CV417" s="143"/>
      <c r="CW417" s="143"/>
      <c r="CX417" s="143"/>
      <c r="CY417" s="143"/>
      <c r="CZ417" s="143"/>
      <c r="DA417" s="143"/>
      <c r="DB417" s="143"/>
      <c r="DC417" s="143"/>
      <c r="DD417" s="143"/>
      <c r="DE417" s="143"/>
      <c r="DF417" s="143"/>
      <c r="DG417" s="143"/>
      <c r="DH417" s="143"/>
      <c r="DI417" s="143"/>
      <c r="DJ417" s="143"/>
      <c r="DK417" s="143"/>
      <c r="DL417" s="143"/>
      <c r="DM417" s="143"/>
      <c r="DN417" s="143"/>
      <c r="DO417" s="143"/>
      <c r="DP417" s="143"/>
      <c r="DQ417" s="143"/>
      <c r="DR417" s="143"/>
      <c r="DS417" s="143"/>
      <c r="DT417" s="143"/>
      <c r="DU417" s="143"/>
      <c r="DV417" s="143"/>
      <c r="DW417" s="143"/>
      <c r="DX417" s="143"/>
      <c r="DY417" s="143"/>
      <c r="DZ417" s="143"/>
      <c r="EA417" s="143"/>
      <c r="EB417" s="143"/>
      <c r="EC417" s="143"/>
      <c r="ED417" s="143"/>
      <c r="EE417" s="143"/>
      <c r="EF417" s="143"/>
      <c r="EG417" s="143"/>
      <c r="EH417" s="143"/>
      <c r="EI417" s="143"/>
      <c r="EJ417" s="143"/>
      <c r="EK417" s="143"/>
      <c r="EL417" s="143"/>
      <c r="EM417" s="143"/>
      <c r="EN417" s="143"/>
      <c r="EO417" s="143"/>
      <c r="EP417" s="143"/>
      <c r="EQ417" s="143"/>
      <c r="ER417" s="143"/>
      <c r="ES417" s="143"/>
      <c r="ET417" s="143"/>
      <c r="EU417" s="143"/>
      <c r="EV417" s="143"/>
      <c r="EW417" s="143"/>
      <c r="EX417" s="143"/>
      <c r="EY417" s="143"/>
      <c r="EZ417" s="143"/>
      <c r="FA417" s="143"/>
      <c r="FB417" s="143"/>
      <c r="FC417" s="143"/>
      <c r="FD417" s="143"/>
      <c r="FE417" s="143"/>
      <c r="FF417" s="143"/>
      <c r="FG417" s="143"/>
      <c r="FH417" s="143"/>
      <c r="FI417" s="143"/>
      <c r="FJ417" s="143"/>
      <c r="FK417" s="143"/>
      <c r="FL417" s="143"/>
      <c r="FM417" s="143"/>
      <c r="FN417" s="143"/>
      <c r="FO417" s="143"/>
      <c r="FP417" s="143"/>
      <c r="FQ417" s="143"/>
      <c r="FR417" s="143"/>
      <c r="FS417" s="143"/>
      <c r="FT417" s="143"/>
      <c r="FU417" s="143"/>
      <c r="FV417" s="143"/>
      <c r="FW417" s="143"/>
      <c r="FX417" s="143"/>
      <c r="FY417" s="143"/>
      <c r="FZ417" s="143"/>
      <c r="GA417" s="143"/>
      <c r="GB417" s="143"/>
      <c r="GC417" s="143"/>
      <c r="GD417" s="143"/>
      <c r="GE417" s="143"/>
      <c r="GF417" s="143"/>
      <c r="GG417" s="143"/>
      <c r="GH417" s="143"/>
      <c r="GI417" s="143"/>
      <c r="GJ417" s="143"/>
      <c r="GK417" s="143"/>
      <c r="GL417" s="143"/>
      <c r="GM417" s="143"/>
      <c r="GN417" s="143"/>
      <c r="GO417" s="143"/>
      <c r="GP417" s="143"/>
      <c r="GQ417" s="143"/>
      <c r="GR417" s="143"/>
      <c r="GS417" s="143"/>
      <c r="GT417" s="143"/>
      <c r="GU417" s="143"/>
      <c r="GV417" s="143"/>
      <c r="GW417" s="143"/>
      <c r="GX417" s="143"/>
      <c r="GY417" s="143"/>
      <c r="GZ417" s="143"/>
      <c r="HA417" s="143"/>
      <c r="HB417" s="143"/>
      <c r="HC417" s="143"/>
      <c r="HD417" s="143"/>
      <c r="HE417" s="143"/>
      <c r="HF417" s="143"/>
      <c r="HG417" s="143"/>
      <c r="HH417" s="143"/>
      <c r="HI417" s="143"/>
      <c r="HJ417" s="143"/>
      <c r="HK417" s="143"/>
      <c r="HL417" s="143"/>
      <c r="HM417" s="143"/>
      <c r="HN417" s="143"/>
      <c r="HO417" s="143"/>
      <c r="HP417" s="143"/>
      <c r="HQ417" s="143"/>
      <c r="HR417" s="143"/>
      <c r="HS417" s="143"/>
      <c r="HT417" s="143"/>
      <c r="HU417" s="143"/>
      <c r="HV417" s="143"/>
      <c r="HW417" s="143"/>
      <c r="HX417" s="143"/>
      <c r="HY417" s="143"/>
      <c r="HZ417" s="143"/>
      <c r="IA417" s="143"/>
      <c r="IB417" s="143"/>
      <c r="IC417" s="143"/>
      <c r="ID417" s="143"/>
      <c r="IE417" s="143"/>
      <c r="IF417" s="143"/>
      <c r="IG417" s="143"/>
      <c r="IH417" s="143"/>
      <c r="II417" s="143"/>
      <c r="IJ417" s="143"/>
      <c r="IK417" s="143"/>
      <c r="IL417" s="143"/>
      <c r="IM417" s="143"/>
      <c r="IN417" s="143"/>
      <c r="IO417" s="143"/>
      <c r="IP417" s="143"/>
      <c r="IQ417" s="143"/>
      <c r="IR417" s="143"/>
      <c r="IS417" s="143"/>
      <c r="IT417" s="143"/>
      <c r="IU417" s="143"/>
      <c r="IV417" s="143"/>
      <c r="IW417" s="143"/>
      <c r="IX417" s="143"/>
      <c r="IY417" s="143"/>
      <c r="IZ417" s="143"/>
      <c r="JA417" s="143"/>
      <c r="JB417" s="143"/>
      <c r="JC417" s="143"/>
      <c r="JD417" s="143"/>
      <c r="JE417" s="143"/>
      <c r="JF417" s="143"/>
      <c r="JG417" s="143"/>
      <c r="JH417" s="143"/>
      <c r="JI417" s="143"/>
    </row>
    <row r="418" spans="1:269" hidden="1" outlineLevel="1">
      <c r="A418" s="437"/>
      <c r="B418" s="144"/>
      <c r="C418" s="417"/>
      <c r="D418" s="417"/>
      <c r="E418" s="417"/>
      <c r="F418" s="414"/>
      <c r="G418" s="414"/>
      <c r="H418" s="414"/>
      <c r="I418" s="414"/>
      <c r="J418" s="417"/>
      <c r="K418" s="414"/>
      <c r="L418" s="414"/>
      <c r="M418" s="414"/>
      <c r="N418" s="414"/>
      <c r="O418" s="417"/>
      <c r="P418" s="414"/>
      <c r="Q418" s="414"/>
      <c r="R418" s="414"/>
      <c r="S418" s="414"/>
      <c r="T418" s="417"/>
      <c r="U418" s="414"/>
      <c r="V418" s="414"/>
      <c r="W418" s="414"/>
      <c r="X418" s="414"/>
      <c r="Y418" s="417"/>
      <c r="Z418" s="414"/>
      <c r="AA418" s="414"/>
      <c r="AB418" s="414"/>
      <c r="AC418" s="414"/>
      <c r="AD418" s="422"/>
      <c r="AE418" s="414"/>
      <c r="AF418" s="414"/>
      <c r="AG418" s="414"/>
      <c r="AH418" s="280"/>
      <c r="AI418" s="320"/>
      <c r="AJ418" s="280"/>
      <c r="AK418" s="280"/>
      <c r="AL418" s="280"/>
      <c r="AM418" s="280"/>
      <c r="AN418" s="320"/>
      <c r="AO418" s="280"/>
      <c r="AP418" s="280"/>
      <c r="AQ418" s="280"/>
      <c r="AR418" s="280"/>
      <c r="AS418" s="320"/>
      <c r="AT418" s="315"/>
      <c r="AU418" s="508"/>
      <c r="AV418" s="143"/>
      <c r="AW418" s="143"/>
      <c r="AX418" s="143"/>
      <c r="AY418" s="143"/>
      <c r="AZ418" s="143"/>
      <c r="BA418" s="143"/>
      <c r="BB418" s="143"/>
      <c r="BC418" s="143"/>
      <c r="BD418" s="143"/>
      <c r="BE418" s="143"/>
      <c r="BF418" s="143"/>
      <c r="BG418" s="143"/>
      <c r="BH418" s="143"/>
      <c r="BI418" s="143"/>
      <c r="BJ418" s="143"/>
      <c r="BK418" s="143"/>
      <c r="BL418" s="143"/>
      <c r="BM418" s="143"/>
      <c r="BN418" s="143"/>
      <c r="BO418" s="143"/>
      <c r="BP418" s="143"/>
      <c r="BQ418" s="143"/>
      <c r="BR418" s="143"/>
      <c r="BS418" s="143"/>
      <c r="BT418" s="143"/>
      <c r="BU418" s="143"/>
      <c r="BV418" s="143"/>
      <c r="BW418" s="143"/>
      <c r="BX418" s="143"/>
      <c r="BY418" s="143"/>
      <c r="BZ418" s="143"/>
      <c r="CA418" s="143"/>
      <c r="CB418" s="143"/>
      <c r="CC418" s="143"/>
      <c r="CD418" s="143"/>
      <c r="CE418" s="143"/>
      <c r="CF418" s="143"/>
      <c r="CG418" s="143"/>
      <c r="CH418" s="143"/>
      <c r="CI418" s="143"/>
      <c r="CJ418" s="143"/>
      <c r="CK418" s="143"/>
      <c r="CL418" s="143"/>
      <c r="CM418" s="143"/>
      <c r="CN418" s="143"/>
      <c r="CO418" s="143"/>
      <c r="CP418" s="143"/>
      <c r="CQ418" s="143"/>
      <c r="CR418" s="143"/>
      <c r="CS418" s="143"/>
      <c r="CT418" s="143"/>
      <c r="CU418" s="143"/>
      <c r="CV418" s="143"/>
      <c r="CW418" s="143"/>
      <c r="CX418" s="143"/>
      <c r="CY418" s="143"/>
      <c r="CZ418" s="143"/>
      <c r="DA418" s="143"/>
      <c r="DB418" s="143"/>
      <c r="DC418" s="143"/>
      <c r="DD418" s="143"/>
      <c r="DE418" s="143"/>
      <c r="DF418" s="143"/>
      <c r="DG418" s="143"/>
      <c r="DH418" s="143"/>
      <c r="DI418" s="143"/>
      <c r="DJ418" s="143"/>
      <c r="DK418" s="143"/>
      <c r="DL418" s="143"/>
      <c r="DM418" s="143"/>
      <c r="DN418" s="143"/>
      <c r="DO418" s="143"/>
      <c r="DP418" s="143"/>
      <c r="DQ418" s="143"/>
      <c r="DR418" s="143"/>
      <c r="DS418" s="143"/>
      <c r="DT418" s="143"/>
      <c r="DU418" s="143"/>
      <c r="DV418" s="143"/>
      <c r="DW418" s="143"/>
      <c r="DX418" s="143"/>
      <c r="DY418" s="143"/>
      <c r="DZ418" s="143"/>
      <c r="EA418" s="143"/>
      <c r="EB418" s="143"/>
      <c r="EC418" s="143"/>
      <c r="ED418" s="143"/>
      <c r="EE418" s="143"/>
      <c r="EF418" s="143"/>
      <c r="EG418" s="143"/>
      <c r="EH418" s="143"/>
      <c r="EI418" s="143"/>
      <c r="EJ418" s="143"/>
      <c r="EK418" s="143"/>
      <c r="EL418" s="143"/>
      <c r="EM418" s="143"/>
      <c r="EN418" s="143"/>
      <c r="EO418" s="143"/>
      <c r="EP418" s="143"/>
      <c r="EQ418" s="143"/>
      <c r="ER418" s="143"/>
      <c r="ES418" s="143"/>
      <c r="ET418" s="143"/>
      <c r="EU418" s="143"/>
      <c r="EV418" s="143"/>
      <c r="EW418" s="143"/>
      <c r="EX418" s="143"/>
      <c r="EY418" s="143"/>
      <c r="EZ418" s="143"/>
      <c r="FA418" s="143"/>
      <c r="FB418" s="143"/>
      <c r="FC418" s="143"/>
      <c r="FD418" s="143"/>
      <c r="FE418" s="143"/>
      <c r="FF418" s="143"/>
      <c r="FG418" s="143"/>
      <c r="FH418" s="143"/>
      <c r="FI418" s="143"/>
      <c r="FJ418" s="143"/>
      <c r="FK418" s="143"/>
      <c r="FL418" s="143"/>
      <c r="FM418" s="143"/>
      <c r="FN418" s="143"/>
      <c r="FO418" s="143"/>
      <c r="FP418" s="143"/>
      <c r="FQ418" s="143"/>
      <c r="FR418" s="143"/>
      <c r="FS418" s="143"/>
      <c r="FT418" s="143"/>
      <c r="FU418" s="143"/>
      <c r="FV418" s="143"/>
      <c r="FW418" s="143"/>
      <c r="FX418" s="143"/>
      <c r="FY418" s="143"/>
      <c r="FZ418" s="143"/>
      <c r="GA418" s="143"/>
      <c r="GB418" s="143"/>
      <c r="GC418" s="143"/>
      <c r="GD418" s="143"/>
      <c r="GE418" s="143"/>
      <c r="GF418" s="143"/>
      <c r="GG418" s="143"/>
      <c r="GH418" s="143"/>
      <c r="GI418" s="143"/>
      <c r="GJ418" s="143"/>
      <c r="GK418" s="143"/>
      <c r="GL418" s="143"/>
      <c r="GM418" s="143"/>
      <c r="GN418" s="143"/>
      <c r="GO418" s="143"/>
      <c r="GP418" s="143"/>
      <c r="GQ418" s="143"/>
      <c r="GR418" s="143"/>
      <c r="GS418" s="143"/>
      <c r="GT418" s="143"/>
      <c r="GU418" s="143"/>
      <c r="GV418" s="143"/>
      <c r="GW418" s="143"/>
      <c r="GX418" s="143"/>
      <c r="GY418" s="143"/>
      <c r="GZ418" s="143"/>
      <c r="HA418" s="143"/>
      <c r="HB418" s="143"/>
      <c r="HC418" s="143"/>
      <c r="HD418" s="143"/>
      <c r="HE418" s="143"/>
      <c r="HF418" s="143"/>
      <c r="HG418" s="143"/>
      <c r="HH418" s="143"/>
      <c r="HI418" s="143"/>
      <c r="HJ418" s="143"/>
      <c r="HK418" s="143"/>
      <c r="HL418" s="143"/>
      <c r="HM418" s="143"/>
      <c r="HN418" s="143"/>
      <c r="HO418" s="143"/>
      <c r="HP418" s="143"/>
      <c r="HQ418" s="143"/>
      <c r="HR418" s="143"/>
      <c r="HS418" s="143"/>
      <c r="HT418" s="143"/>
      <c r="HU418" s="143"/>
      <c r="HV418" s="143"/>
      <c r="HW418" s="143"/>
      <c r="HX418" s="143"/>
      <c r="HY418" s="143"/>
      <c r="HZ418" s="143"/>
      <c r="IA418" s="143"/>
      <c r="IB418" s="143"/>
      <c r="IC418" s="143"/>
      <c r="ID418" s="143"/>
      <c r="IE418" s="143"/>
      <c r="IF418" s="143"/>
      <c r="IG418" s="143"/>
      <c r="IH418" s="143"/>
      <c r="II418" s="143"/>
      <c r="IJ418" s="143"/>
      <c r="IK418" s="143"/>
      <c r="IL418" s="143"/>
      <c r="IM418" s="143"/>
      <c r="IN418" s="143"/>
      <c r="IO418" s="143"/>
      <c r="IP418" s="143"/>
      <c r="IQ418" s="143"/>
      <c r="IR418" s="143"/>
      <c r="IS418" s="143"/>
      <c r="IT418" s="143"/>
      <c r="IU418" s="143"/>
      <c r="IV418" s="143"/>
      <c r="IW418" s="143"/>
      <c r="IX418" s="143"/>
      <c r="IY418" s="143"/>
      <c r="IZ418" s="143"/>
      <c r="JA418" s="143"/>
      <c r="JB418" s="143"/>
      <c r="JC418" s="143"/>
      <c r="JD418" s="143"/>
      <c r="JE418" s="143"/>
      <c r="JF418" s="143"/>
      <c r="JG418" s="143"/>
      <c r="JH418" s="143"/>
      <c r="JI418" s="143"/>
    </row>
    <row r="419" spans="1:269" hidden="1" outlineLevel="1">
      <c r="A419" s="83" t="s">
        <v>271</v>
      </c>
      <c r="B419" s="144" t="s">
        <v>272</v>
      </c>
      <c r="C419" s="74" t="e">
        <f>SUM(#REF!)</f>
        <v>#REF!</v>
      </c>
      <c r="D419" s="74" t="e">
        <f>SUM(#REF!)</f>
        <v>#REF!</v>
      </c>
      <c r="E419" s="74" t="e">
        <f>SUM(#REF!)</f>
        <v>#REF!</v>
      </c>
      <c r="F419" s="445" t="e">
        <f>_xll.BQL.QUERY("get(sum(px_last(start=" &amp; TEXT(#REF!, "YYYY-MM-DD") &amp; ", end=" &amp; TEXT(F$5, "YYYY-MM-DD") &amp; "))) for('"&amp;$B419&amp;"')")</f>
        <v>#REF!</v>
      </c>
      <c r="G419" s="445">
        <f>_xll.BQL.QUERY("get(sum(px_last(start=" &amp; TEXT(F$5, "YYYY-MM-DD") &amp; ", end=" &amp; TEXT(G$5, "YYYY-MM-DD") &amp; "))) for('"&amp;$B419&amp;"')")</f>
        <v>20075.651000000002</v>
      </c>
      <c r="H419" s="445">
        <f>_xll.BQL.QUERY("get(sum(px_last(start=" &amp; TEXT(G$5, "YYYY-MM-DD") &amp; ", end=" &amp; TEXT(H$5, "YYYY-MM-DD") &amp; "))) for('"&amp;$B419&amp;"')")</f>
        <v>22521.088</v>
      </c>
      <c r="I419" s="445">
        <f>_xll.BQL.QUERY("get(sum(px_last(start=" &amp; TEXT(H$5, "YYYY-MM-DD") &amp; ", end=" &amp; TEXT(I$5, "YYYY-MM-DD") &amp; "))) for('"&amp;$B419&amp;"')")</f>
        <v>19658.429</v>
      </c>
      <c r="J419" s="74" t="e">
        <f>SUM(#REF!)</f>
        <v>#REF!</v>
      </c>
      <c r="K419" s="445" t="e">
        <f>_xll.BQL.QUERY("get(sum(px_last(start=" &amp; TEXT(#REF!, "YYYY-MM-DD") &amp; ", end=" &amp; TEXT(K$5, "YYYY-MM-DD") &amp; "))) for('"&amp;$B419&amp;"')")</f>
        <v>#REF!</v>
      </c>
      <c r="L419" s="445">
        <f>_xll.BQL.QUERY("get(sum(px_last(start=" &amp; TEXT(K$5, "YYYY-MM-DD") &amp; ", end=" &amp; TEXT(L$5, "YYYY-MM-DD") &amp; "))) for('"&amp;$B419&amp;"')")</f>
        <v>3946.8959999999997</v>
      </c>
      <c r="M419" s="445">
        <f>_xll.BQL.QUERY("get(sum(px_last(start=" &amp; TEXT(L$5, "YYYY-MM-DD") &amp; ", end=" &amp; TEXT(M$5, "YYYY-MM-DD") &amp; "))) for('"&amp;$B419&amp;"')")</f>
        <v>2175.6389999999997</v>
      </c>
      <c r="N419" s="445">
        <f>_xll.BQL.QUERY("get(sum(px_last(start=" &amp; TEXT(M$5, "YYYY-MM-DD") &amp; ", end=" &amp; TEXT(N$5, "YYYY-MM-DD") &amp; "))) for('"&amp;$B419&amp;"')")</f>
        <v>3329.6280000000002</v>
      </c>
      <c r="O419" s="74" t="e">
        <f>SUM(K419:N419)</f>
        <v>#REF!</v>
      </c>
      <c r="P419" s="445">
        <f>_xll.BQL.QUERY("get(sum(px_last(start=" &amp; TEXT(O$5, "YYYY-MM-DD") &amp; ", end=" &amp; TEXT(P$5, "YYYY-MM-DD") &amp; "))) for('"&amp;$B419&amp;"')")</f>
        <v>3914.739</v>
      </c>
      <c r="Q419" s="445">
        <f>_xll.BQL.QUERY("get(sum(px_last(start=" &amp; TEXT(P$5, "YYYY-MM-DD") &amp; ", end=" &amp; TEXT(Q$5, "YYYY-MM-DD") &amp; "))) for('"&amp;$B419&amp;"')")</f>
        <v>5937.0169999999998</v>
      </c>
      <c r="R419" s="445">
        <f>_xll.BQL.QUERY("get(sum(px_last(start=" &amp; TEXT(Q$5, "YYYY-MM-DD") &amp; ", end=" &amp; TEXT(R$5, "YYYY-MM-DD") &amp; "))) for('"&amp;$B419&amp;"')")</f>
        <v>7930.9849999999997</v>
      </c>
      <c r="S419" s="445">
        <f>_xll.BQL.QUERY("get(sum(px_last(start=" &amp; TEXT(R$5, "YYYY-MM-DD") &amp; ", end=" &amp; TEXT(S$5, "YYYY-MM-DD") &amp; "))) for('"&amp;$B419&amp;"')")</f>
        <v>10316.948</v>
      </c>
      <c r="T419" s="74">
        <f>SUM(P419:S419)</f>
        <v>28099.688999999998</v>
      </c>
      <c r="U419" s="445">
        <f>_xll.BQL.QUERY("get(sum(px_last(start=" &amp; TEXT(T$5, "YYYY-MM-DD") &amp; ", end=" &amp; TEXT(U$5, "YYYY-MM-DD") &amp; "))) for('"&amp;$B419&amp;"')")</f>
        <v>11385.845999999998</v>
      </c>
      <c r="V419" s="445">
        <f>_xll.BQL.QUERY("get(sum(px_last(start=" &amp; TEXT(U$5, "YYYY-MM-DD") &amp; ", end=" &amp; TEXT(V$5, "YYYY-MM-DD") &amp; "))) for('"&amp;$B419&amp;"')")</f>
        <v>15779.609999999999</v>
      </c>
      <c r="W419" s="445">
        <f>_xll.BQL.QUERY("get(sum(px_last(start=" &amp; TEXT(V$5, "YYYY-MM-DD") &amp; ", end=" &amp; TEXT(W$5, "YYYY-MM-DD") &amp; "))) for('"&amp;$B419&amp;"')")</f>
        <v>19698.075000000001</v>
      </c>
      <c r="X419" s="445">
        <f>_xll.BQL.QUERY("get(sum(px_last(start=" &amp; TEXT(W$5, "YYYY-MM-DD") &amp; ", end=" &amp; TEXT(X$5, "YYYY-MM-DD") &amp; "))) for('"&amp;$B419&amp;"')")</f>
        <v>19509.351999999999</v>
      </c>
      <c r="Y419" s="74">
        <f>SUM(U419:X419)</f>
        <v>66372.883000000002</v>
      </c>
      <c r="Z419" s="445">
        <f>_xll.BQL.QUERY("get(sum(px_last(start=" &amp; TEXT(Y$5, "YYYY-MM-DD") &amp; ", end=" &amp; TEXT(Z$5, "YYYY-MM-DD") &amp; "))) for('"&amp;$B419&amp;"')")</f>
        <v>19148.95</v>
      </c>
      <c r="AA419" s="445">
        <f>_xll.BQL.QUERY("get(sum(px_last(start=" &amp; TEXT(Z$5, "YYYY-MM-DD") &amp; ", end=" &amp; TEXT(AA$5, "YYYY-MM-DD") &amp; "))) for('"&amp;$B419&amp;"')")</f>
        <v>21167.654000000002</v>
      </c>
      <c r="AB419" s="445">
        <f>_xll.BQL.QUERY("get(sum(px_last(start=" &amp; TEXT(AA$5, "YYYY-MM-DD") &amp; ", end=" &amp; TEXT(AB$5, "YYYY-MM-DD") &amp; "))) for('"&amp;$B419&amp;"')")</f>
        <v>18452.761000000002</v>
      </c>
      <c r="AC419" s="445" t="str">
        <f>_xll.BQL.QUERY("get(sum(px_last(start=" &amp; TEXT(AB$5, "YYYY-MM-DD") &amp; ", end=" &amp; TEXT(AC$5, "YYYY-MM-DD") &amp; "))) for('"&amp;$B419&amp;"')")</f>
        <v>#N/A</v>
      </c>
      <c r="AD419" s="283">
        <f>SUM(Z419:AC419)</f>
        <v>58769.365000000005</v>
      </c>
      <c r="AE419" s="445" t="str">
        <f>_xll.BQL.QUERY("get(sum(px_last(start=" &amp; TEXT(AD$5, "YYYY-MM-DD") &amp; ", end=" &amp; TEXT(AE$5, "YYYY-MM-DD") &amp; "))) for('"&amp;$B419&amp;"')")</f>
        <v>#N/A</v>
      </c>
      <c r="AF419" s="445" t="str">
        <f>_xll.BQL.QUERY("get(sum(px_last(start=" &amp; TEXT(AE$5, "YYYY-MM-DD") &amp; ", end=" &amp; TEXT(AF$5, "YYYY-MM-DD") &amp; "))) for('"&amp;$B419&amp;"')")</f>
        <v>#N/A</v>
      </c>
      <c r="AG419" s="445"/>
      <c r="AH419" s="280"/>
      <c r="AI419" s="320"/>
      <c r="AJ419" s="280"/>
      <c r="AK419" s="280"/>
      <c r="AL419" s="280"/>
      <c r="AM419" s="280"/>
      <c r="AN419" s="320"/>
      <c r="AO419" s="280"/>
      <c r="AP419" s="280"/>
      <c r="AQ419" s="280"/>
      <c r="AR419" s="280"/>
      <c r="AS419" s="320"/>
      <c r="AT419" s="315"/>
      <c r="AU419" s="508"/>
      <c r="AV419" s="143"/>
      <c r="AW419" s="143"/>
      <c r="AX419" s="143"/>
      <c r="AY419" s="143"/>
      <c r="AZ419" s="143"/>
      <c r="BA419" s="143"/>
      <c r="BB419" s="143"/>
      <c r="BC419" s="143"/>
      <c r="BD419" s="143"/>
      <c r="BE419" s="143"/>
      <c r="BF419" s="143"/>
      <c r="BG419" s="143"/>
      <c r="BH419" s="143"/>
      <c r="BI419" s="143"/>
      <c r="BJ419" s="143"/>
      <c r="BK419" s="143"/>
      <c r="BL419" s="143"/>
      <c r="BM419" s="143"/>
      <c r="BN419" s="143"/>
      <c r="BO419" s="143"/>
      <c r="BP419" s="143"/>
      <c r="BQ419" s="143"/>
      <c r="BR419" s="143"/>
      <c r="BS419" s="143"/>
      <c r="BT419" s="143"/>
      <c r="BU419" s="143"/>
      <c r="BV419" s="143"/>
      <c r="BW419" s="143"/>
      <c r="BX419" s="143"/>
      <c r="BY419" s="143"/>
      <c r="BZ419" s="143"/>
      <c r="CA419" s="143"/>
      <c r="CB419" s="143"/>
      <c r="CC419" s="143"/>
      <c r="CD419" s="143"/>
      <c r="CE419" s="143"/>
      <c r="CF419" s="143"/>
      <c r="CG419" s="143"/>
      <c r="CH419" s="143"/>
      <c r="CI419" s="143"/>
      <c r="CJ419" s="143"/>
      <c r="CK419" s="143"/>
      <c r="CL419" s="143"/>
      <c r="CM419" s="143"/>
      <c r="CN419" s="143"/>
      <c r="CO419" s="143"/>
      <c r="CP419" s="143"/>
      <c r="CQ419" s="143"/>
      <c r="CR419" s="143"/>
      <c r="CS419" s="143"/>
      <c r="CT419" s="143"/>
      <c r="CU419" s="143"/>
      <c r="CV419" s="143"/>
      <c r="CW419" s="143"/>
      <c r="CX419" s="143"/>
      <c r="CY419" s="143"/>
      <c r="CZ419" s="143"/>
      <c r="DA419" s="143"/>
      <c r="DB419" s="143"/>
      <c r="DC419" s="143"/>
      <c r="DD419" s="143"/>
      <c r="DE419" s="143"/>
      <c r="DF419" s="143"/>
      <c r="DG419" s="143"/>
      <c r="DH419" s="143"/>
      <c r="DI419" s="143"/>
      <c r="DJ419" s="143"/>
      <c r="DK419" s="143"/>
      <c r="DL419" s="143"/>
      <c r="DM419" s="143"/>
      <c r="DN419" s="143"/>
      <c r="DO419" s="143"/>
      <c r="DP419" s="143"/>
      <c r="DQ419" s="143"/>
      <c r="DR419" s="143"/>
      <c r="DS419" s="143"/>
      <c r="DT419" s="143"/>
      <c r="DU419" s="143"/>
      <c r="DV419" s="143"/>
      <c r="DW419" s="143"/>
      <c r="DX419" s="143"/>
      <c r="DY419" s="143"/>
      <c r="DZ419" s="143"/>
      <c r="EA419" s="143"/>
      <c r="EB419" s="143"/>
      <c r="EC419" s="143"/>
      <c r="ED419" s="143"/>
      <c r="EE419" s="143"/>
      <c r="EF419" s="143"/>
      <c r="EG419" s="143"/>
      <c r="EH419" s="143"/>
      <c r="EI419" s="143"/>
      <c r="EJ419" s="143"/>
      <c r="EK419" s="143"/>
      <c r="EL419" s="143"/>
      <c r="EM419" s="143"/>
      <c r="EN419" s="143"/>
      <c r="EO419" s="143"/>
      <c r="EP419" s="143"/>
      <c r="EQ419" s="143"/>
      <c r="ER419" s="143"/>
      <c r="ES419" s="143"/>
      <c r="ET419" s="143"/>
      <c r="EU419" s="143"/>
      <c r="EV419" s="143"/>
      <c r="EW419" s="143"/>
      <c r="EX419" s="143"/>
      <c r="EY419" s="143"/>
      <c r="EZ419" s="143"/>
      <c r="FA419" s="143"/>
      <c r="FB419" s="143"/>
      <c r="FC419" s="143"/>
      <c r="FD419" s="143"/>
      <c r="FE419" s="143"/>
      <c r="FF419" s="143"/>
      <c r="FG419" s="143"/>
      <c r="FH419" s="143"/>
      <c r="FI419" s="143"/>
      <c r="FJ419" s="143"/>
      <c r="FK419" s="143"/>
      <c r="FL419" s="143"/>
      <c r="FM419" s="143"/>
      <c r="FN419" s="143"/>
      <c r="FO419" s="143"/>
      <c r="FP419" s="143"/>
      <c r="FQ419" s="143"/>
      <c r="FR419" s="143"/>
      <c r="FS419" s="143"/>
      <c r="FT419" s="143"/>
      <c r="FU419" s="143"/>
      <c r="FV419" s="143"/>
      <c r="FW419" s="143"/>
      <c r="FX419" s="143"/>
      <c r="FY419" s="143"/>
      <c r="FZ419" s="143"/>
      <c r="GA419" s="143"/>
      <c r="GB419" s="143"/>
      <c r="GC419" s="143"/>
      <c r="GD419" s="143"/>
      <c r="GE419" s="143"/>
      <c r="GF419" s="143"/>
      <c r="GG419" s="143"/>
      <c r="GH419" s="143"/>
      <c r="GI419" s="143"/>
      <c r="GJ419" s="143"/>
      <c r="GK419" s="143"/>
      <c r="GL419" s="143"/>
      <c r="GM419" s="143"/>
      <c r="GN419" s="143"/>
      <c r="GO419" s="143"/>
      <c r="GP419" s="143"/>
      <c r="GQ419" s="143"/>
      <c r="GR419" s="143"/>
      <c r="GS419" s="143"/>
      <c r="GT419" s="143"/>
      <c r="GU419" s="143"/>
      <c r="GV419" s="143"/>
      <c r="GW419" s="143"/>
      <c r="GX419" s="143"/>
      <c r="GY419" s="143"/>
      <c r="GZ419" s="143"/>
      <c r="HA419" s="143"/>
      <c r="HB419" s="143"/>
      <c r="HC419" s="143"/>
      <c r="HD419" s="143"/>
      <c r="HE419" s="143"/>
      <c r="HF419" s="143"/>
      <c r="HG419" s="143"/>
      <c r="HH419" s="143"/>
      <c r="HI419" s="143"/>
      <c r="HJ419" s="143"/>
      <c r="HK419" s="143"/>
      <c r="HL419" s="143"/>
      <c r="HM419" s="143"/>
      <c r="HN419" s="143"/>
      <c r="HO419" s="143"/>
      <c r="HP419" s="143"/>
      <c r="HQ419" s="143"/>
      <c r="HR419" s="143"/>
      <c r="HS419" s="143"/>
      <c r="HT419" s="143"/>
      <c r="HU419" s="143"/>
      <c r="HV419" s="143"/>
      <c r="HW419" s="143"/>
      <c r="HX419" s="143"/>
      <c r="HY419" s="143"/>
      <c r="HZ419" s="143"/>
      <c r="IA419" s="143"/>
      <c r="IB419" s="143"/>
      <c r="IC419" s="143"/>
      <c r="ID419" s="143"/>
      <c r="IE419" s="143"/>
      <c r="IF419" s="143"/>
      <c r="IG419" s="143"/>
      <c r="IH419" s="143"/>
      <c r="II419" s="143"/>
      <c r="IJ419" s="143"/>
      <c r="IK419" s="143"/>
      <c r="IL419" s="143"/>
      <c r="IM419" s="143"/>
      <c r="IN419" s="143"/>
      <c r="IO419" s="143"/>
      <c r="IP419" s="143"/>
      <c r="IQ419" s="143"/>
      <c r="IR419" s="143"/>
      <c r="IS419" s="143"/>
      <c r="IT419" s="143"/>
      <c r="IU419" s="143"/>
      <c r="IV419" s="143"/>
      <c r="IW419" s="143"/>
      <c r="IX419" s="143"/>
      <c r="IY419" s="143"/>
      <c r="IZ419" s="143"/>
      <c r="JA419" s="143"/>
      <c r="JB419" s="143"/>
      <c r="JC419" s="143"/>
      <c r="JD419" s="143"/>
      <c r="JE419" s="143"/>
      <c r="JF419" s="143"/>
      <c r="JG419" s="143"/>
      <c r="JH419" s="143"/>
      <c r="JI419" s="143"/>
    </row>
    <row r="420" spans="1:269" hidden="1" outlineLevel="1">
      <c r="A420" s="437" t="s">
        <v>208</v>
      </c>
      <c r="B420" s="144"/>
      <c r="C420" s="417" t="e">
        <f>C419/#REF!-1</f>
        <v>#REF!</v>
      </c>
      <c r="D420" s="417" t="e">
        <f>D419/#REF!-1</f>
        <v>#REF!</v>
      </c>
      <c r="E420" s="417" t="e">
        <f>E419/#REF!-1</f>
        <v>#REF!</v>
      </c>
      <c r="F420" s="414" t="e">
        <f>F419/#REF!-1</f>
        <v>#REF!</v>
      </c>
      <c r="G420" s="414" t="e">
        <f>G419/#REF!-1</f>
        <v>#REF!</v>
      </c>
      <c r="H420" s="414" t="e">
        <f>H419/#REF!-1</f>
        <v>#REF!</v>
      </c>
      <c r="I420" s="414" t="e">
        <f>I419/#REF!-1</f>
        <v>#REF!</v>
      </c>
      <c r="J420" s="417" t="e">
        <f>J419/#REF!-1</f>
        <v>#REF!</v>
      </c>
      <c r="K420" s="414" t="e">
        <f>K419/#REF!-1</f>
        <v>#REF!</v>
      </c>
      <c r="L420" s="414" t="e">
        <f>L419/#REF!-1</f>
        <v>#REF!</v>
      </c>
      <c r="M420" s="414" t="e">
        <f>M419/#REF!-1</f>
        <v>#REF!</v>
      </c>
      <c r="N420" s="414" t="e">
        <f>N419/#REF!-1</f>
        <v>#REF!</v>
      </c>
      <c r="O420" s="417" t="e">
        <f>O419/#REF!-1</f>
        <v>#REF!</v>
      </c>
      <c r="P420" s="414" t="e">
        <f t="shared" ref="P420" si="913">P419/K419-1</f>
        <v>#REF!</v>
      </c>
      <c r="Q420" s="414">
        <f t="shared" ref="Q420" si="914">Q419/L419-1</f>
        <v>0.50422433223474861</v>
      </c>
      <c r="R420" s="414">
        <f t="shared" ref="R420" si="915">R419/M419-1</f>
        <v>2.6453589037519554</v>
      </c>
      <c r="S420" s="414">
        <f t="shared" ref="S420" si="916">S419/N419-1</f>
        <v>2.0985287245301878</v>
      </c>
      <c r="T420" s="417" t="e">
        <f t="shared" ref="T420" si="917">T419/O419-1</f>
        <v>#REF!</v>
      </c>
      <c r="U420" s="414">
        <f t="shared" ref="U420" si="918">U419/P419-1</f>
        <v>1.9084559660299187</v>
      </c>
      <c r="V420" s="414">
        <f t="shared" ref="V420" si="919">V419/Q419-1</f>
        <v>1.6578347341771127</v>
      </c>
      <c r="W420" s="414">
        <f t="shared" ref="W420" si="920">W419/R419-1</f>
        <v>1.4836858221267599</v>
      </c>
      <c r="X420" s="414">
        <f t="shared" ref="X420" si="921">X419/S419-1</f>
        <v>0.89100032296372911</v>
      </c>
      <c r="Y420" s="417">
        <f t="shared" ref="Y420" si="922">Y419/T419-1</f>
        <v>1.3620504483163498</v>
      </c>
      <c r="Z420" s="414">
        <f t="shared" ref="Z420" si="923">Z419/U419-1</f>
        <v>0.68182056915226186</v>
      </c>
      <c r="AA420" s="414">
        <f t="shared" ref="AA420" si="924">AA419/V419-1</f>
        <v>0.34145609428876922</v>
      </c>
      <c r="AB420" s="414">
        <f t="shared" ref="AB420" si="925">AB419/W419-1</f>
        <v>-6.3220086226699723E-2</v>
      </c>
      <c r="AC420" s="414" t="e">
        <f t="shared" ref="AC420" si="926">AC419/X419-1</f>
        <v>#VALUE!</v>
      </c>
      <c r="AD420" s="422">
        <f t="shared" ref="AD420" si="927">AD419/Y419-1</f>
        <v>-0.11455759726453341</v>
      </c>
      <c r="AE420" s="414" t="e">
        <f t="shared" ref="AE420" si="928">AE419/Z419-1</f>
        <v>#VALUE!</v>
      </c>
      <c r="AF420" s="414" t="e">
        <f t="shared" ref="AF420" si="929">AF419/AA419-1</f>
        <v>#VALUE!</v>
      </c>
      <c r="AG420" s="414"/>
      <c r="AH420" s="280"/>
      <c r="AI420" s="320"/>
      <c r="AJ420" s="280"/>
      <c r="AK420" s="280"/>
      <c r="AL420" s="280"/>
      <c r="AM420" s="280"/>
      <c r="AN420" s="320"/>
      <c r="AO420" s="280"/>
      <c r="AP420" s="280"/>
      <c r="AQ420" s="280"/>
      <c r="AR420" s="280"/>
      <c r="AS420" s="320"/>
      <c r="AT420" s="315"/>
      <c r="AU420" s="508"/>
      <c r="AV420" s="143"/>
      <c r="AW420" s="143"/>
      <c r="AX420" s="143"/>
      <c r="AY420" s="143"/>
      <c r="AZ420" s="143"/>
      <c r="BA420" s="143"/>
      <c r="BB420" s="143"/>
      <c r="BC420" s="143"/>
      <c r="BD420" s="143"/>
      <c r="BE420" s="143"/>
      <c r="BF420" s="143"/>
      <c r="BG420" s="143"/>
      <c r="BH420" s="143"/>
      <c r="BI420" s="143"/>
      <c r="BJ420" s="143"/>
      <c r="BK420" s="143"/>
      <c r="BL420" s="143"/>
      <c r="BM420" s="143"/>
      <c r="BN420" s="143"/>
      <c r="BO420" s="143"/>
      <c r="BP420" s="143"/>
      <c r="BQ420" s="143"/>
      <c r="BR420" s="143"/>
      <c r="BS420" s="143"/>
      <c r="BT420" s="143"/>
      <c r="BU420" s="143"/>
      <c r="BV420" s="143"/>
      <c r="BW420" s="143"/>
      <c r="BX420" s="143"/>
      <c r="BY420" s="143"/>
      <c r="BZ420" s="143"/>
      <c r="CA420" s="143"/>
      <c r="CB420" s="143"/>
      <c r="CC420" s="143"/>
      <c r="CD420" s="143"/>
      <c r="CE420" s="143"/>
      <c r="CF420" s="143"/>
      <c r="CG420" s="143"/>
      <c r="CH420" s="143"/>
      <c r="CI420" s="143"/>
      <c r="CJ420" s="143"/>
      <c r="CK420" s="143"/>
      <c r="CL420" s="143"/>
      <c r="CM420" s="143"/>
      <c r="CN420" s="143"/>
      <c r="CO420" s="143"/>
      <c r="CP420" s="143"/>
      <c r="CQ420" s="143"/>
      <c r="CR420" s="143"/>
      <c r="CS420" s="143"/>
      <c r="CT420" s="143"/>
      <c r="CU420" s="143"/>
      <c r="CV420" s="143"/>
      <c r="CW420" s="143"/>
      <c r="CX420" s="143"/>
      <c r="CY420" s="143"/>
      <c r="CZ420" s="143"/>
      <c r="DA420" s="143"/>
      <c r="DB420" s="143"/>
      <c r="DC420" s="143"/>
      <c r="DD420" s="143"/>
      <c r="DE420" s="143"/>
      <c r="DF420" s="143"/>
      <c r="DG420" s="143"/>
      <c r="DH420" s="143"/>
      <c r="DI420" s="143"/>
      <c r="DJ420" s="143"/>
      <c r="DK420" s="143"/>
      <c r="DL420" s="143"/>
      <c r="DM420" s="143"/>
      <c r="DN420" s="143"/>
      <c r="DO420" s="143"/>
      <c r="DP420" s="143"/>
      <c r="DQ420" s="143"/>
      <c r="DR420" s="143"/>
      <c r="DS420" s="143"/>
      <c r="DT420" s="143"/>
      <c r="DU420" s="143"/>
      <c r="DV420" s="143"/>
      <c r="DW420" s="143"/>
      <c r="DX420" s="143"/>
      <c r="DY420" s="143"/>
      <c r="DZ420" s="143"/>
      <c r="EA420" s="143"/>
      <c r="EB420" s="143"/>
      <c r="EC420" s="143"/>
      <c r="ED420" s="143"/>
      <c r="EE420" s="143"/>
      <c r="EF420" s="143"/>
      <c r="EG420" s="143"/>
      <c r="EH420" s="143"/>
      <c r="EI420" s="143"/>
      <c r="EJ420" s="143"/>
      <c r="EK420" s="143"/>
      <c r="EL420" s="143"/>
      <c r="EM420" s="143"/>
      <c r="EN420" s="143"/>
      <c r="EO420" s="143"/>
      <c r="EP420" s="143"/>
      <c r="EQ420" s="143"/>
      <c r="ER420" s="143"/>
      <c r="ES420" s="143"/>
      <c r="ET420" s="143"/>
      <c r="EU420" s="143"/>
      <c r="EV420" s="143"/>
      <c r="EW420" s="143"/>
      <c r="EX420" s="143"/>
      <c r="EY420" s="143"/>
      <c r="EZ420" s="143"/>
      <c r="FA420" s="143"/>
      <c r="FB420" s="143"/>
      <c r="FC420" s="143"/>
      <c r="FD420" s="143"/>
      <c r="FE420" s="143"/>
      <c r="FF420" s="143"/>
      <c r="FG420" s="143"/>
      <c r="FH420" s="143"/>
      <c r="FI420" s="143"/>
      <c r="FJ420" s="143"/>
      <c r="FK420" s="143"/>
      <c r="FL420" s="143"/>
      <c r="FM420" s="143"/>
      <c r="FN420" s="143"/>
      <c r="FO420" s="143"/>
      <c r="FP420" s="143"/>
      <c r="FQ420" s="143"/>
      <c r="FR420" s="143"/>
      <c r="FS420" s="143"/>
      <c r="FT420" s="143"/>
      <c r="FU420" s="143"/>
      <c r="FV420" s="143"/>
      <c r="FW420" s="143"/>
      <c r="FX420" s="143"/>
      <c r="FY420" s="143"/>
      <c r="FZ420" s="143"/>
      <c r="GA420" s="143"/>
      <c r="GB420" s="143"/>
      <c r="GC420" s="143"/>
      <c r="GD420" s="143"/>
      <c r="GE420" s="143"/>
      <c r="GF420" s="143"/>
      <c r="GG420" s="143"/>
      <c r="GH420" s="143"/>
      <c r="GI420" s="143"/>
      <c r="GJ420" s="143"/>
      <c r="GK420" s="143"/>
      <c r="GL420" s="143"/>
      <c r="GM420" s="143"/>
      <c r="GN420" s="143"/>
      <c r="GO420" s="143"/>
      <c r="GP420" s="143"/>
      <c r="GQ420" s="143"/>
      <c r="GR420" s="143"/>
      <c r="GS420" s="143"/>
      <c r="GT420" s="143"/>
      <c r="GU420" s="143"/>
      <c r="GV420" s="143"/>
      <c r="GW420" s="143"/>
      <c r="GX420" s="143"/>
      <c r="GY420" s="143"/>
      <c r="GZ420" s="143"/>
      <c r="HA420" s="143"/>
      <c r="HB420" s="143"/>
      <c r="HC420" s="143"/>
      <c r="HD420" s="143"/>
      <c r="HE420" s="143"/>
      <c r="HF420" s="143"/>
      <c r="HG420" s="143"/>
      <c r="HH420" s="143"/>
      <c r="HI420" s="143"/>
      <c r="HJ420" s="143"/>
      <c r="HK420" s="143"/>
      <c r="HL420" s="143"/>
      <c r="HM420" s="143"/>
      <c r="HN420" s="143"/>
      <c r="HO420" s="143"/>
      <c r="HP420" s="143"/>
      <c r="HQ420" s="143"/>
      <c r="HR420" s="143"/>
      <c r="HS420" s="143"/>
      <c r="HT420" s="143"/>
      <c r="HU420" s="143"/>
      <c r="HV420" s="143"/>
      <c r="HW420" s="143"/>
      <c r="HX420" s="143"/>
      <c r="HY420" s="143"/>
      <c r="HZ420" s="143"/>
      <c r="IA420" s="143"/>
      <c r="IB420" s="143"/>
      <c r="IC420" s="143"/>
      <c r="ID420" s="143"/>
      <c r="IE420" s="143"/>
      <c r="IF420" s="143"/>
      <c r="IG420" s="143"/>
      <c r="IH420" s="143"/>
      <c r="II420" s="143"/>
      <c r="IJ420" s="143"/>
      <c r="IK420" s="143"/>
      <c r="IL420" s="143"/>
      <c r="IM420" s="143"/>
      <c r="IN420" s="143"/>
      <c r="IO420" s="143"/>
      <c r="IP420" s="143"/>
      <c r="IQ420" s="143"/>
      <c r="IR420" s="143"/>
      <c r="IS420" s="143"/>
      <c r="IT420" s="143"/>
      <c r="IU420" s="143"/>
      <c r="IV420" s="143"/>
      <c r="IW420" s="143"/>
      <c r="IX420" s="143"/>
      <c r="IY420" s="143"/>
      <c r="IZ420" s="143"/>
      <c r="JA420" s="143"/>
      <c r="JB420" s="143"/>
      <c r="JC420" s="143"/>
      <c r="JD420" s="143"/>
      <c r="JE420" s="143"/>
      <c r="JF420" s="143"/>
      <c r="JG420" s="143"/>
      <c r="JH420" s="143"/>
      <c r="JI420" s="143"/>
    </row>
    <row r="421" spans="1:269" hidden="1" outlineLevel="1">
      <c r="A421" s="437" t="s">
        <v>207</v>
      </c>
      <c r="B421" s="144"/>
      <c r="C421" s="417" t="e">
        <f>C419/#REF!-1</f>
        <v>#REF!</v>
      </c>
      <c r="D421" s="417" t="e">
        <f>D419/#REF!-1</f>
        <v>#REF!</v>
      </c>
      <c r="E421" s="417" t="e">
        <f>E419/#REF!-1</f>
        <v>#REF!</v>
      </c>
      <c r="F421" s="414" t="e">
        <f>F419/#REF!-1</f>
        <v>#REF!</v>
      </c>
      <c r="G421" s="414" t="e">
        <f>G419/#REF!-1</f>
        <v>#REF!</v>
      </c>
      <c r="H421" s="414" t="e">
        <f>H419/#REF!-1</f>
        <v>#REF!</v>
      </c>
      <c r="I421" s="414" t="e">
        <f>I419/#REF!-1</f>
        <v>#REF!</v>
      </c>
      <c r="J421" s="417" t="e">
        <f>J419/#REF!-1</f>
        <v>#REF!</v>
      </c>
      <c r="K421" s="414" t="e">
        <f>K419/#REF!-1</f>
        <v>#REF!</v>
      </c>
      <c r="L421" s="414" t="e">
        <f>L419/#REF!-1</f>
        <v>#REF!</v>
      </c>
      <c r="M421" s="414" t="e">
        <f>M419/#REF!-1</f>
        <v>#REF!</v>
      </c>
      <c r="N421" s="414" t="e">
        <f>N419/#REF!-1</f>
        <v>#REF!</v>
      </c>
      <c r="O421" s="417" t="e">
        <f>O419/#REF!-1</f>
        <v>#REF!</v>
      </c>
      <c r="P421" s="414" t="e">
        <f>P419/#REF!-1</f>
        <v>#REF!</v>
      </c>
      <c r="Q421" s="414" t="e">
        <f>Q419/#REF!-1</f>
        <v>#REF!</v>
      </c>
      <c r="R421" s="414" t="e">
        <f>R419/#REF!-1</f>
        <v>#REF!</v>
      </c>
      <c r="S421" s="414" t="e">
        <f>S419/#REF!-1</f>
        <v>#REF!</v>
      </c>
      <c r="T421" s="417" t="e">
        <f>T419/#REF!-1</f>
        <v>#REF!</v>
      </c>
      <c r="U421" s="414" t="e">
        <f>U419/#REF!-1</f>
        <v>#REF!</v>
      </c>
      <c r="V421" s="414" t="e">
        <f>V419/#REF!-1</f>
        <v>#REF!</v>
      </c>
      <c r="W421" s="414" t="e">
        <f>W419/#REF!-1</f>
        <v>#REF!</v>
      </c>
      <c r="X421" s="414" t="e">
        <f>X419/#REF!-1</f>
        <v>#REF!</v>
      </c>
      <c r="Y421" s="417" t="e">
        <f>Y419/#REF!-1</f>
        <v>#REF!</v>
      </c>
      <c r="Z421" s="414" t="e">
        <f>Z419/#REF!-1</f>
        <v>#REF!</v>
      </c>
      <c r="AA421" s="414" t="e">
        <f>AA419/#REF!-1</f>
        <v>#REF!</v>
      </c>
      <c r="AB421" s="414" t="e">
        <f>AB419/#REF!-1</f>
        <v>#REF!</v>
      </c>
      <c r="AC421" s="414" t="e">
        <f>AC419/#REF!-1</f>
        <v>#VALUE!</v>
      </c>
      <c r="AD421" s="422" t="e">
        <f>AD419/#REF!-1</f>
        <v>#REF!</v>
      </c>
      <c r="AE421" s="414" t="e">
        <f>AE419/#REF!-1</f>
        <v>#VALUE!</v>
      </c>
      <c r="AF421" s="414" t="e">
        <f>AF419/#REF!-1</f>
        <v>#VALUE!</v>
      </c>
      <c r="AG421" s="414"/>
      <c r="AH421" s="280"/>
      <c r="AI421" s="320"/>
      <c r="AJ421" s="280"/>
      <c r="AK421" s="280"/>
      <c r="AL421" s="280"/>
      <c r="AM421" s="280"/>
      <c r="AN421" s="320"/>
      <c r="AO421" s="280"/>
      <c r="AP421" s="280"/>
      <c r="AQ421" s="280"/>
      <c r="AR421" s="280"/>
      <c r="AS421" s="320"/>
      <c r="AT421" s="315"/>
      <c r="AU421" s="508"/>
      <c r="AV421" s="143"/>
      <c r="AW421" s="143"/>
      <c r="AX421" s="143"/>
      <c r="AY421" s="143"/>
      <c r="AZ421" s="143"/>
      <c r="BA421" s="143"/>
      <c r="BB421" s="143"/>
      <c r="BC421" s="143"/>
      <c r="BD421" s="143"/>
      <c r="BE421" s="143"/>
      <c r="BF421" s="143"/>
      <c r="BG421" s="143"/>
      <c r="BH421" s="143"/>
      <c r="BI421" s="143"/>
      <c r="BJ421" s="143"/>
      <c r="BK421" s="143"/>
      <c r="BL421" s="143"/>
      <c r="BM421" s="143"/>
      <c r="BN421" s="143"/>
      <c r="BO421" s="143"/>
      <c r="BP421" s="143"/>
      <c r="BQ421" s="143"/>
      <c r="BR421" s="143"/>
      <c r="BS421" s="143"/>
      <c r="BT421" s="143"/>
      <c r="BU421" s="143"/>
      <c r="BV421" s="143"/>
      <c r="BW421" s="143"/>
      <c r="BX421" s="143"/>
      <c r="BY421" s="143"/>
      <c r="BZ421" s="143"/>
      <c r="CA421" s="143"/>
      <c r="CB421" s="143"/>
      <c r="CC421" s="143"/>
      <c r="CD421" s="143"/>
      <c r="CE421" s="143"/>
      <c r="CF421" s="143"/>
      <c r="CG421" s="143"/>
      <c r="CH421" s="143"/>
      <c r="CI421" s="143"/>
      <c r="CJ421" s="143"/>
      <c r="CK421" s="143"/>
      <c r="CL421" s="143"/>
      <c r="CM421" s="143"/>
      <c r="CN421" s="143"/>
      <c r="CO421" s="143"/>
      <c r="CP421" s="143"/>
      <c r="CQ421" s="143"/>
      <c r="CR421" s="143"/>
      <c r="CS421" s="143"/>
      <c r="CT421" s="143"/>
      <c r="CU421" s="143"/>
      <c r="CV421" s="143"/>
      <c r="CW421" s="143"/>
      <c r="CX421" s="143"/>
      <c r="CY421" s="143"/>
      <c r="CZ421" s="143"/>
      <c r="DA421" s="143"/>
      <c r="DB421" s="143"/>
      <c r="DC421" s="143"/>
      <c r="DD421" s="143"/>
      <c r="DE421" s="143"/>
      <c r="DF421" s="143"/>
      <c r="DG421" s="143"/>
      <c r="DH421" s="143"/>
      <c r="DI421" s="143"/>
      <c r="DJ421" s="143"/>
      <c r="DK421" s="143"/>
      <c r="DL421" s="143"/>
      <c r="DM421" s="143"/>
      <c r="DN421" s="143"/>
      <c r="DO421" s="143"/>
      <c r="DP421" s="143"/>
      <c r="DQ421" s="143"/>
      <c r="DR421" s="143"/>
      <c r="DS421" s="143"/>
      <c r="DT421" s="143"/>
      <c r="DU421" s="143"/>
      <c r="DV421" s="143"/>
      <c r="DW421" s="143"/>
      <c r="DX421" s="143"/>
      <c r="DY421" s="143"/>
      <c r="DZ421" s="143"/>
      <c r="EA421" s="143"/>
      <c r="EB421" s="143"/>
      <c r="EC421" s="143"/>
      <c r="ED421" s="143"/>
      <c r="EE421" s="143"/>
      <c r="EF421" s="143"/>
      <c r="EG421" s="143"/>
      <c r="EH421" s="143"/>
      <c r="EI421" s="143"/>
      <c r="EJ421" s="143"/>
      <c r="EK421" s="143"/>
      <c r="EL421" s="143"/>
      <c r="EM421" s="143"/>
      <c r="EN421" s="143"/>
      <c r="EO421" s="143"/>
      <c r="EP421" s="143"/>
      <c r="EQ421" s="143"/>
      <c r="ER421" s="143"/>
      <c r="ES421" s="143"/>
      <c r="ET421" s="143"/>
      <c r="EU421" s="143"/>
      <c r="EV421" s="143"/>
      <c r="EW421" s="143"/>
      <c r="EX421" s="143"/>
      <c r="EY421" s="143"/>
      <c r="EZ421" s="143"/>
      <c r="FA421" s="143"/>
      <c r="FB421" s="143"/>
      <c r="FC421" s="143"/>
      <c r="FD421" s="143"/>
      <c r="FE421" s="143"/>
      <c r="FF421" s="143"/>
      <c r="FG421" s="143"/>
      <c r="FH421" s="143"/>
      <c r="FI421" s="143"/>
      <c r="FJ421" s="143"/>
      <c r="FK421" s="143"/>
      <c r="FL421" s="143"/>
      <c r="FM421" s="143"/>
      <c r="FN421" s="143"/>
      <c r="FO421" s="143"/>
      <c r="FP421" s="143"/>
      <c r="FQ421" s="143"/>
      <c r="FR421" s="143"/>
      <c r="FS421" s="143"/>
      <c r="FT421" s="143"/>
      <c r="FU421" s="143"/>
      <c r="FV421" s="143"/>
      <c r="FW421" s="143"/>
      <c r="FX421" s="143"/>
      <c r="FY421" s="143"/>
      <c r="FZ421" s="143"/>
      <c r="GA421" s="143"/>
      <c r="GB421" s="143"/>
      <c r="GC421" s="143"/>
      <c r="GD421" s="143"/>
      <c r="GE421" s="143"/>
      <c r="GF421" s="143"/>
      <c r="GG421" s="143"/>
      <c r="GH421" s="143"/>
      <c r="GI421" s="143"/>
      <c r="GJ421" s="143"/>
      <c r="GK421" s="143"/>
      <c r="GL421" s="143"/>
      <c r="GM421" s="143"/>
      <c r="GN421" s="143"/>
      <c r="GO421" s="143"/>
      <c r="GP421" s="143"/>
      <c r="GQ421" s="143"/>
      <c r="GR421" s="143"/>
      <c r="GS421" s="143"/>
      <c r="GT421" s="143"/>
      <c r="GU421" s="143"/>
      <c r="GV421" s="143"/>
      <c r="GW421" s="143"/>
      <c r="GX421" s="143"/>
      <c r="GY421" s="143"/>
      <c r="GZ421" s="143"/>
      <c r="HA421" s="143"/>
      <c r="HB421" s="143"/>
      <c r="HC421" s="143"/>
      <c r="HD421" s="143"/>
      <c r="HE421" s="143"/>
      <c r="HF421" s="143"/>
      <c r="HG421" s="143"/>
      <c r="HH421" s="143"/>
      <c r="HI421" s="143"/>
      <c r="HJ421" s="143"/>
      <c r="HK421" s="143"/>
      <c r="HL421" s="143"/>
      <c r="HM421" s="143"/>
      <c r="HN421" s="143"/>
      <c r="HO421" s="143"/>
      <c r="HP421" s="143"/>
      <c r="HQ421" s="143"/>
      <c r="HR421" s="143"/>
      <c r="HS421" s="143"/>
      <c r="HT421" s="143"/>
      <c r="HU421" s="143"/>
      <c r="HV421" s="143"/>
      <c r="HW421" s="143"/>
      <c r="HX421" s="143"/>
      <c r="HY421" s="143"/>
      <c r="HZ421" s="143"/>
      <c r="IA421" s="143"/>
      <c r="IB421" s="143"/>
      <c r="IC421" s="143"/>
      <c r="ID421" s="143"/>
      <c r="IE421" s="143"/>
      <c r="IF421" s="143"/>
      <c r="IG421" s="143"/>
      <c r="IH421" s="143"/>
      <c r="II421" s="143"/>
      <c r="IJ421" s="143"/>
      <c r="IK421" s="143"/>
      <c r="IL421" s="143"/>
      <c r="IM421" s="143"/>
      <c r="IN421" s="143"/>
      <c r="IO421" s="143"/>
      <c r="IP421" s="143"/>
      <c r="IQ421" s="143"/>
      <c r="IR421" s="143"/>
      <c r="IS421" s="143"/>
      <c r="IT421" s="143"/>
      <c r="IU421" s="143"/>
      <c r="IV421" s="143"/>
      <c r="IW421" s="143"/>
      <c r="IX421" s="143"/>
      <c r="IY421" s="143"/>
      <c r="IZ421" s="143"/>
      <c r="JA421" s="143"/>
      <c r="JB421" s="143"/>
      <c r="JC421" s="143"/>
      <c r="JD421" s="143"/>
      <c r="JE421" s="143"/>
      <c r="JF421" s="143"/>
      <c r="JG421" s="143"/>
      <c r="JH421" s="143"/>
      <c r="JI421" s="143"/>
    </row>
    <row r="422" spans="1:269" hidden="1" outlineLevel="1">
      <c r="A422" s="83" t="s">
        <v>275</v>
      </c>
      <c r="B422" s="144" t="s">
        <v>274</v>
      </c>
      <c r="C422" s="475" t="e">
        <f>_xll.BQL.QUERY("get(avg(px_last(start=" &amp; TEXT(#REF!, "YYYY-MM-DD") &amp; ", end=" &amp; TEXT(C$5, "YYYY-MM-DD") &amp; "))) for('"&amp;$B422&amp;"')")</f>
        <v>#REF!</v>
      </c>
      <c r="D422" s="475" t="e">
        <f>_xll.BQL.QUERY("get(avg(px_last(start=" &amp; TEXT(#REF!, "YYYY-MM-DD") &amp; ", end=" &amp; TEXT(D$5, "YYYY-MM-DD") &amp; "))) for('"&amp;$B422&amp;"')")</f>
        <v>#REF!</v>
      </c>
      <c r="E422" s="475" t="e">
        <f>_xll.BQL.QUERY("get(avg(px_last(start=" &amp; TEXT(#REF!, "YYYY-MM-DD") &amp; ", end=" &amp; TEXT(E$5, "YYYY-MM-DD") &amp; "))) for('"&amp;$B422&amp;"')")</f>
        <v>#REF!</v>
      </c>
      <c r="F422" s="335" t="e">
        <f>_xll.BQL.QUERY("get(avg(px_last(start=" &amp; TEXT(#REF!, "YYYY-MM-DD") &amp; ", end=" &amp; TEXT(F$5, "YYYY-MM-DD") &amp; "))) for('"&amp;$B422&amp;"')")</f>
        <v>#REF!</v>
      </c>
      <c r="G422" s="335">
        <f>_xll.BQL.QUERY("get(avg(px_last(start=" &amp; TEXT(F$5, "YYYY-MM-DD") &amp; ", end=" &amp; TEXT(G$5, "YYYY-MM-DD") &amp; "))) for('"&amp;$B422&amp;"')")</f>
        <v>267.01866666666666</v>
      </c>
      <c r="H422" s="335">
        <f>_xll.BQL.QUERY("get(avg(px_last(start=" &amp; TEXT(G$5, "YYYY-MM-DD") &amp; ", end=" &amp; TEXT(H$5, "YYYY-MM-DD") &amp; "))) for('"&amp;$B422&amp;"')")</f>
        <v>267.8296666666667</v>
      </c>
      <c r="I422" s="335">
        <f>_xll.BQL.QUERY("get(avg(px_last(start=" &amp; TEXT(H$5, "YYYY-MM-DD") &amp; ", end=" &amp; TEXT(I$5, "YYYY-MM-DD") &amp; "))) for('"&amp;$B422&amp;"')")</f>
        <v>264.03033333333332</v>
      </c>
      <c r="J422" s="475" t="e">
        <f>_xll.BQL.QUERY("get(avg(px_last(start=" &amp; TEXT(#REF!, "YYYY-MM-DD") &amp; ", end=" &amp; TEXT(J$5, "YYYY-MM-DD") &amp; "))) for('"&amp;$B422&amp;"')")</f>
        <v>#REF!</v>
      </c>
      <c r="K422" s="335" t="e">
        <f>_xll.BQL.QUERY("get(avg(px_last(start=" &amp; TEXT(#REF!, "YYYY-MM-DD") &amp; ", end=" &amp; TEXT(K$5, "YYYY-MM-DD") &amp; "))) for('"&amp;$B422&amp;"')")</f>
        <v>#REF!</v>
      </c>
      <c r="L422" s="335">
        <f>_xll.BQL.QUERY("get(avg(px_last(start=" &amp; TEXT(K$5, "YYYY-MM-DD") &amp; ", end=" &amp; TEXT(L$5, "YYYY-MM-DD") &amp; "))) for('"&amp;$B422&amp;"')")</f>
        <v>207.23724999999999</v>
      </c>
      <c r="M422" s="335">
        <f>_xll.BQL.QUERY("get(avg(px_last(start=" &amp; TEXT(L$5, "YYYY-MM-DD") &amp; ", end=" &amp; TEXT(M$5, "YYYY-MM-DD") &amp; "))) for('"&amp;$B422&amp;"')")</f>
        <v>200.72925000000001</v>
      </c>
      <c r="N422" s="335">
        <f>_xll.BQL.QUERY("get(avg(px_last(start=" &amp; TEXT(M$5, "YYYY-MM-DD") &amp; ", end=" &amp; TEXT(N$5, "YYYY-MM-DD") &amp; "))) for('"&amp;$B422&amp;"')")</f>
        <v>211.53224999999998</v>
      </c>
      <c r="O422" s="475" t="e">
        <f>_xll.BQL.QUERY("get(avg(px_last(start=" &amp; TEXT(#REF!, "YYYY-MM-DD") &amp; ", end=" &amp; TEXT(O$5, "YYYY-MM-DD") &amp; "))) for('"&amp;$B422&amp;"')")</f>
        <v>#REF!</v>
      </c>
      <c r="P422" s="335">
        <f>_xll.BQL.QUERY("get(avg(px_last(start=" &amp; TEXT(O$5, "YYYY-MM-DD") &amp; ", end=" &amp; TEXT(P$5, "YYYY-MM-DD") &amp; "))) for('"&amp;$B422&amp;"')")</f>
        <v>207.15224999999998</v>
      </c>
      <c r="Q422" s="335">
        <f>_xll.BQL.QUERY("get(avg(px_last(start=" &amp; TEXT(P$5, "YYYY-MM-DD") &amp; ", end=" &amp; TEXT(Q$5, "YYYY-MM-DD") &amp; "))) for('"&amp;$B422&amp;"')")</f>
        <v>227.51625000000001</v>
      </c>
      <c r="R422" s="335">
        <f>_xll.BQL.QUERY("get(avg(px_last(start=" &amp; TEXT(Q$5, "YYYY-MM-DD") &amp; ", end=" &amp; TEXT(R$5, "YYYY-MM-DD") &amp; "))) for('"&amp;$B422&amp;"')")</f>
        <v>224.88249999999999</v>
      </c>
      <c r="S422" s="335">
        <f>_xll.BQL.QUERY("get(avg(px_last(start=" &amp; TEXT(R$5, "YYYY-MM-DD") &amp; ", end=" &amp; TEXT(S$5, "YYYY-MM-DD") &amp; "))) for('"&amp;$B422&amp;"')")</f>
        <v>208.35024999999999</v>
      </c>
      <c r="T422" s="475">
        <f>_xll.BQL.QUERY("get(avg(px_last(start=" &amp; TEXT(O$5, "YYYY-MM-DD") &amp; ", end=" &amp; TEXT(T$5, "YYYY-MM-DD") &amp; "))) for('"&amp;$B422&amp;"')")</f>
        <v>216.78876923076922</v>
      </c>
      <c r="U422" s="335">
        <f>_xll.BQL.QUERY("get(avg(px_last(start=" &amp; TEXT(T$5, "YYYY-MM-DD") &amp; ", end=" &amp; TEXT(U$5, "YYYY-MM-DD") &amp; "))) for('"&amp;$B422&amp;"')")</f>
        <v>229.857</v>
      </c>
      <c r="V422" s="335">
        <f>_xll.BQL.QUERY("get(avg(px_last(start=" &amp; TEXT(U$5, "YYYY-MM-DD") &amp; ", end=" &amp; TEXT(V$5, "YYYY-MM-DD") &amp; "))) for('"&amp;$B422&amp;"')")</f>
        <v>301.6105</v>
      </c>
      <c r="W422" s="335">
        <f>_xll.BQL.QUERY("get(avg(px_last(start=" &amp; TEXT(V$5, "YYYY-MM-DD") &amp; ", end=" &amp; TEXT(W$5, "YYYY-MM-DD") &amp; "))) for('"&amp;$B422&amp;"')")</f>
        <v>301.02249999999998</v>
      </c>
      <c r="X422" s="335">
        <f>_xll.BQL.QUERY("get(avg(px_last(start=" &amp; TEXT(W$5, "YYYY-MM-DD") &amp; ", end=" &amp; TEXT(X$5, "YYYY-MM-DD") &amp; "))) for('"&amp;$B422&amp;"')")</f>
        <v>286.56624999999997</v>
      </c>
      <c r="Y422" s="475">
        <f>_xll.BQL.QUERY("get(avg(px_last(start=" &amp; TEXT(T$5, "YYYY-MM-DD") &amp; ", end=" &amp; TEXT(Y$5, "YYYY-MM-DD") &amp; "))) for('"&amp;$B422&amp;"')")</f>
        <v>277.19084615384622</v>
      </c>
      <c r="Z422" s="335">
        <f>_xll.BQL.QUERY("get(avg(px_last(start=" &amp; TEXT(Y$5, "YYYY-MM-DD") &amp; ", end=" &amp; TEXT(Z$5, "YYYY-MM-DD") &amp; "))) for('"&amp;$B422&amp;"')")</f>
        <v>286.065</v>
      </c>
      <c r="AA422" s="335">
        <f>_xll.BQL.QUERY("get(avg(px_last(start=" &amp; TEXT(Z$5, "YYYY-MM-DD") &amp; ", end=" &amp; TEXT(AA$5, "YYYY-MM-DD") &amp; "))) for('"&amp;$B422&amp;"')")</f>
        <v>285.98499999999996</v>
      </c>
      <c r="AB422" s="335">
        <f>_xll.BQL.QUERY("get(avg(px_last(start=" &amp; TEXT(AA$5, "YYYY-MM-DD") &amp; ", end=" &amp; TEXT(AB$5, "YYYY-MM-DD") &amp; "))) for('"&amp;$B422&amp;"')")</f>
        <v>252.49700000000001</v>
      </c>
      <c r="AC422" s="335">
        <f>_xll.BQL.QUERY("get(avg(px_last(start=" &amp; TEXT(AB$5, "YYYY-MM-DD") &amp; ", end=" &amp; TEXT(AC$5, "YYYY-MM-DD") &amp; "))) for('"&amp;$B422&amp;"')")</f>
        <v>252.46</v>
      </c>
      <c r="AD422" s="540">
        <f>_xll.BQL.QUERY("get(avg(px_last(start=" &amp; TEXT(Y$5, "YYYY-MM-DD") &amp; ", end=" &amp; TEXT(AD$5, "YYYY-MM-DD") &amp; "))) for('"&amp;$B422&amp;"')")</f>
        <v>271.38627272727268</v>
      </c>
      <c r="AE422" s="335" t="str">
        <f>_xll.BQL.QUERY("get(avg(px_last(start=" &amp; TEXT(AD$5, "YYYY-MM-DD") &amp; ", end=" &amp; TEXT(AE$5, "YYYY-MM-DD") &amp; "))) for('"&amp;$B422&amp;"')")</f>
        <v>#N/A</v>
      </c>
      <c r="AF422" s="335" t="str">
        <f>_xll.BQL.QUERY("get(avg(px_last(start=" &amp; TEXT(AE$5, "YYYY-MM-DD") &amp; ", end=" &amp; TEXT(AF$5, "YYYY-MM-DD") &amp; "))) for('"&amp;$B422&amp;"')")</f>
        <v>#N/A</v>
      </c>
      <c r="AG422" s="335" t="str">
        <f>_xll.BQL.QUERY("get(avg(px_last(start=" &amp; TEXT(AF$5, "YYYY-MM-DD") &amp; ", end=" &amp; TEXT(AG$5, "YYYY-MM-DD") &amp; "))) for('"&amp;$B422&amp;"')")</f>
        <v>#N/A</v>
      </c>
      <c r="AH422" s="280"/>
      <c r="AI422" s="320"/>
      <c r="AJ422" s="280"/>
      <c r="AK422" s="280"/>
      <c r="AL422" s="280"/>
      <c r="AM422" s="280"/>
      <c r="AN422" s="320"/>
      <c r="AO422" s="280"/>
      <c r="AP422" s="280"/>
      <c r="AQ422" s="280"/>
      <c r="AR422" s="280"/>
      <c r="AS422" s="320"/>
      <c r="AT422" s="315"/>
      <c r="AU422" s="508"/>
      <c r="AV422" s="143"/>
      <c r="AW422" s="143"/>
      <c r="AX422" s="143"/>
      <c r="AY422" s="143"/>
      <c r="AZ422" s="143"/>
      <c r="BA422" s="143"/>
      <c r="BB422" s="143"/>
      <c r="BC422" s="143"/>
      <c r="BD422" s="143"/>
      <c r="BE422" s="143"/>
      <c r="BF422" s="143"/>
      <c r="BG422" s="143"/>
      <c r="BH422" s="143"/>
      <c r="BI422" s="143"/>
      <c r="BJ422" s="143"/>
      <c r="BK422" s="143"/>
      <c r="BL422" s="143"/>
      <c r="BM422" s="143"/>
      <c r="BN422" s="143"/>
      <c r="BO422" s="143"/>
      <c r="BP422" s="143"/>
      <c r="BQ422" s="143"/>
      <c r="BR422" s="143"/>
      <c r="BS422" s="143"/>
      <c r="BT422" s="143"/>
      <c r="BU422" s="143"/>
      <c r="BV422" s="143"/>
      <c r="BW422" s="143"/>
      <c r="BX422" s="143"/>
      <c r="BY422" s="143"/>
      <c r="BZ422" s="143"/>
      <c r="CA422" s="143"/>
      <c r="CB422" s="143"/>
      <c r="CC422" s="143"/>
      <c r="CD422" s="143"/>
      <c r="CE422" s="143"/>
      <c r="CF422" s="143"/>
      <c r="CG422" s="143"/>
      <c r="CH422" s="143"/>
      <c r="CI422" s="143"/>
      <c r="CJ422" s="143"/>
      <c r="CK422" s="143"/>
      <c r="CL422" s="143"/>
      <c r="CM422" s="143"/>
      <c r="CN422" s="143"/>
      <c r="CO422" s="143"/>
      <c r="CP422" s="143"/>
      <c r="CQ422" s="143"/>
      <c r="CR422" s="143"/>
      <c r="CS422" s="143"/>
      <c r="CT422" s="143"/>
      <c r="CU422" s="143"/>
      <c r="CV422" s="143"/>
      <c r="CW422" s="143"/>
      <c r="CX422" s="143"/>
      <c r="CY422" s="143"/>
      <c r="CZ422" s="143"/>
      <c r="DA422" s="143"/>
      <c r="DB422" s="143"/>
      <c r="DC422" s="143"/>
      <c r="DD422" s="143"/>
      <c r="DE422" s="143"/>
      <c r="DF422" s="143"/>
      <c r="DG422" s="143"/>
      <c r="DH422" s="143"/>
      <c r="DI422" s="143"/>
      <c r="DJ422" s="143"/>
      <c r="DK422" s="143"/>
      <c r="DL422" s="143"/>
      <c r="DM422" s="143"/>
      <c r="DN422" s="143"/>
      <c r="DO422" s="143"/>
      <c r="DP422" s="143"/>
      <c r="DQ422" s="143"/>
      <c r="DR422" s="143"/>
      <c r="DS422" s="143"/>
      <c r="DT422" s="143"/>
      <c r="DU422" s="143"/>
      <c r="DV422" s="143"/>
      <c r="DW422" s="143"/>
      <c r="DX422" s="143"/>
      <c r="DY422" s="143"/>
      <c r="DZ422" s="143"/>
      <c r="EA422" s="143"/>
      <c r="EB422" s="143"/>
      <c r="EC422" s="143"/>
      <c r="ED422" s="143"/>
      <c r="EE422" s="143"/>
      <c r="EF422" s="143"/>
      <c r="EG422" s="143"/>
      <c r="EH422" s="143"/>
      <c r="EI422" s="143"/>
      <c r="EJ422" s="143"/>
      <c r="EK422" s="143"/>
      <c r="EL422" s="143"/>
      <c r="EM422" s="143"/>
      <c r="EN422" s="143"/>
      <c r="EO422" s="143"/>
      <c r="EP422" s="143"/>
      <c r="EQ422" s="143"/>
      <c r="ER422" s="143"/>
      <c r="ES422" s="143"/>
      <c r="ET422" s="143"/>
      <c r="EU422" s="143"/>
      <c r="EV422" s="143"/>
      <c r="EW422" s="143"/>
      <c r="EX422" s="143"/>
      <c r="EY422" s="143"/>
      <c r="EZ422" s="143"/>
      <c r="FA422" s="143"/>
      <c r="FB422" s="143"/>
      <c r="FC422" s="143"/>
      <c r="FD422" s="143"/>
      <c r="FE422" s="143"/>
      <c r="FF422" s="143"/>
      <c r="FG422" s="143"/>
      <c r="FH422" s="143"/>
      <c r="FI422" s="143"/>
      <c r="FJ422" s="143"/>
      <c r="FK422" s="143"/>
      <c r="FL422" s="143"/>
      <c r="FM422" s="143"/>
      <c r="FN422" s="143"/>
      <c r="FO422" s="143"/>
      <c r="FP422" s="143"/>
      <c r="FQ422" s="143"/>
      <c r="FR422" s="143"/>
      <c r="FS422" s="143"/>
      <c r="FT422" s="143"/>
      <c r="FU422" s="143"/>
      <c r="FV422" s="143"/>
      <c r="FW422" s="143"/>
      <c r="FX422" s="143"/>
      <c r="FY422" s="143"/>
      <c r="FZ422" s="143"/>
      <c r="GA422" s="143"/>
      <c r="GB422" s="143"/>
      <c r="GC422" s="143"/>
      <c r="GD422" s="143"/>
      <c r="GE422" s="143"/>
      <c r="GF422" s="143"/>
      <c r="GG422" s="143"/>
      <c r="GH422" s="143"/>
      <c r="GI422" s="143"/>
      <c r="GJ422" s="143"/>
      <c r="GK422" s="143"/>
      <c r="GL422" s="143"/>
      <c r="GM422" s="143"/>
      <c r="GN422" s="143"/>
      <c r="GO422" s="143"/>
      <c r="GP422" s="143"/>
      <c r="GQ422" s="143"/>
      <c r="GR422" s="143"/>
      <c r="GS422" s="143"/>
      <c r="GT422" s="143"/>
      <c r="GU422" s="143"/>
      <c r="GV422" s="143"/>
      <c r="GW422" s="143"/>
      <c r="GX422" s="143"/>
      <c r="GY422" s="143"/>
      <c r="GZ422" s="143"/>
      <c r="HA422" s="143"/>
      <c r="HB422" s="143"/>
      <c r="HC422" s="143"/>
      <c r="HD422" s="143"/>
      <c r="HE422" s="143"/>
      <c r="HF422" s="143"/>
      <c r="HG422" s="143"/>
      <c r="HH422" s="143"/>
      <c r="HI422" s="143"/>
      <c r="HJ422" s="143"/>
      <c r="HK422" s="143"/>
      <c r="HL422" s="143"/>
      <c r="HM422" s="143"/>
      <c r="HN422" s="143"/>
      <c r="HO422" s="143"/>
      <c r="HP422" s="143"/>
      <c r="HQ422" s="143"/>
      <c r="HR422" s="143"/>
      <c r="HS422" s="143"/>
      <c r="HT422" s="143"/>
      <c r="HU422" s="143"/>
      <c r="HV422" s="143"/>
      <c r="HW422" s="143"/>
      <c r="HX422" s="143"/>
      <c r="HY422" s="143"/>
      <c r="HZ422" s="143"/>
      <c r="IA422" s="143"/>
      <c r="IB422" s="143"/>
      <c r="IC422" s="143"/>
      <c r="ID422" s="143"/>
      <c r="IE422" s="143"/>
      <c r="IF422" s="143"/>
      <c r="IG422" s="143"/>
      <c r="IH422" s="143"/>
      <c r="II422" s="143"/>
      <c r="IJ422" s="143"/>
      <c r="IK422" s="143"/>
      <c r="IL422" s="143"/>
      <c r="IM422" s="143"/>
      <c r="IN422" s="143"/>
      <c r="IO422" s="143"/>
      <c r="IP422" s="143"/>
      <c r="IQ422" s="143"/>
      <c r="IR422" s="143"/>
      <c r="IS422" s="143"/>
      <c r="IT422" s="143"/>
      <c r="IU422" s="143"/>
      <c r="IV422" s="143"/>
      <c r="IW422" s="143"/>
      <c r="IX422" s="143"/>
      <c r="IY422" s="143"/>
      <c r="IZ422" s="143"/>
      <c r="JA422" s="143"/>
      <c r="JB422" s="143"/>
      <c r="JC422" s="143"/>
      <c r="JD422" s="143"/>
      <c r="JE422" s="143"/>
      <c r="JF422" s="143"/>
      <c r="JG422" s="143"/>
      <c r="JH422" s="143"/>
      <c r="JI422" s="143"/>
    </row>
    <row r="423" spans="1:269" hidden="1" outlineLevel="1">
      <c r="A423" s="437" t="s">
        <v>208</v>
      </c>
      <c r="B423" s="144"/>
      <c r="C423" s="417" t="e">
        <f>C422/#REF!-1</f>
        <v>#REF!</v>
      </c>
      <c r="D423" s="417" t="e">
        <f>D422/#REF!-1</f>
        <v>#REF!</v>
      </c>
      <c r="E423" s="417" t="e">
        <f>E422/#REF!-1</f>
        <v>#REF!</v>
      </c>
      <c r="F423" s="414" t="e">
        <f>F422/#REF!-1</f>
        <v>#REF!</v>
      </c>
      <c r="G423" s="414" t="e">
        <f>G422/#REF!-1</f>
        <v>#REF!</v>
      </c>
      <c r="H423" s="414" t="e">
        <f>H422/#REF!-1</f>
        <v>#REF!</v>
      </c>
      <c r="I423" s="414" t="e">
        <f>I422/#REF!-1</f>
        <v>#REF!</v>
      </c>
      <c r="J423" s="417" t="e">
        <f>J422/#REF!-1</f>
        <v>#REF!</v>
      </c>
      <c r="K423" s="414" t="e">
        <f>K422/#REF!-1</f>
        <v>#REF!</v>
      </c>
      <c r="L423" s="414" t="e">
        <f>L422/#REF!-1</f>
        <v>#REF!</v>
      </c>
      <c r="M423" s="414" t="e">
        <f>M422/#REF!-1</f>
        <v>#REF!</v>
      </c>
      <c r="N423" s="414" t="e">
        <f>N422/#REF!-1</f>
        <v>#REF!</v>
      </c>
      <c r="O423" s="417" t="e">
        <f>O422/#REF!-1</f>
        <v>#REF!</v>
      </c>
      <c r="P423" s="414" t="e">
        <f t="shared" ref="P423" si="930">P422/K422-1</f>
        <v>#REF!</v>
      </c>
      <c r="Q423" s="414">
        <f t="shared" ref="Q423" si="931">Q422/L422-1</f>
        <v>9.785402962064027E-2</v>
      </c>
      <c r="R423" s="414">
        <f t="shared" ref="R423" si="932">R422/M422-1</f>
        <v>0.12032750583186047</v>
      </c>
      <c r="S423" s="414">
        <f t="shared" ref="S423" si="933">S422/N422-1</f>
        <v>-1.5042623524308851E-2</v>
      </c>
      <c r="T423" s="417" t="e">
        <f t="shared" ref="T423" si="934">T422/O422-1</f>
        <v>#REF!</v>
      </c>
      <c r="U423" s="414">
        <f t="shared" ref="U423" si="935">U422/P422-1</f>
        <v>0.10960416794893613</v>
      </c>
      <c r="V423" s="414">
        <f t="shared" ref="V423" si="936">V422/Q422-1</f>
        <v>0.32566574914978585</v>
      </c>
      <c r="W423" s="414">
        <f t="shared" ref="W423" si="937">W422/R422-1</f>
        <v>0.33857681233533055</v>
      </c>
      <c r="X423" s="414">
        <f t="shared" ref="X423" si="938">X422/S422-1</f>
        <v>0.37540631700705895</v>
      </c>
      <c r="Y423" s="417">
        <f t="shared" ref="Y423" si="939">Y422/T422-1</f>
        <v>0.27862179917069252</v>
      </c>
      <c r="Z423" s="414">
        <f t="shared" ref="Z423" si="940">Z422/U422-1</f>
        <v>0.24453464545347758</v>
      </c>
      <c r="AA423" s="414">
        <f t="shared" ref="AA423" si="941">AA422/V422-1</f>
        <v>-5.1806883381049551E-2</v>
      </c>
      <c r="AB423" s="414">
        <f t="shared" ref="AB423" si="942">AB422/W422-1</f>
        <v>-0.16120223571327719</v>
      </c>
      <c r="AC423" s="414">
        <f t="shared" ref="AC423" si="943">AC422/X422-1</f>
        <v>-0.11901698123906768</v>
      </c>
      <c r="AD423" s="422">
        <f t="shared" ref="AD423" si="944">AD422/Y422-1</f>
        <v>-2.0940711091707143E-2</v>
      </c>
      <c r="AE423" s="414" t="e">
        <f t="shared" ref="AE423" si="945">AE422/Z422-1</f>
        <v>#VALUE!</v>
      </c>
      <c r="AF423" s="414" t="e">
        <f t="shared" ref="AF423:AG423" si="946">AF422/AA422-1</f>
        <v>#VALUE!</v>
      </c>
      <c r="AG423" s="414" t="e">
        <f t="shared" si="946"/>
        <v>#VALUE!</v>
      </c>
      <c r="AH423" s="280"/>
      <c r="AI423" s="320"/>
      <c r="AJ423" s="280"/>
      <c r="AK423" s="280"/>
      <c r="AL423" s="280"/>
      <c r="AM423" s="280"/>
      <c r="AN423" s="320"/>
      <c r="AO423" s="280"/>
      <c r="AP423" s="280"/>
      <c r="AQ423" s="280"/>
      <c r="AR423" s="280"/>
      <c r="AS423" s="320"/>
      <c r="AT423" s="315"/>
      <c r="AU423" s="508"/>
      <c r="AV423" s="143"/>
      <c r="AW423" s="143"/>
      <c r="AX423" s="143"/>
      <c r="AY423" s="143"/>
      <c r="AZ423" s="143"/>
      <c r="BA423" s="143"/>
      <c r="BB423" s="143"/>
      <c r="BC423" s="143"/>
      <c r="BD423" s="143"/>
      <c r="BE423" s="143"/>
      <c r="BF423" s="143"/>
      <c r="BG423" s="143"/>
      <c r="BH423" s="143"/>
      <c r="BI423" s="143"/>
      <c r="BJ423" s="143"/>
      <c r="BK423" s="143"/>
      <c r="BL423" s="143"/>
      <c r="BM423" s="143"/>
      <c r="BN423" s="143"/>
      <c r="BO423" s="143"/>
      <c r="BP423" s="143"/>
      <c r="BQ423" s="143"/>
      <c r="BR423" s="143"/>
      <c r="BS423" s="143"/>
      <c r="BT423" s="143"/>
      <c r="BU423" s="143"/>
      <c r="BV423" s="143"/>
      <c r="BW423" s="143"/>
      <c r="BX423" s="143"/>
      <c r="BY423" s="143"/>
      <c r="BZ423" s="143"/>
      <c r="CA423" s="143"/>
      <c r="CB423" s="143"/>
      <c r="CC423" s="143"/>
      <c r="CD423" s="143"/>
      <c r="CE423" s="143"/>
      <c r="CF423" s="143"/>
      <c r="CG423" s="143"/>
      <c r="CH423" s="143"/>
      <c r="CI423" s="143"/>
      <c r="CJ423" s="143"/>
      <c r="CK423" s="143"/>
      <c r="CL423" s="143"/>
      <c r="CM423" s="143"/>
      <c r="CN423" s="143"/>
      <c r="CO423" s="143"/>
      <c r="CP423" s="143"/>
      <c r="CQ423" s="143"/>
      <c r="CR423" s="143"/>
      <c r="CS423" s="143"/>
      <c r="CT423" s="143"/>
      <c r="CU423" s="143"/>
      <c r="CV423" s="143"/>
      <c r="CW423" s="143"/>
      <c r="CX423" s="143"/>
      <c r="CY423" s="143"/>
      <c r="CZ423" s="143"/>
      <c r="DA423" s="143"/>
      <c r="DB423" s="143"/>
      <c r="DC423" s="143"/>
      <c r="DD423" s="143"/>
      <c r="DE423" s="143"/>
      <c r="DF423" s="143"/>
      <c r="DG423" s="143"/>
      <c r="DH423" s="143"/>
      <c r="DI423" s="143"/>
      <c r="DJ423" s="143"/>
      <c r="DK423" s="143"/>
      <c r="DL423" s="143"/>
      <c r="DM423" s="143"/>
      <c r="DN423" s="143"/>
      <c r="DO423" s="143"/>
      <c r="DP423" s="143"/>
      <c r="DQ423" s="143"/>
      <c r="DR423" s="143"/>
      <c r="DS423" s="143"/>
      <c r="DT423" s="143"/>
      <c r="DU423" s="143"/>
      <c r="DV423" s="143"/>
      <c r="DW423" s="143"/>
      <c r="DX423" s="143"/>
      <c r="DY423" s="143"/>
      <c r="DZ423" s="143"/>
      <c r="EA423" s="143"/>
      <c r="EB423" s="143"/>
      <c r="EC423" s="143"/>
      <c r="ED423" s="143"/>
      <c r="EE423" s="143"/>
      <c r="EF423" s="143"/>
      <c r="EG423" s="143"/>
      <c r="EH423" s="143"/>
      <c r="EI423" s="143"/>
      <c r="EJ423" s="143"/>
      <c r="EK423" s="143"/>
      <c r="EL423" s="143"/>
      <c r="EM423" s="143"/>
      <c r="EN423" s="143"/>
      <c r="EO423" s="143"/>
      <c r="EP423" s="143"/>
      <c r="EQ423" s="143"/>
      <c r="ER423" s="143"/>
      <c r="ES423" s="143"/>
      <c r="ET423" s="143"/>
      <c r="EU423" s="143"/>
      <c r="EV423" s="143"/>
      <c r="EW423" s="143"/>
      <c r="EX423" s="143"/>
      <c r="EY423" s="143"/>
      <c r="EZ423" s="143"/>
      <c r="FA423" s="143"/>
      <c r="FB423" s="143"/>
      <c r="FC423" s="143"/>
      <c r="FD423" s="143"/>
      <c r="FE423" s="143"/>
      <c r="FF423" s="143"/>
      <c r="FG423" s="143"/>
      <c r="FH423" s="143"/>
      <c r="FI423" s="143"/>
      <c r="FJ423" s="143"/>
      <c r="FK423" s="143"/>
      <c r="FL423" s="143"/>
      <c r="FM423" s="143"/>
      <c r="FN423" s="143"/>
      <c r="FO423" s="143"/>
      <c r="FP423" s="143"/>
      <c r="FQ423" s="143"/>
      <c r="FR423" s="143"/>
      <c r="FS423" s="143"/>
      <c r="FT423" s="143"/>
      <c r="FU423" s="143"/>
      <c r="FV423" s="143"/>
      <c r="FW423" s="143"/>
      <c r="FX423" s="143"/>
      <c r="FY423" s="143"/>
      <c r="FZ423" s="143"/>
      <c r="GA423" s="143"/>
      <c r="GB423" s="143"/>
      <c r="GC423" s="143"/>
      <c r="GD423" s="143"/>
      <c r="GE423" s="143"/>
      <c r="GF423" s="143"/>
      <c r="GG423" s="143"/>
      <c r="GH423" s="143"/>
      <c r="GI423" s="143"/>
      <c r="GJ423" s="143"/>
      <c r="GK423" s="143"/>
      <c r="GL423" s="143"/>
      <c r="GM423" s="143"/>
      <c r="GN423" s="143"/>
      <c r="GO423" s="143"/>
      <c r="GP423" s="143"/>
      <c r="GQ423" s="143"/>
      <c r="GR423" s="143"/>
      <c r="GS423" s="143"/>
      <c r="GT423" s="143"/>
      <c r="GU423" s="143"/>
      <c r="GV423" s="143"/>
      <c r="GW423" s="143"/>
      <c r="GX423" s="143"/>
      <c r="GY423" s="143"/>
      <c r="GZ423" s="143"/>
      <c r="HA423" s="143"/>
      <c r="HB423" s="143"/>
      <c r="HC423" s="143"/>
      <c r="HD423" s="143"/>
      <c r="HE423" s="143"/>
      <c r="HF423" s="143"/>
      <c r="HG423" s="143"/>
      <c r="HH423" s="143"/>
      <c r="HI423" s="143"/>
      <c r="HJ423" s="143"/>
      <c r="HK423" s="143"/>
      <c r="HL423" s="143"/>
      <c r="HM423" s="143"/>
      <c r="HN423" s="143"/>
      <c r="HO423" s="143"/>
      <c r="HP423" s="143"/>
      <c r="HQ423" s="143"/>
      <c r="HR423" s="143"/>
      <c r="HS423" s="143"/>
      <c r="HT423" s="143"/>
      <c r="HU423" s="143"/>
      <c r="HV423" s="143"/>
      <c r="HW423" s="143"/>
      <c r="HX423" s="143"/>
      <c r="HY423" s="143"/>
      <c r="HZ423" s="143"/>
      <c r="IA423" s="143"/>
      <c r="IB423" s="143"/>
      <c r="IC423" s="143"/>
      <c r="ID423" s="143"/>
      <c r="IE423" s="143"/>
      <c r="IF423" s="143"/>
      <c r="IG423" s="143"/>
      <c r="IH423" s="143"/>
      <c r="II423" s="143"/>
      <c r="IJ423" s="143"/>
      <c r="IK423" s="143"/>
      <c r="IL423" s="143"/>
      <c r="IM423" s="143"/>
      <c r="IN423" s="143"/>
      <c r="IO423" s="143"/>
      <c r="IP423" s="143"/>
      <c r="IQ423" s="143"/>
      <c r="IR423" s="143"/>
      <c r="IS423" s="143"/>
      <c r="IT423" s="143"/>
      <c r="IU423" s="143"/>
      <c r="IV423" s="143"/>
      <c r="IW423" s="143"/>
      <c r="IX423" s="143"/>
      <c r="IY423" s="143"/>
      <c r="IZ423" s="143"/>
      <c r="JA423" s="143"/>
      <c r="JB423" s="143"/>
      <c r="JC423" s="143"/>
      <c r="JD423" s="143"/>
      <c r="JE423" s="143"/>
      <c r="JF423" s="143"/>
      <c r="JG423" s="143"/>
      <c r="JH423" s="143"/>
      <c r="JI423" s="143"/>
    </row>
    <row r="424" spans="1:269" hidden="1" outlineLevel="1">
      <c r="A424" s="437" t="s">
        <v>207</v>
      </c>
      <c r="B424" s="144"/>
      <c r="C424" s="417" t="e">
        <f>C422/#REF!-1</f>
        <v>#REF!</v>
      </c>
      <c r="D424" s="417" t="e">
        <f>D422/#REF!-1</f>
        <v>#REF!</v>
      </c>
      <c r="E424" s="417" t="e">
        <f>E422/#REF!-1</f>
        <v>#REF!</v>
      </c>
      <c r="F424" s="414" t="e">
        <f>F422/#REF!-1</f>
        <v>#REF!</v>
      </c>
      <c r="G424" s="414" t="e">
        <f>G422/#REF!-1</f>
        <v>#REF!</v>
      </c>
      <c r="H424" s="414" t="e">
        <f>H422/#REF!-1</f>
        <v>#REF!</v>
      </c>
      <c r="I424" s="414" t="e">
        <f>I422/#REF!-1</f>
        <v>#REF!</v>
      </c>
      <c r="J424" s="417" t="e">
        <f>J422/#REF!-1</f>
        <v>#REF!</v>
      </c>
      <c r="K424" s="414" t="e">
        <f>K422/#REF!-1</f>
        <v>#REF!</v>
      </c>
      <c r="L424" s="414" t="e">
        <f>L422/#REF!-1</f>
        <v>#REF!</v>
      </c>
      <c r="M424" s="414" t="e">
        <f>M422/#REF!-1</f>
        <v>#REF!</v>
      </c>
      <c r="N424" s="414" t="e">
        <f>N422/#REF!-1</f>
        <v>#REF!</v>
      </c>
      <c r="O424" s="417" t="e">
        <f>O422/#REF!-1</f>
        <v>#REF!</v>
      </c>
      <c r="P424" s="414" t="e">
        <f>P422/#REF!-1</f>
        <v>#REF!</v>
      </c>
      <c r="Q424" s="414" t="e">
        <f>Q422/#REF!-1</f>
        <v>#REF!</v>
      </c>
      <c r="R424" s="414" t="e">
        <f>R422/#REF!-1</f>
        <v>#REF!</v>
      </c>
      <c r="S424" s="414" t="e">
        <f>S422/#REF!-1</f>
        <v>#REF!</v>
      </c>
      <c r="T424" s="417" t="e">
        <f>T422/#REF!-1</f>
        <v>#REF!</v>
      </c>
      <c r="U424" s="414" t="e">
        <f>U422/#REF!-1</f>
        <v>#REF!</v>
      </c>
      <c r="V424" s="414" t="e">
        <f>V422/#REF!-1</f>
        <v>#REF!</v>
      </c>
      <c r="W424" s="414" t="e">
        <f>W422/#REF!-1</f>
        <v>#REF!</v>
      </c>
      <c r="X424" s="414" t="e">
        <f>X422/#REF!-1</f>
        <v>#REF!</v>
      </c>
      <c r="Y424" s="417" t="e">
        <f>Y422/#REF!-1</f>
        <v>#REF!</v>
      </c>
      <c r="Z424" s="414" t="e">
        <f>Z422/#REF!-1</f>
        <v>#REF!</v>
      </c>
      <c r="AA424" s="414" t="e">
        <f>AA422/#REF!-1</f>
        <v>#REF!</v>
      </c>
      <c r="AB424" s="414" t="e">
        <f>AB422/#REF!-1</f>
        <v>#REF!</v>
      </c>
      <c r="AC424" s="414" t="e">
        <f>AC422/#REF!-1</f>
        <v>#REF!</v>
      </c>
      <c r="AD424" s="422" t="e">
        <f>AD422/#REF!-1</f>
        <v>#REF!</v>
      </c>
      <c r="AE424" s="414" t="e">
        <f>AE422/#REF!-1</f>
        <v>#VALUE!</v>
      </c>
      <c r="AF424" s="414" t="e">
        <f>AF422/#REF!-1</f>
        <v>#VALUE!</v>
      </c>
      <c r="AG424" s="414" t="e">
        <f>AG422/#REF!-1</f>
        <v>#VALUE!</v>
      </c>
      <c r="AH424" s="280"/>
      <c r="AI424" s="320"/>
      <c r="AJ424" s="280"/>
      <c r="AK424" s="280"/>
      <c r="AL424" s="280"/>
      <c r="AM424" s="280"/>
      <c r="AN424" s="320"/>
      <c r="AO424" s="280"/>
      <c r="AP424" s="280"/>
      <c r="AQ424" s="280"/>
      <c r="AR424" s="280"/>
      <c r="AS424" s="320"/>
      <c r="AT424" s="315"/>
      <c r="AU424" s="508"/>
      <c r="AV424" s="143"/>
      <c r="AW424" s="143"/>
      <c r="AX424" s="143"/>
      <c r="AY424" s="143"/>
      <c r="AZ424" s="143"/>
      <c r="BA424" s="143"/>
      <c r="BB424" s="143"/>
      <c r="BC424" s="143"/>
      <c r="BD424" s="143"/>
      <c r="BE424" s="143"/>
      <c r="BF424" s="143"/>
      <c r="BG424" s="143"/>
      <c r="BH424" s="143"/>
      <c r="BI424" s="143"/>
      <c r="BJ424" s="143"/>
      <c r="BK424" s="143"/>
      <c r="BL424" s="143"/>
      <c r="BM424" s="143"/>
      <c r="BN424" s="143"/>
      <c r="BO424" s="143"/>
      <c r="BP424" s="143"/>
      <c r="BQ424" s="143"/>
      <c r="BR424" s="143"/>
      <c r="BS424" s="143"/>
      <c r="BT424" s="143"/>
      <c r="BU424" s="143"/>
      <c r="BV424" s="143"/>
      <c r="BW424" s="143"/>
      <c r="BX424" s="143"/>
      <c r="BY424" s="143"/>
      <c r="BZ424" s="143"/>
      <c r="CA424" s="143"/>
      <c r="CB424" s="143"/>
      <c r="CC424" s="143"/>
      <c r="CD424" s="143"/>
      <c r="CE424" s="143"/>
      <c r="CF424" s="143"/>
      <c r="CG424" s="143"/>
      <c r="CH424" s="143"/>
      <c r="CI424" s="143"/>
      <c r="CJ424" s="143"/>
      <c r="CK424" s="143"/>
      <c r="CL424" s="143"/>
      <c r="CM424" s="143"/>
      <c r="CN424" s="143"/>
      <c r="CO424" s="143"/>
      <c r="CP424" s="143"/>
      <c r="CQ424" s="143"/>
      <c r="CR424" s="143"/>
      <c r="CS424" s="143"/>
      <c r="CT424" s="143"/>
      <c r="CU424" s="143"/>
      <c r="CV424" s="143"/>
      <c r="CW424" s="143"/>
      <c r="CX424" s="143"/>
      <c r="CY424" s="143"/>
      <c r="CZ424" s="143"/>
      <c r="DA424" s="143"/>
      <c r="DB424" s="143"/>
      <c r="DC424" s="143"/>
      <c r="DD424" s="143"/>
      <c r="DE424" s="143"/>
      <c r="DF424" s="143"/>
      <c r="DG424" s="143"/>
      <c r="DH424" s="143"/>
      <c r="DI424" s="143"/>
      <c r="DJ424" s="143"/>
      <c r="DK424" s="143"/>
      <c r="DL424" s="143"/>
      <c r="DM424" s="143"/>
      <c r="DN424" s="143"/>
      <c r="DO424" s="143"/>
      <c r="DP424" s="143"/>
      <c r="DQ424" s="143"/>
      <c r="DR424" s="143"/>
      <c r="DS424" s="143"/>
      <c r="DT424" s="143"/>
      <c r="DU424" s="143"/>
      <c r="DV424" s="143"/>
      <c r="DW424" s="143"/>
      <c r="DX424" s="143"/>
      <c r="DY424" s="143"/>
      <c r="DZ424" s="143"/>
      <c r="EA424" s="143"/>
      <c r="EB424" s="143"/>
      <c r="EC424" s="143"/>
      <c r="ED424" s="143"/>
      <c r="EE424" s="143"/>
      <c r="EF424" s="143"/>
      <c r="EG424" s="143"/>
      <c r="EH424" s="143"/>
      <c r="EI424" s="143"/>
      <c r="EJ424" s="143"/>
      <c r="EK424" s="143"/>
      <c r="EL424" s="143"/>
      <c r="EM424" s="143"/>
      <c r="EN424" s="143"/>
      <c r="EO424" s="143"/>
      <c r="EP424" s="143"/>
      <c r="EQ424" s="143"/>
      <c r="ER424" s="143"/>
      <c r="ES424" s="143"/>
      <c r="ET424" s="143"/>
      <c r="EU424" s="143"/>
      <c r="EV424" s="143"/>
      <c r="EW424" s="143"/>
      <c r="EX424" s="143"/>
      <c r="EY424" s="143"/>
      <c r="EZ424" s="143"/>
      <c r="FA424" s="143"/>
      <c r="FB424" s="143"/>
      <c r="FC424" s="143"/>
      <c r="FD424" s="143"/>
      <c r="FE424" s="143"/>
      <c r="FF424" s="143"/>
      <c r="FG424" s="143"/>
      <c r="FH424" s="143"/>
      <c r="FI424" s="143"/>
      <c r="FJ424" s="143"/>
      <c r="FK424" s="143"/>
      <c r="FL424" s="143"/>
      <c r="FM424" s="143"/>
      <c r="FN424" s="143"/>
      <c r="FO424" s="143"/>
      <c r="FP424" s="143"/>
      <c r="FQ424" s="143"/>
      <c r="FR424" s="143"/>
      <c r="FS424" s="143"/>
      <c r="FT424" s="143"/>
      <c r="FU424" s="143"/>
      <c r="FV424" s="143"/>
      <c r="FW424" s="143"/>
      <c r="FX424" s="143"/>
      <c r="FY424" s="143"/>
      <c r="FZ424" s="143"/>
      <c r="GA424" s="143"/>
      <c r="GB424" s="143"/>
      <c r="GC424" s="143"/>
      <c r="GD424" s="143"/>
      <c r="GE424" s="143"/>
      <c r="GF424" s="143"/>
      <c r="GG424" s="143"/>
      <c r="GH424" s="143"/>
      <c r="GI424" s="143"/>
      <c r="GJ424" s="143"/>
      <c r="GK424" s="143"/>
      <c r="GL424" s="143"/>
      <c r="GM424" s="143"/>
      <c r="GN424" s="143"/>
      <c r="GO424" s="143"/>
      <c r="GP424" s="143"/>
      <c r="GQ424" s="143"/>
      <c r="GR424" s="143"/>
      <c r="GS424" s="143"/>
      <c r="GT424" s="143"/>
      <c r="GU424" s="143"/>
      <c r="GV424" s="143"/>
      <c r="GW424" s="143"/>
      <c r="GX424" s="143"/>
      <c r="GY424" s="143"/>
      <c r="GZ424" s="143"/>
      <c r="HA424" s="143"/>
      <c r="HB424" s="143"/>
      <c r="HC424" s="143"/>
      <c r="HD424" s="143"/>
      <c r="HE424" s="143"/>
      <c r="HF424" s="143"/>
      <c r="HG424" s="143"/>
      <c r="HH424" s="143"/>
      <c r="HI424" s="143"/>
      <c r="HJ424" s="143"/>
      <c r="HK424" s="143"/>
      <c r="HL424" s="143"/>
      <c r="HM424" s="143"/>
      <c r="HN424" s="143"/>
      <c r="HO424" s="143"/>
      <c r="HP424" s="143"/>
      <c r="HQ424" s="143"/>
      <c r="HR424" s="143"/>
      <c r="HS424" s="143"/>
      <c r="HT424" s="143"/>
      <c r="HU424" s="143"/>
      <c r="HV424" s="143"/>
      <c r="HW424" s="143"/>
      <c r="HX424" s="143"/>
      <c r="HY424" s="143"/>
      <c r="HZ424" s="143"/>
      <c r="IA424" s="143"/>
      <c r="IB424" s="143"/>
      <c r="IC424" s="143"/>
      <c r="ID424" s="143"/>
      <c r="IE424" s="143"/>
      <c r="IF424" s="143"/>
      <c r="IG424" s="143"/>
      <c r="IH424" s="143"/>
      <c r="II424" s="143"/>
      <c r="IJ424" s="143"/>
      <c r="IK424" s="143"/>
      <c r="IL424" s="143"/>
      <c r="IM424" s="143"/>
      <c r="IN424" s="143"/>
      <c r="IO424" s="143"/>
      <c r="IP424" s="143"/>
      <c r="IQ424" s="143"/>
      <c r="IR424" s="143"/>
      <c r="IS424" s="143"/>
      <c r="IT424" s="143"/>
      <c r="IU424" s="143"/>
      <c r="IV424" s="143"/>
      <c r="IW424" s="143"/>
      <c r="IX424" s="143"/>
      <c r="IY424" s="143"/>
      <c r="IZ424" s="143"/>
      <c r="JA424" s="143"/>
      <c r="JB424" s="143"/>
      <c r="JC424" s="143"/>
      <c r="JD424" s="143"/>
      <c r="JE424" s="143"/>
      <c r="JF424" s="143"/>
      <c r="JG424" s="143"/>
      <c r="JH424" s="143"/>
      <c r="JI424" s="143"/>
    </row>
    <row r="425" spans="1:269" hidden="1" outlineLevel="1">
      <c r="A425" s="83" t="s">
        <v>276</v>
      </c>
      <c r="B425" s="144" t="s">
        <v>273</v>
      </c>
      <c r="C425" s="475" t="e">
        <f>_xll.BQL.QUERY("get(avg(px_last(start=" &amp; TEXT(#REF!, "YYYY-MM-DD") &amp; ", end=" &amp; TEXT(C$5, "YYYY-MM-DD") &amp; "))) for('"&amp;$B425&amp;"')")</f>
        <v>#REF!</v>
      </c>
      <c r="D425" s="475" t="e">
        <f>_xll.BQL.QUERY("get(avg(px_last(start=" &amp; TEXT(#REF!, "YYYY-MM-DD") &amp; ", end=" &amp; TEXT(D$5, "YYYY-MM-DD") &amp; "))) for('"&amp;$B425&amp;"')")</f>
        <v>#REF!</v>
      </c>
      <c r="E425" s="475" t="e">
        <f>_xll.BQL.QUERY("get(avg(px_last(start=" &amp; TEXT(#REF!, "YYYY-MM-DD") &amp; ", end=" &amp; TEXT(E$5, "YYYY-MM-DD") &amp; "))) for('"&amp;$B425&amp;"')")</f>
        <v>#REF!</v>
      </c>
      <c r="F425" s="335" t="e">
        <f>_xll.BQL.QUERY("get(avg(px_last(start=" &amp; TEXT(#REF!, "YYYY-MM-DD") &amp; ", end=" &amp; TEXT(F$5, "YYYY-MM-DD") &amp; "))) for('"&amp;$B425&amp;"')")</f>
        <v>#REF!</v>
      </c>
      <c r="G425" s="335">
        <f>_xll.BQL.QUERY("get(avg(px_last(start=" &amp; TEXT(F$5, "YYYY-MM-DD") &amp; ", end=" &amp; TEXT(G$5, "YYYY-MM-DD") &amp; "))) for('"&amp;$B425&amp;"')")</f>
        <v>168.20733333333334</v>
      </c>
      <c r="H425" s="335">
        <f>_xll.BQL.QUERY("get(avg(px_last(start=" &amp; TEXT(G$5, "YYYY-MM-DD") &amp; ", end=" &amp; TEXT(H$5, "YYYY-MM-DD") &amp; "))) for('"&amp;$B425&amp;"')")</f>
        <v>166.804</v>
      </c>
      <c r="I425" s="335">
        <f>_xll.BQL.QUERY("get(avg(px_last(start=" &amp; TEXT(H$5, "YYYY-MM-DD") &amp; ", end=" &amp; TEXT(I$5, "YYYY-MM-DD") &amp; "))) for('"&amp;$B425&amp;"')")</f>
        <v>162.81433333333334</v>
      </c>
      <c r="J425" s="475" t="e">
        <f>_xll.BQL.QUERY("get(avg(px_last(start=" &amp; TEXT(#REF!, "YYYY-MM-DD") &amp; ", end=" &amp; TEXT(J$5, "YYYY-MM-DD") &amp; "))) for('"&amp;$B425&amp;"')")</f>
        <v>#REF!</v>
      </c>
      <c r="K425" s="335" t="e">
        <f>_xll.BQL.QUERY("get(avg(px_last(start=" &amp; TEXT(#REF!, "YYYY-MM-DD") &amp; ", end=" &amp; TEXT(K$5, "YYYY-MM-DD") &amp; "))) for('"&amp;$B425&amp;"')")</f>
        <v>#REF!</v>
      </c>
      <c r="L425" s="335">
        <f>_xll.BQL.QUERY("get(avg(px_last(start=" &amp; TEXT(K$5, "YYYY-MM-DD") &amp; ", end=" &amp; TEXT(L$5, "YYYY-MM-DD") &amp; "))) for('"&amp;$B425&amp;"')")</f>
        <v>146.99424999999999</v>
      </c>
      <c r="M425" s="335">
        <f>_xll.BQL.QUERY("get(avg(px_last(start=" &amp; TEXT(L$5, "YYYY-MM-DD") &amp; ", end=" &amp; TEXT(M$5, "YYYY-MM-DD") &amp; "))) for('"&amp;$B425&amp;"')")</f>
        <v>145.39824999999999</v>
      </c>
      <c r="N425" s="335">
        <f>_xll.BQL.QUERY("get(avg(px_last(start=" &amp; TEXT(M$5, "YYYY-MM-DD") &amp; ", end=" &amp; TEXT(N$5, "YYYY-MM-DD") &amp; "))) for('"&amp;$B425&amp;"')")</f>
        <v>144.58475000000001</v>
      </c>
      <c r="O425" s="475" t="e">
        <f>_xll.BQL.QUERY("get(avg(px_last(start=" &amp; TEXT(#REF!, "YYYY-MM-DD") &amp; ", end=" &amp; TEXT(O$5, "YYYY-MM-DD") &amp; "))) for('"&amp;$B425&amp;"')")</f>
        <v>#REF!</v>
      </c>
      <c r="P425" s="335">
        <f>_xll.BQL.QUERY("get(avg(px_last(start=" &amp; TEXT(O$5, "YYYY-MM-DD") &amp; ", end=" &amp; TEXT(P$5, "YYYY-MM-DD") &amp; "))) for('"&amp;$B425&amp;"')")</f>
        <v>144.52575000000002</v>
      </c>
      <c r="Q425" s="335">
        <f>_xll.BQL.QUERY("get(avg(px_last(start=" &amp; TEXT(P$5, "YYYY-MM-DD") &amp; ", end=" &amp; TEXT(Q$5, "YYYY-MM-DD") &amp; "))) for('"&amp;$B425&amp;"')")</f>
        <v>155.69425000000001</v>
      </c>
      <c r="R425" s="335">
        <f>_xll.BQL.QUERY("get(avg(px_last(start=" &amp; TEXT(Q$5, "YYYY-MM-DD") &amp; ", end=" &amp; TEXT(R$5, "YYYY-MM-DD") &amp; "))) for('"&amp;$B425&amp;"')")</f>
        <v>171.28349999999998</v>
      </c>
      <c r="S425" s="335">
        <f>_xll.BQL.QUERY("get(avg(px_last(start=" &amp; TEXT(R$5, "YYYY-MM-DD") &amp; ", end=" &amp; TEXT(S$5, "YYYY-MM-DD") &amp; "))) for('"&amp;$B425&amp;"')")</f>
        <v>175.77300000000002</v>
      </c>
      <c r="T425" s="475">
        <f>_xll.BQL.QUERY("get(avg(px_last(start=" &amp; TEXT(O$5, "YYYY-MM-DD") &amp; ", end=" &amp; TEXT(T$5, "YYYY-MM-DD") &amp; "))) for('"&amp;$B425&amp;"')")</f>
        <v>161.96815384615385</v>
      </c>
      <c r="U425" s="335">
        <f>_xll.BQL.QUERY("get(avg(px_last(start=" &amp; TEXT(T$5, "YYYY-MM-DD") &amp; ", end=" &amp; TEXT(U$5, "YYYY-MM-DD") &amp; "))) for('"&amp;$B425&amp;"')")</f>
        <v>178.8845</v>
      </c>
      <c r="V425" s="335">
        <f>_xll.BQL.QUERY("get(avg(px_last(start=" &amp; TEXT(U$5, "YYYY-MM-DD") &amp; ", end=" &amp; TEXT(V$5, "YYYY-MM-DD") &amp; "))) for('"&amp;$B425&amp;"')")</f>
        <v>184.17724999999999</v>
      </c>
      <c r="W425" s="335">
        <f>_xll.BQL.QUERY("get(avg(px_last(start=" &amp; TEXT(V$5, "YYYY-MM-DD") &amp; ", end=" &amp; TEXT(W$5, "YYYY-MM-DD") &amp; "))) for('"&amp;$B425&amp;"')")</f>
        <v>179.05574999999999</v>
      </c>
      <c r="X425" s="335">
        <f>_xll.BQL.QUERY("get(avg(px_last(start=" &amp; TEXT(W$5, "YYYY-MM-DD") &amp; ", end=" &amp; TEXT(X$5, "YYYY-MM-DD") &amp; "))) for('"&amp;$B425&amp;"')")</f>
        <v>182.1755</v>
      </c>
      <c r="Y425" s="475">
        <f>_xll.BQL.QUERY("get(avg(px_last(start=" &amp; TEXT(T$5, "YYYY-MM-DD") &amp; ", end=" &amp; TEXT(Y$5, "YYYY-MM-DD") &amp; "))) for('"&amp;$B425&amp;"')")</f>
        <v>181.1436153846154</v>
      </c>
      <c r="Z425" s="335">
        <f>_xll.BQL.QUERY("get(avg(px_last(start=" &amp; TEXT(Y$5, "YYYY-MM-DD") &amp; ", end=" &amp; TEXT(Z$5, "YYYY-MM-DD") &amp; "))) for('"&amp;$B425&amp;"')")</f>
        <v>189.82799999999997</v>
      </c>
      <c r="AA425" s="335">
        <f>_xll.BQL.QUERY("get(avg(px_last(start=" &amp; TEXT(Z$5, "YYYY-MM-DD") &amp; ", end=" &amp; TEXT(AA$5, "YYYY-MM-DD") &amp; "))) for('"&amp;$B425&amp;"')")</f>
        <v>192.74025</v>
      </c>
      <c r="AB425" s="335">
        <f>_xll.BQL.QUERY("get(avg(px_last(start=" &amp; TEXT(AA$5, "YYYY-MM-DD") &amp; ", end=" &amp; TEXT(AB$5, "YYYY-MM-DD") &amp; "))) for('"&amp;$B425&amp;"')")</f>
        <v>188.45675</v>
      </c>
      <c r="AC425" s="335">
        <f>_xll.BQL.QUERY("get(avg(px_last(start=" &amp; TEXT(AB$5, "YYYY-MM-DD") &amp; ", end=" &amp; TEXT(AC$5, "YYYY-MM-DD") &amp; "))) for('"&amp;$B425&amp;"')")</f>
        <v>188.1815</v>
      </c>
      <c r="AD425" s="540">
        <f>_xll.BQL.QUERY("get(avg(px_last(start=" &amp; TEXT(Y$5, "YYYY-MM-DD") &amp; ", end=" &amp; TEXT(AD$5, "YYYY-MM-DD") &amp; "))) for('"&amp;$B425&amp;"')")</f>
        <v>189.40936363636362</v>
      </c>
      <c r="AE425" s="335" t="str">
        <f>_xll.BQL.QUERY("get(avg(px_last(start=" &amp; TEXT(AD$5, "YYYY-MM-DD") &amp; ", end=" &amp; TEXT(AE$5, "YYYY-MM-DD") &amp; "))) for('"&amp;$B425&amp;"')")</f>
        <v>#N/A</v>
      </c>
      <c r="AF425" s="335" t="str">
        <f>_xll.BQL.QUERY("get(avg(px_last(start=" &amp; TEXT(AE$5, "YYYY-MM-DD") &amp; ", end=" &amp; TEXT(AF$5, "YYYY-MM-DD") &amp; "))) for('"&amp;$B425&amp;"')")</f>
        <v>#N/A</v>
      </c>
      <c r="AG425" s="335" t="str">
        <f>_xll.BQL.QUERY("get(avg(px_last(start=" &amp; TEXT(AF$5, "YYYY-MM-DD") &amp; ", end=" &amp; TEXT(AG$5, "YYYY-MM-DD") &amp; "))) for('"&amp;$B425&amp;"')")</f>
        <v>#N/A</v>
      </c>
      <c r="AH425" s="280"/>
      <c r="AI425" s="320"/>
      <c r="AJ425" s="280"/>
      <c r="AK425" s="280"/>
      <c r="AL425" s="280"/>
      <c r="AM425" s="280"/>
      <c r="AN425" s="320"/>
      <c r="AO425" s="280"/>
      <c r="AP425" s="280"/>
      <c r="AQ425" s="280"/>
      <c r="AR425" s="280"/>
      <c r="AS425" s="320"/>
      <c r="AT425" s="315"/>
      <c r="AU425" s="508"/>
      <c r="AV425" s="143"/>
      <c r="AW425" s="143"/>
      <c r="AX425" s="143"/>
      <c r="AY425" s="143"/>
      <c r="AZ425" s="143"/>
      <c r="BA425" s="143"/>
      <c r="BB425" s="143"/>
      <c r="BC425" s="143"/>
      <c r="BD425" s="143"/>
      <c r="BE425" s="143"/>
      <c r="BF425" s="143"/>
      <c r="BG425" s="143"/>
      <c r="BH425" s="143"/>
      <c r="BI425" s="143"/>
      <c r="BJ425" s="143"/>
      <c r="BK425" s="143"/>
      <c r="BL425" s="143"/>
      <c r="BM425" s="143"/>
      <c r="BN425" s="143"/>
      <c r="BO425" s="143"/>
      <c r="BP425" s="143"/>
      <c r="BQ425" s="143"/>
      <c r="BR425" s="143"/>
      <c r="BS425" s="143"/>
      <c r="BT425" s="143"/>
      <c r="BU425" s="143"/>
      <c r="BV425" s="143"/>
      <c r="BW425" s="143"/>
      <c r="BX425" s="143"/>
      <c r="BY425" s="143"/>
      <c r="BZ425" s="143"/>
      <c r="CA425" s="143"/>
      <c r="CB425" s="143"/>
      <c r="CC425" s="143"/>
      <c r="CD425" s="143"/>
      <c r="CE425" s="143"/>
      <c r="CF425" s="143"/>
      <c r="CG425" s="143"/>
      <c r="CH425" s="143"/>
      <c r="CI425" s="143"/>
      <c r="CJ425" s="143"/>
      <c r="CK425" s="143"/>
      <c r="CL425" s="143"/>
      <c r="CM425" s="143"/>
      <c r="CN425" s="143"/>
      <c r="CO425" s="143"/>
      <c r="CP425" s="143"/>
      <c r="CQ425" s="143"/>
      <c r="CR425" s="143"/>
      <c r="CS425" s="143"/>
      <c r="CT425" s="143"/>
      <c r="CU425" s="143"/>
      <c r="CV425" s="143"/>
      <c r="CW425" s="143"/>
      <c r="CX425" s="143"/>
      <c r="CY425" s="143"/>
      <c r="CZ425" s="143"/>
      <c r="DA425" s="143"/>
      <c r="DB425" s="143"/>
      <c r="DC425" s="143"/>
      <c r="DD425" s="143"/>
      <c r="DE425" s="143"/>
      <c r="DF425" s="143"/>
      <c r="DG425" s="143"/>
      <c r="DH425" s="143"/>
      <c r="DI425" s="143"/>
      <c r="DJ425" s="143"/>
      <c r="DK425" s="143"/>
      <c r="DL425" s="143"/>
      <c r="DM425" s="143"/>
      <c r="DN425" s="143"/>
      <c r="DO425" s="143"/>
      <c r="DP425" s="143"/>
      <c r="DQ425" s="143"/>
      <c r="DR425" s="143"/>
      <c r="DS425" s="143"/>
      <c r="DT425" s="143"/>
      <c r="DU425" s="143"/>
      <c r="DV425" s="143"/>
      <c r="DW425" s="143"/>
      <c r="DX425" s="143"/>
      <c r="DY425" s="143"/>
      <c r="DZ425" s="143"/>
      <c r="EA425" s="143"/>
      <c r="EB425" s="143"/>
      <c r="EC425" s="143"/>
      <c r="ED425" s="143"/>
      <c r="EE425" s="143"/>
      <c r="EF425" s="143"/>
      <c r="EG425" s="143"/>
      <c r="EH425" s="143"/>
      <c r="EI425" s="143"/>
      <c r="EJ425" s="143"/>
      <c r="EK425" s="143"/>
      <c r="EL425" s="143"/>
      <c r="EM425" s="143"/>
      <c r="EN425" s="143"/>
      <c r="EO425" s="143"/>
      <c r="EP425" s="143"/>
      <c r="EQ425" s="143"/>
      <c r="ER425" s="143"/>
      <c r="ES425" s="143"/>
      <c r="ET425" s="143"/>
      <c r="EU425" s="143"/>
      <c r="EV425" s="143"/>
      <c r="EW425" s="143"/>
      <c r="EX425" s="143"/>
      <c r="EY425" s="143"/>
      <c r="EZ425" s="143"/>
      <c r="FA425" s="143"/>
      <c r="FB425" s="143"/>
      <c r="FC425" s="143"/>
      <c r="FD425" s="143"/>
      <c r="FE425" s="143"/>
      <c r="FF425" s="143"/>
      <c r="FG425" s="143"/>
      <c r="FH425" s="143"/>
      <c r="FI425" s="143"/>
      <c r="FJ425" s="143"/>
      <c r="FK425" s="143"/>
      <c r="FL425" s="143"/>
      <c r="FM425" s="143"/>
      <c r="FN425" s="143"/>
      <c r="FO425" s="143"/>
      <c r="FP425" s="143"/>
      <c r="FQ425" s="143"/>
      <c r="FR425" s="143"/>
      <c r="FS425" s="143"/>
      <c r="FT425" s="143"/>
      <c r="FU425" s="143"/>
      <c r="FV425" s="143"/>
      <c r="FW425" s="143"/>
      <c r="FX425" s="143"/>
      <c r="FY425" s="143"/>
      <c r="FZ425" s="143"/>
      <c r="GA425" s="143"/>
      <c r="GB425" s="143"/>
      <c r="GC425" s="143"/>
      <c r="GD425" s="143"/>
      <c r="GE425" s="143"/>
      <c r="GF425" s="143"/>
      <c r="GG425" s="143"/>
      <c r="GH425" s="143"/>
      <c r="GI425" s="143"/>
      <c r="GJ425" s="143"/>
      <c r="GK425" s="143"/>
      <c r="GL425" s="143"/>
      <c r="GM425" s="143"/>
      <c r="GN425" s="143"/>
      <c r="GO425" s="143"/>
      <c r="GP425" s="143"/>
      <c r="GQ425" s="143"/>
      <c r="GR425" s="143"/>
      <c r="GS425" s="143"/>
      <c r="GT425" s="143"/>
      <c r="GU425" s="143"/>
      <c r="GV425" s="143"/>
      <c r="GW425" s="143"/>
      <c r="GX425" s="143"/>
      <c r="GY425" s="143"/>
      <c r="GZ425" s="143"/>
      <c r="HA425" s="143"/>
      <c r="HB425" s="143"/>
      <c r="HC425" s="143"/>
      <c r="HD425" s="143"/>
      <c r="HE425" s="143"/>
      <c r="HF425" s="143"/>
      <c r="HG425" s="143"/>
      <c r="HH425" s="143"/>
      <c r="HI425" s="143"/>
      <c r="HJ425" s="143"/>
      <c r="HK425" s="143"/>
      <c r="HL425" s="143"/>
      <c r="HM425" s="143"/>
      <c r="HN425" s="143"/>
      <c r="HO425" s="143"/>
      <c r="HP425" s="143"/>
      <c r="HQ425" s="143"/>
      <c r="HR425" s="143"/>
      <c r="HS425" s="143"/>
      <c r="HT425" s="143"/>
      <c r="HU425" s="143"/>
      <c r="HV425" s="143"/>
      <c r="HW425" s="143"/>
      <c r="HX425" s="143"/>
      <c r="HY425" s="143"/>
      <c r="HZ425" s="143"/>
      <c r="IA425" s="143"/>
      <c r="IB425" s="143"/>
      <c r="IC425" s="143"/>
      <c r="ID425" s="143"/>
      <c r="IE425" s="143"/>
      <c r="IF425" s="143"/>
      <c r="IG425" s="143"/>
      <c r="IH425" s="143"/>
      <c r="II425" s="143"/>
      <c r="IJ425" s="143"/>
      <c r="IK425" s="143"/>
      <c r="IL425" s="143"/>
      <c r="IM425" s="143"/>
      <c r="IN425" s="143"/>
      <c r="IO425" s="143"/>
      <c r="IP425" s="143"/>
      <c r="IQ425" s="143"/>
      <c r="IR425" s="143"/>
      <c r="IS425" s="143"/>
      <c r="IT425" s="143"/>
      <c r="IU425" s="143"/>
      <c r="IV425" s="143"/>
      <c r="IW425" s="143"/>
      <c r="IX425" s="143"/>
      <c r="IY425" s="143"/>
      <c r="IZ425" s="143"/>
      <c r="JA425" s="143"/>
      <c r="JB425" s="143"/>
      <c r="JC425" s="143"/>
      <c r="JD425" s="143"/>
      <c r="JE425" s="143"/>
      <c r="JF425" s="143"/>
      <c r="JG425" s="143"/>
      <c r="JH425" s="143"/>
      <c r="JI425" s="143"/>
    </row>
    <row r="426" spans="1:269" hidden="1" outlineLevel="1">
      <c r="A426" s="437" t="s">
        <v>208</v>
      </c>
      <c r="B426" s="144"/>
      <c r="C426" s="417" t="e">
        <f>C425/#REF!-1</f>
        <v>#REF!</v>
      </c>
      <c r="D426" s="417" t="e">
        <f>D425/#REF!-1</f>
        <v>#REF!</v>
      </c>
      <c r="E426" s="417" t="e">
        <f>E425/#REF!-1</f>
        <v>#REF!</v>
      </c>
      <c r="F426" s="414" t="e">
        <f>F425/#REF!-1</f>
        <v>#REF!</v>
      </c>
      <c r="G426" s="414" t="e">
        <f>G425/#REF!-1</f>
        <v>#REF!</v>
      </c>
      <c r="H426" s="414" t="e">
        <f>H425/#REF!-1</f>
        <v>#REF!</v>
      </c>
      <c r="I426" s="414" t="e">
        <f>I425/#REF!-1</f>
        <v>#REF!</v>
      </c>
      <c r="J426" s="417" t="e">
        <f>J425/#REF!-1</f>
        <v>#REF!</v>
      </c>
      <c r="K426" s="414" t="e">
        <f>K425/#REF!-1</f>
        <v>#REF!</v>
      </c>
      <c r="L426" s="414" t="e">
        <f>L425/#REF!-1</f>
        <v>#REF!</v>
      </c>
      <c r="M426" s="414" t="e">
        <f>M425/#REF!-1</f>
        <v>#REF!</v>
      </c>
      <c r="N426" s="414" t="e">
        <f>N425/#REF!-1</f>
        <v>#REF!</v>
      </c>
      <c r="O426" s="417" t="e">
        <f>O425/#REF!-1</f>
        <v>#REF!</v>
      </c>
      <c r="P426" s="414" t="e">
        <f t="shared" ref="P426" si="947">P425/K425-1</f>
        <v>#REF!</v>
      </c>
      <c r="Q426" s="414">
        <f t="shared" ref="Q426" si="948">Q425/L425-1</f>
        <v>5.9185988567580061E-2</v>
      </c>
      <c r="R426" s="414">
        <f t="shared" ref="R426" si="949">R425/M425-1</f>
        <v>0.1780299969222463</v>
      </c>
      <c r="S426" s="414">
        <f t="shared" ref="S426" si="950">S425/N425-1</f>
        <v>0.21570912561663658</v>
      </c>
      <c r="T426" s="417" t="e">
        <f t="shared" ref="T426" si="951">T425/O425-1</f>
        <v>#REF!</v>
      </c>
      <c r="U426" s="414">
        <f t="shared" ref="U426" si="952">U425/P425-1</f>
        <v>0.23773445216509859</v>
      </c>
      <c r="V426" s="414">
        <f t="shared" ref="V426" si="953">V425/Q425-1</f>
        <v>0.18294188770619324</v>
      </c>
      <c r="W426" s="414">
        <f t="shared" ref="W426" si="954">W425/R425-1</f>
        <v>4.5376524884183311E-2</v>
      </c>
      <c r="X426" s="414">
        <f t="shared" ref="X426" si="955">X425/S425-1</f>
        <v>3.6424820649360035E-2</v>
      </c>
      <c r="Y426" s="417">
        <f t="shared" ref="Y426" si="956">Y425/T425-1</f>
        <v>0.11839031984445181</v>
      </c>
      <c r="Z426" s="414">
        <f t="shared" ref="Z426" si="957">Z425/U425-1</f>
        <v>6.1176345630839846E-2</v>
      </c>
      <c r="AA426" s="414">
        <f t="shared" ref="AA426" si="958">AA425/V425-1</f>
        <v>4.6493255817426027E-2</v>
      </c>
      <c r="AB426" s="414">
        <f t="shared" ref="AB426" si="959">AB425/W425-1</f>
        <v>5.2503200818739382E-2</v>
      </c>
      <c r="AC426" s="414">
        <f t="shared" ref="AC426" si="960">AC425/X425-1</f>
        <v>3.2968209226817091E-2</v>
      </c>
      <c r="AD426" s="422">
        <f t="shared" ref="AD426" si="961">AD425/Y425-1</f>
        <v>4.5630911330757584E-2</v>
      </c>
      <c r="AE426" s="414" t="e">
        <f t="shared" ref="AE426" si="962">AE425/Z425-1</f>
        <v>#VALUE!</v>
      </c>
      <c r="AF426" s="414" t="e">
        <f t="shared" ref="AF426:AG426" si="963">AF425/AA425-1</f>
        <v>#VALUE!</v>
      </c>
      <c r="AG426" s="414" t="e">
        <f t="shared" si="963"/>
        <v>#VALUE!</v>
      </c>
      <c r="AH426" s="280"/>
      <c r="AI426" s="320"/>
      <c r="AJ426" s="280"/>
      <c r="AK426" s="280"/>
      <c r="AL426" s="280"/>
      <c r="AM426" s="280"/>
      <c r="AN426" s="320"/>
      <c r="AO426" s="280"/>
      <c r="AP426" s="280"/>
      <c r="AQ426" s="280"/>
      <c r="AR426" s="280"/>
      <c r="AS426" s="320"/>
      <c r="AT426" s="315"/>
      <c r="AU426" s="508"/>
      <c r="AV426" s="143"/>
      <c r="AW426" s="143"/>
      <c r="AX426" s="143"/>
      <c r="AY426" s="143"/>
      <c r="AZ426" s="143"/>
      <c r="BA426" s="143"/>
      <c r="BB426" s="143"/>
      <c r="BC426" s="143"/>
      <c r="BD426" s="143"/>
      <c r="BE426" s="143"/>
      <c r="BF426" s="143"/>
      <c r="BG426" s="143"/>
      <c r="BH426" s="143"/>
      <c r="BI426" s="143"/>
      <c r="BJ426" s="143"/>
      <c r="BK426" s="143"/>
      <c r="BL426" s="143"/>
      <c r="BM426" s="143"/>
      <c r="BN426" s="143"/>
      <c r="BO426" s="143"/>
      <c r="BP426" s="143"/>
      <c r="BQ426" s="143"/>
      <c r="BR426" s="143"/>
      <c r="BS426" s="143"/>
      <c r="BT426" s="143"/>
      <c r="BU426" s="143"/>
      <c r="BV426" s="143"/>
      <c r="BW426" s="143"/>
      <c r="BX426" s="143"/>
      <c r="BY426" s="143"/>
      <c r="BZ426" s="143"/>
      <c r="CA426" s="143"/>
      <c r="CB426" s="143"/>
      <c r="CC426" s="143"/>
      <c r="CD426" s="143"/>
      <c r="CE426" s="143"/>
      <c r="CF426" s="143"/>
      <c r="CG426" s="143"/>
      <c r="CH426" s="143"/>
      <c r="CI426" s="143"/>
      <c r="CJ426" s="143"/>
      <c r="CK426" s="143"/>
      <c r="CL426" s="143"/>
      <c r="CM426" s="143"/>
      <c r="CN426" s="143"/>
      <c r="CO426" s="143"/>
      <c r="CP426" s="143"/>
      <c r="CQ426" s="143"/>
      <c r="CR426" s="143"/>
      <c r="CS426" s="143"/>
      <c r="CT426" s="143"/>
      <c r="CU426" s="143"/>
      <c r="CV426" s="143"/>
      <c r="CW426" s="143"/>
      <c r="CX426" s="143"/>
      <c r="CY426" s="143"/>
      <c r="CZ426" s="143"/>
      <c r="DA426" s="143"/>
      <c r="DB426" s="143"/>
      <c r="DC426" s="143"/>
      <c r="DD426" s="143"/>
      <c r="DE426" s="143"/>
      <c r="DF426" s="143"/>
      <c r="DG426" s="143"/>
      <c r="DH426" s="143"/>
      <c r="DI426" s="143"/>
      <c r="DJ426" s="143"/>
      <c r="DK426" s="143"/>
      <c r="DL426" s="143"/>
      <c r="DM426" s="143"/>
      <c r="DN426" s="143"/>
      <c r="DO426" s="143"/>
      <c r="DP426" s="143"/>
      <c r="DQ426" s="143"/>
      <c r="DR426" s="143"/>
      <c r="DS426" s="143"/>
      <c r="DT426" s="143"/>
      <c r="DU426" s="143"/>
      <c r="DV426" s="143"/>
      <c r="DW426" s="143"/>
      <c r="DX426" s="143"/>
      <c r="DY426" s="143"/>
      <c r="DZ426" s="143"/>
      <c r="EA426" s="143"/>
      <c r="EB426" s="143"/>
      <c r="EC426" s="143"/>
      <c r="ED426" s="143"/>
      <c r="EE426" s="143"/>
      <c r="EF426" s="143"/>
      <c r="EG426" s="143"/>
      <c r="EH426" s="143"/>
      <c r="EI426" s="143"/>
      <c r="EJ426" s="143"/>
      <c r="EK426" s="143"/>
      <c r="EL426" s="143"/>
      <c r="EM426" s="143"/>
      <c r="EN426" s="143"/>
      <c r="EO426" s="143"/>
      <c r="EP426" s="143"/>
      <c r="EQ426" s="143"/>
      <c r="ER426" s="143"/>
      <c r="ES426" s="143"/>
      <c r="ET426" s="143"/>
      <c r="EU426" s="143"/>
      <c r="EV426" s="143"/>
      <c r="EW426" s="143"/>
      <c r="EX426" s="143"/>
      <c r="EY426" s="143"/>
      <c r="EZ426" s="143"/>
      <c r="FA426" s="143"/>
      <c r="FB426" s="143"/>
      <c r="FC426" s="143"/>
      <c r="FD426" s="143"/>
      <c r="FE426" s="143"/>
      <c r="FF426" s="143"/>
      <c r="FG426" s="143"/>
      <c r="FH426" s="143"/>
      <c r="FI426" s="143"/>
      <c r="FJ426" s="143"/>
      <c r="FK426" s="143"/>
      <c r="FL426" s="143"/>
      <c r="FM426" s="143"/>
      <c r="FN426" s="143"/>
      <c r="FO426" s="143"/>
      <c r="FP426" s="143"/>
      <c r="FQ426" s="143"/>
      <c r="FR426" s="143"/>
      <c r="FS426" s="143"/>
      <c r="FT426" s="143"/>
      <c r="FU426" s="143"/>
      <c r="FV426" s="143"/>
      <c r="FW426" s="143"/>
      <c r="FX426" s="143"/>
      <c r="FY426" s="143"/>
      <c r="FZ426" s="143"/>
      <c r="GA426" s="143"/>
      <c r="GB426" s="143"/>
      <c r="GC426" s="143"/>
      <c r="GD426" s="143"/>
      <c r="GE426" s="143"/>
      <c r="GF426" s="143"/>
      <c r="GG426" s="143"/>
      <c r="GH426" s="143"/>
      <c r="GI426" s="143"/>
      <c r="GJ426" s="143"/>
      <c r="GK426" s="143"/>
      <c r="GL426" s="143"/>
      <c r="GM426" s="143"/>
      <c r="GN426" s="143"/>
      <c r="GO426" s="143"/>
      <c r="GP426" s="143"/>
      <c r="GQ426" s="143"/>
      <c r="GR426" s="143"/>
      <c r="GS426" s="143"/>
      <c r="GT426" s="143"/>
      <c r="GU426" s="143"/>
      <c r="GV426" s="143"/>
      <c r="GW426" s="143"/>
      <c r="GX426" s="143"/>
      <c r="GY426" s="143"/>
      <c r="GZ426" s="143"/>
      <c r="HA426" s="143"/>
      <c r="HB426" s="143"/>
      <c r="HC426" s="143"/>
      <c r="HD426" s="143"/>
      <c r="HE426" s="143"/>
      <c r="HF426" s="143"/>
      <c r="HG426" s="143"/>
      <c r="HH426" s="143"/>
      <c r="HI426" s="143"/>
      <c r="HJ426" s="143"/>
      <c r="HK426" s="143"/>
      <c r="HL426" s="143"/>
      <c r="HM426" s="143"/>
      <c r="HN426" s="143"/>
      <c r="HO426" s="143"/>
      <c r="HP426" s="143"/>
      <c r="HQ426" s="143"/>
      <c r="HR426" s="143"/>
      <c r="HS426" s="143"/>
      <c r="HT426" s="143"/>
      <c r="HU426" s="143"/>
      <c r="HV426" s="143"/>
      <c r="HW426" s="143"/>
      <c r="HX426" s="143"/>
      <c r="HY426" s="143"/>
      <c r="HZ426" s="143"/>
      <c r="IA426" s="143"/>
      <c r="IB426" s="143"/>
      <c r="IC426" s="143"/>
      <c r="ID426" s="143"/>
      <c r="IE426" s="143"/>
      <c r="IF426" s="143"/>
      <c r="IG426" s="143"/>
      <c r="IH426" s="143"/>
      <c r="II426" s="143"/>
      <c r="IJ426" s="143"/>
      <c r="IK426" s="143"/>
      <c r="IL426" s="143"/>
      <c r="IM426" s="143"/>
      <c r="IN426" s="143"/>
      <c r="IO426" s="143"/>
      <c r="IP426" s="143"/>
      <c r="IQ426" s="143"/>
      <c r="IR426" s="143"/>
      <c r="IS426" s="143"/>
      <c r="IT426" s="143"/>
      <c r="IU426" s="143"/>
      <c r="IV426" s="143"/>
      <c r="IW426" s="143"/>
      <c r="IX426" s="143"/>
      <c r="IY426" s="143"/>
      <c r="IZ426" s="143"/>
      <c r="JA426" s="143"/>
      <c r="JB426" s="143"/>
      <c r="JC426" s="143"/>
      <c r="JD426" s="143"/>
      <c r="JE426" s="143"/>
      <c r="JF426" s="143"/>
      <c r="JG426" s="143"/>
      <c r="JH426" s="143"/>
      <c r="JI426" s="143"/>
    </row>
    <row r="427" spans="1:269" hidden="1" outlineLevel="1">
      <c r="A427" s="437" t="s">
        <v>207</v>
      </c>
      <c r="B427" s="144"/>
      <c r="C427" s="417" t="e">
        <f>C425/#REF!-1</f>
        <v>#REF!</v>
      </c>
      <c r="D427" s="417" t="e">
        <f>D425/#REF!-1</f>
        <v>#REF!</v>
      </c>
      <c r="E427" s="417" t="e">
        <f>E425/#REF!-1</f>
        <v>#REF!</v>
      </c>
      <c r="F427" s="414" t="e">
        <f>F425/#REF!-1</f>
        <v>#REF!</v>
      </c>
      <c r="G427" s="414" t="e">
        <f>G425/#REF!-1</f>
        <v>#REF!</v>
      </c>
      <c r="H427" s="414" t="e">
        <f>H425/#REF!-1</f>
        <v>#REF!</v>
      </c>
      <c r="I427" s="414" t="e">
        <f>I425/#REF!-1</f>
        <v>#REF!</v>
      </c>
      <c r="J427" s="417" t="e">
        <f>J425/#REF!-1</f>
        <v>#REF!</v>
      </c>
      <c r="K427" s="414" t="e">
        <f>K425/#REF!-1</f>
        <v>#REF!</v>
      </c>
      <c r="L427" s="414" t="e">
        <f>L425/#REF!-1</f>
        <v>#REF!</v>
      </c>
      <c r="M427" s="414" t="e">
        <f>M425/#REF!-1</f>
        <v>#REF!</v>
      </c>
      <c r="N427" s="414" t="e">
        <f>N425/#REF!-1</f>
        <v>#REF!</v>
      </c>
      <c r="O427" s="417" t="e">
        <f>O425/#REF!-1</f>
        <v>#REF!</v>
      </c>
      <c r="P427" s="414" t="e">
        <f>P425/#REF!-1</f>
        <v>#REF!</v>
      </c>
      <c r="Q427" s="414" t="e">
        <f>Q425/#REF!-1</f>
        <v>#REF!</v>
      </c>
      <c r="R427" s="414" t="e">
        <f>R425/#REF!-1</f>
        <v>#REF!</v>
      </c>
      <c r="S427" s="414" t="e">
        <f>S425/#REF!-1</f>
        <v>#REF!</v>
      </c>
      <c r="T427" s="417" t="e">
        <f>T425/#REF!-1</f>
        <v>#REF!</v>
      </c>
      <c r="U427" s="414" t="e">
        <f>U425/#REF!-1</f>
        <v>#REF!</v>
      </c>
      <c r="V427" s="414" t="e">
        <f>V425/#REF!-1</f>
        <v>#REF!</v>
      </c>
      <c r="W427" s="414" t="e">
        <f>W425/#REF!-1</f>
        <v>#REF!</v>
      </c>
      <c r="X427" s="414" t="e">
        <f>X425/#REF!-1</f>
        <v>#REF!</v>
      </c>
      <c r="Y427" s="417" t="e">
        <f>Y425/#REF!-1</f>
        <v>#REF!</v>
      </c>
      <c r="Z427" s="414" t="e">
        <f>Z425/#REF!-1</f>
        <v>#REF!</v>
      </c>
      <c r="AA427" s="414" t="e">
        <f>AA425/#REF!-1</f>
        <v>#REF!</v>
      </c>
      <c r="AB427" s="414" t="e">
        <f>AB425/#REF!-1</f>
        <v>#REF!</v>
      </c>
      <c r="AC427" s="414" t="e">
        <f>AC425/#REF!-1</f>
        <v>#REF!</v>
      </c>
      <c r="AD427" s="422" t="e">
        <f>AD425/#REF!-1</f>
        <v>#REF!</v>
      </c>
      <c r="AE427" s="414" t="e">
        <f>AE425/#REF!-1</f>
        <v>#VALUE!</v>
      </c>
      <c r="AF427" s="414" t="e">
        <f>AF425/#REF!-1</f>
        <v>#VALUE!</v>
      </c>
      <c r="AG427" s="414" t="e">
        <f>AG425/#REF!-1</f>
        <v>#VALUE!</v>
      </c>
      <c r="AH427" s="280"/>
      <c r="AI427" s="320"/>
      <c r="AJ427" s="280"/>
      <c r="AK427" s="280"/>
      <c r="AL427" s="280"/>
      <c r="AM427" s="280"/>
      <c r="AN427" s="320"/>
      <c r="AO427" s="280"/>
      <c r="AP427" s="280"/>
      <c r="AQ427" s="280"/>
      <c r="AR427" s="280"/>
      <c r="AS427" s="320"/>
      <c r="AT427" s="315"/>
      <c r="AU427" s="508"/>
      <c r="AV427" s="143"/>
      <c r="AW427" s="143"/>
      <c r="AX427" s="143"/>
      <c r="AY427" s="143"/>
      <c r="AZ427" s="143"/>
      <c r="BA427" s="143"/>
      <c r="BB427" s="143"/>
      <c r="BC427" s="143"/>
      <c r="BD427" s="143"/>
      <c r="BE427" s="143"/>
      <c r="BF427" s="143"/>
      <c r="BG427" s="143"/>
      <c r="BH427" s="143"/>
      <c r="BI427" s="143"/>
      <c r="BJ427" s="143"/>
      <c r="BK427" s="143"/>
      <c r="BL427" s="143"/>
      <c r="BM427" s="143"/>
      <c r="BN427" s="143"/>
      <c r="BO427" s="143"/>
      <c r="BP427" s="143"/>
      <c r="BQ427" s="143"/>
      <c r="BR427" s="143"/>
      <c r="BS427" s="143"/>
      <c r="BT427" s="143"/>
      <c r="BU427" s="143"/>
      <c r="BV427" s="143"/>
      <c r="BW427" s="143"/>
      <c r="BX427" s="143"/>
      <c r="BY427" s="143"/>
      <c r="BZ427" s="143"/>
      <c r="CA427" s="143"/>
      <c r="CB427" s="143"/>
      <c r="CC427" s="143"/>
      <c r="CD427" s="143"/>
      <c r="CE427" s="143"/>
      <c r="CF427" s="143"/>
      <c r="CG427" s="143"/>
      <c r="CH427" s="143"/>
      <c r="CI427" s="143"/>
      <c r="CJ427" s="143"/>
      <c r="CK427" s="143"/>
      <c r="CL427" s="143"/>
      <c r="CM427" s="143"/>
      <c r="CN427" s="143"/>
      <c r="CO427" s="143"/>
      <c r="CP427" s="143"/>
      <c r="CQ427" s="143"/>
      <c r="CR427" s="143"/>
      <c r="CS427" s="143"/>
      <c r="CT427" s="143"/>
      <c r="CU427" s="143"/>
      <c r="CV427" s="143"/>
      <c r="CW427" s="143"/>
      <c r="CX427" s="143"/>
      <c r="CY427" s="143"/>
      <c r="CZ427" s="143"/>
      <c r="DA427" s="143"/>
      <c r="DB427" s="143"/>
      <c r="DC427" s="143"/>
      <c r="DD427" s="143"/>
      <c r="DE427" s="143"/>
      <c r="DF427" s="143"/>
      <c r="DG427" s="143"/>
      <c r="DH427" s="143"/>
      <c r="DI427" s="143"/>
      <c r="DJ427" s="143"/>
      <c r="DK427" s="143"/>
      <c r="DL427" s="143"/>
      <c r="DM427" s="143"/>
      <c r="DN427" s="143"/>
      <c r="DO427" s="143"/>
      <c r="DP427" s="143"/>
      <c r="DQ427" s="143"/>
      <c r="DR427" s="143"/>
      <c r="DS427" s="143"/>
      <c r="DT427" s="143"/>
      <c r="DU427" s="143"/>
      <c r="DV427" s="143"/>
      <c r="DW427" s="143"/>
      <c r="DX427" s="143"/>
      <c r="DY427" s="143"/>
      <c r="DZ427" s="143"/>
      <c r="EA427" s="143"/>
      <c r="EB427" s="143"/>
      <c r="EC427" s="143"/>
      <c r="ED427" s="143"/>
      <c r="EE427" s="143"/>
      <c r="EF427" s="143"/>
      <c r="EG427" s="143"/>
      <c r="EH427" s="143"/>
      <c r="EI427" s="143"/>
      <c r="EJ427" s="143"/>
      <c r="EK427" s="143"/>
      <c r="EL427" s="143"/>
      <c r="EM427" s="143"/>
      <c r="EN427" s="143"/>
      <c r="EO427" s="143"/>
      <c r="EP427" s="143"/>
      <c r="EQ427" s="143"/>
      <c r="ER427" s="143"/>
      <c r="ES427" s="143"/>
      <c r="ET427" s="143"/>
      <c r="EU427" s="143"/>
      <c r="EV427" s="143"/>
      <c r="EW427" s="143"/>
      <c r="EX427" s="143"/>
      <c r="EY427" s="143"/>
      <c r="EZ427" s="143"/>
      <c r="FA427" s="143"/>
      <c r="FB427" s="143"/>
      <c r="FC427" s="143"/>
      <c r="FD427" s="143"/>
      <c r="FE427" s="143"/>
      <c r="FF427" s="143"/>
      <c r="FG427" s="143"/>
      <c r="FH427" s="143"/>
      <c r="FI427" s="143"/>
      <c r="FJ427" s="143"/>
      <c r="FK427" s="143"/>
      <c r="FL427" s="143"/>
      <c r="FM427" s="143"/>
      <c r="FN427" s="143"/>
      <c r="FO427" s="143"/>
      <c r="FP427" s="143"/>
      <c r="FQ427" s="143"/>
      <c r="FR427" s="143"/>
      <c r="FS427" s="143"/>
      <c r="FT427" s="143"/>
      <c r="FU427" s="143"/>
      <c r="FV427" s="143"/>
      <c r="FW427" s="143"/>
      <c r="FX427" s="143"/>
      <c r="FY427" s="143"/>
      <c r="FZ427" s="143"/>
      <c r="GA427" s="143"/>
      <c r="GB427" s="143"/>
      <c r="GC427" s="143"/>
      <c r="GD427" s="143"/>
      <c r="GE427" s="143"/>
      <c r="GF427" s="143"/>
      <c r="GG427" s="143"/>
      <c r="GH427" s="143"/>
      <c r="GI427" s="143"/>
      <c r="GJ427" s="143"/>
      <c r="GK427" s="143"/>
      <c r="GL427" s="143"/>
      <c r="GM427" s="143"/>
      <c r="GN427" s="143"/>
      <c r="GO427" s="143"/>
      <c r="GP427" s="143"/>
      <c r="GQ427" s="143"/>
      <c r="GR427" s="143"/>
      <c r="GS427" s="143"/>
      <c r="GT427" s="143"/>
      <c r="GU427" s="143"/>
      <c r="GV427" s="143"/>
      <c r="GW427" s="143"/>
      <c r="GX427" s="143"/>
      <c r="GY427" s="143"/>
      <c r="GZ427" s="143"/>
      <c r="HA427" s="143"/>
      <c r="HB427" s="143"/>
      <c r="HC427" s="143"/>
      <c r="HD427" s="143"/>
      <c r="HE427" s="143"/>
      <c r="HF427" s="143"/>
      <c r="HG427" s="143"/>
      <c r="HH427" s="143"/>
      <c r="HI427" s="143"/>
      <c r="HJ427" s="143"/>
      <c r="HK427" s="143"/>
      <c r="HL427" s="143"/>
      <c r="HM427" s="143"/>
      <c r="HN427" s="143"/>
      <c r="HO427" s="143"/>
      <c r="HP427" s="143"/>
      <c r="HQ427" s="143"/>
      <c r="HR427" s="143"/>
      <c r="HS427" s="143"/>
      <c r="HT427" s="143"/>
      <c r="HU427" s="143"/>
      <c r="HV427" s="143"/>
      <c r="HW427" s="143"/>
      <c r="HX427" s="143"/>
      <c r="HY427" s="143"/>
      <c r="HZ427" s="143"/>
      <c r="IA427" s="143"/>
      <c r="IB427" s="143"/>
      <c r="IC427" s="143"/>
      <c r="ID427" s="143"/>
      <c r="IE427" s="143"/>
      <c r="IF427" s="143"/>
      <c r="IG427" s="143"/>
      <c r="IH427" s="143"/>
      <c r="II427" s="143"/>
      <c r="IJ427" s="143"/>
      <c r="IK427" s="143"/>
      <c r="IL427" s="143"/>
      <c r="IM427" s="143"/>
      <c r="IN427" s="143"/>
      <c r="IO427" s="143"/>
      <c r="IP427" s="143"/>
      <c r="IQ427" s="143"/>
      <c r="IR427" s="143"/>
      <c r="IS427" s="143"/>
      <c r="IT427" s="143"/>
      <c r="IU427" s="143"/>
      <c r="IV427" s="143"/>
      <c r="IW427" s="143"/>
      <c r="IX427" s="143"/>
      <c r="IY427" s="143"/>
      <c r="IZ427" s="143"/>
      <c r="JA427" s="143"/>
      <c r="JB427" s="143"/>
      <c r="JC427" s="143"/>
      <c r="JD427" s="143"/>
      <c r="JE427" s="143"/>
      <c r="JF427" s="143"/>
      <c r="JG427" s="143"/>
      <c r="JH427" s="143"/>
      <c r="JI427" s="143"/>
    </row>
    <row r="428" spans="1:269" hidden="1" outlineLevel="1">
      <c r="A428" s="437"/>
      <c r="B428" s="144"/>
      <c r="C428" s="417"/>
      <c r="D428" s="417"/>
      <c r="E428" s="417"/>
      <c r="F428" s="414"/>
      <c r="G428" s="414"/>
      <c r="H428" s="414"/>
      <c r="I428" s="414"/>
      <c r="J428" s="417"/>
      <c r="K428" s="414"/>
      <c r="L428" s="414"/>
      <c r="M428" s="414"/>
      <c r="N428" s="414"/>
      <c r="O428" s="417"/>
      <c r="P428" s="414"/>
      <c r="Q428" s="414"/>
      <c r="R428" s="414"/>
      <c r="S428" s="414"/>
      <c r="T428" s="417"/>
      <c r="U428" s="414"/>
      <c r="V428" s="414"/>
      <c r="W428" s="414"/>
      <c r="X428" s="414"/>
      <c r="Y428" s="417"/>
      <c r="Z428" s="414"/>
      <c r="AA428" s="414"/>
      <c r="AB428" s="414"/>
      <c r="AC428" s="414"/>
      <c r="AD428" s="422"/>
      <c r="AE428" s="414"/>
      <c r="AF428" s="414"/>
      <c r="AG428" s="414"/>
      <c r="AH428" s="280"/>
      <c r="AI428" s="320"/>
      <c r="AJ428" s="280"/>
      <c r="AK428" s="280"/>
      <c r="AL428" s="280"/>
      <c r="AM428" s="280"/>
      <c r="AN428" s="320"/>
      <c r="AO428" s="280"/>
      <c r="AP428" s="280"/>
      <c r="AQ428" s="280"/>
      <c r="AR428" s="280"/>
      <c r="AS428" s="320"/>
      <c r="AT428" s="315"/>
      <c r="AU428" s="508"/>
      <c r="AV428" s="143"/>
      <c r="AW428" s="143"/>
      <c r="AX428" s="143"/>
      <c r="AY428" s="143"/>
      <c r="AZ428" s="143"/>
      <c r="BA428" s="143"/>
      <c r="BB428" s="143"/>
      <c r="BC428" s="143"/>
      <c r="BD428" s="143"/>
      <c r="BE428" s="143"/>
      <c r="BF428" s="143"/>
      <c r="BG428" s="143"/>
      <c r="BH428" s="143"/>
      <c r="BI428" s="143"/>
      <c r="BJ428" s="143"/>
      <c r="BK428" s="143"/>
      <c r="BL428" s="143"/>
      <c r="BM428" s="143"/>
      <c r="BN428" s="143"/>
      <c r="BO428" s="143"/>
      <c r="BP428" s="143"/>
      <c r="BQ428" s="143"/>
      <c r="BR428" s="143"/>
      <c r="BS428" s="143"/>
      <c r="BT428" s="143"/>
      <c r="BU428" s="143"/>
      <c r="BV428" s="143"/>
      <c r="BW428" s="143"/>
      <c r="BX428" s="143"/>
      <c r="BY428" s="143"/>
      <c r="BZ428" s="143"/>
      <c r="CA428" s="143"/>
      <c r="CB428" s="143"/>
      <c r="CC428" s="143"/>
      <c r="CD428" s="143"/>
      <c r="CE428" s="143"/>
      <c r="CF428" s="143"/>
      <c r="CG428" s="143"/>
      <c r="CH428" s="143"/>
      <c r="CI428" s="143"/>
      <c r="CJ428" s="143"/>
      <c r="CK428" s="143"/>
      <c r="CL428" s="143"/>
      <c r="CM428" s="143"/>
      <c r="CN428" s="143"/>
      <c r="CO428" s="143"/>
      <c r="CP428" s="143"/>
      <c r="CQ428" s="143"/>
      <c r="CR428" s="143"/>
      <c r="CS428" s="143"/>
      <c r="CT428" s="143"/>
      <c r="CU428" s="143"/>
      <c r="CV428" s="143"/>
      <c r="CW428" s="143"/>
      <c r="CX428" s="143"/>
      <c r="CY428" s="143"/>
      <c r="CZ428" s="143"/>
      <c r="DA428" s="143"/>
      <c r="DB428" s="143"/>
      <c r="DC428" s="143"/>
      <c r="DD428" s="143"/>
      <c r="DE428" s="143"/>
      <c r="DF428" s="143"/>
      <c r="DG428" s="143"/>
      <c r="DH428" s="143"/>
      <c r="DI428" s="143"/>
      <c r="DJ428" s="143"/>
      <c r="DK428" s="143"/>
      <c r="DL428" s="143"/>
      <c r="DM428" s="143"/>
      <c r="DN428" s="143"/>
      <c r="DO428" s="143"/>
      <c r="DP428" s="143"/>
      <c r="DQ428" s="143"/>
      <c r="DR428" s="143"/>
      <c r="DS428" s="143"/>
      <c r="DT428" s="143"/>
      <c r="DU428" s="143"/>
      <c r="DV428" s="143"/>
      <c r="DW428" s="143"/>
      <c r="DX428" s="143"/>
      <c r="DY428" s="143"/>
      <c r="DZ428" s="143"/>
      <c r="EA428" s="143"/>
      <c r="EB428" s="143"/>
      <c r="EC428" s="143"/>
      <c r="ED428" s="143"/>
      <c r="EE428" s="143"/>
      <c r="EF428" s="143"/>
      <c r="EG428" s="143"/>
      <c r="EH428" s="143"/>
      <c r="EI428" s="143"/>
      <c r="EJ428" s="143"/>
      <c r="EK428" s="143"/>
      <c r="EL428" s="143"/>
      <c r="EM428" s="143"/>
      <c r="EN428" s="143"/>
      <c r="EO428" s="143"/>
      <c r="EP428" s="143"/>
      <c r="EQ428" s="143"/>
      <c r="ER428" s="143"/>
      <c r="ES428" s="143"/>
      <c r="ET428" s="143"/>
      <c r="EU428" s="143"/>
      <c r="EV428" s="143"/>
      <c r="EW428" s="143"/>
      <c r="EX428" s="143"/>
      <c r="EY428" s="143"/>
      <c r="EZ428" s="143"/>
      <c r="FA428" s="143"/>
      <c r="FB428" s="143"/>
      <c r="FC428" s="143"/>
      <c r="FD428" s="143"/>
      <c r="FE428" s="143"/>
      <c r="FF428" s="143"/>
      <c r="FG428" s="143"/>
      <c r="FH428" s="143"/>
      <c r="FI428" s="143"/>
      <c r="FJ428" s="143"/>
      <c r="FK428" s="143"/>
      <c r="FL428" s="143"/>
      <c r="FM428" s="143"/>
      <c r="FN428" s="143"/>
      <c r="FO428" s="143"/>
      <c r="FP428" s="143"/>
      <c r="FQ428" s="143"/>
      <c r="FR428" s="143"/>
      <c r="FS428" s="143"/>
      <c r="FT428" s="143"/>
      <c r="FU428" s="143"/>
      <c r="FV428" s="143"/>
      <c r="FW428" s="143"/>
      <c r="FX428" s="143"/>
      <c r="FY428" s="143"/>
      <c r="FZ428" s="143"/>
      <c r="GA428" s="143"/>
      <c r="GB428" s="143"/>
      <c r="GC428" s="143"/>
      <c r="GD428" s="143"/>
      <c r="GE428" s="143"/>
      <c r="GF428" s="143"/>
      <c r="GG428" s="143"/>
      <c r="GH428" s="143"/>
      <c r="GI428" s="143"/>
      <c r="GJ428" s="143"/>
      <c r="GK428" s="143"/>
      <c r="GL428" s="143"/>
      <c r="GM428" s="143"/>
      <c r="GN428" s="143"/>
      <c r="GO428" s="143"/>
      <c r="GP428" s="143"/>
      <c r="GQ428" s="143"/>
      <c r="GR428" s="143"/>
      <c r="GS428" s="143"/>
      <c r="GT428" s="143"/>
      <c r="GU428" s="143"/>
      <c r="GV428" s="143"/>
      <c r="GW428" s="143"/>
      <c r="GX428" s="143"/>
      <c r="GY428" s="143"/>
      <c r="GZ428" s="143"/>
      <c r="HA428" s="143"/>
      <c r="HB428" s="143"/>
      <c r="HC428" s="143"/>
      <c r="HD428" s="143"/>
      <c r="HE428" s="143"/>
      <c r="HF428" s="143"/>
      <c r="HG428" s="143"/>
      <c r="HH428" s="143"/>
      <c r="HI428" s="143"/>
      <c r="HJ428" s="143"/>
      <c r="HK428" s="143"/>
      <c r="HL428" s="143"/>
      <c r="HM428" s="143"/>
      <c r="HN428" s="143"/>
      <c r="HO428" s="143"/>
      <c r="HP428" s="143"/>
      <c r="HQ428" s="143"/>
      <c r="HR428" s="143"/>
      <c r="HS428" s="143"/>
      <c r="HT428" s="143"/>
      <c r="HU428" s="143"/>
      <c r="HV428" s="143"/>
      <c r="HW428" s="143"/>
      <c r="HX428" s="143"/>
      <c r="HY428" s="143"/>
      <c r="HZ428" s="143"/>
      <c r="IA428" s="143"/>
      <c r="IB428" s="143"/>
      <c r="IC428" s="143"/>
      <c r="ID428" s="143"/>
      <c r="IE428" s="143"/>
      <c r="IF428" s="143"/>
      <c r="IG428" s="143"/>
      <c r="IH428" s="143"/>
      <c r="II428" s="143"/>
      <c r="IJ428" s="143"/>
      <c r="IK428" s="143"/>
      <c r="IL428" s="143"/>
      <c r="IM428" s="143"/>
      <c r="IN428" s="143"/>
      <c r="IO428" s="143"/>
      <c r="IP428" s="143"/>
      <c r="IQ428" s="143"/>
      <c r="IR428" s="143"/>
      <c r="IS428" s="143"/>
      <c r="IT428" s="143"/>
      <c r="IU428" s="143"/>
      <c r="IV428" s="143"/>
      <c r="IW428" s="143"/>
      <c r="IX428" s="143"/>
      <c r="IY428" s="143"/>
      <c r="IZ428" s="143"/>
      <c r="JA428" s="143"/>
      <c r="JB428" s="143"/>
      <c r="JC428" s="143"/>
      <c r="JD428" s="143"/>
      <c r="JE428" s="143"/>
      <c r="JF428" s="143"/>
      <c r="JG428" s="143"/>
      <c r="JH428" s="143"/>
      <c r="JI428" s="143"/>
    </row>
    <row r="429" spans="1:269" collapsed="1">
      <c r="A429" s="437"/>
      <c r="B429" s="144"/>
      <c r="C429" s="417"/>
      <c r="D429" s="417"/>
      <c r="E429" s="417"/>
      <c r="F429" s="414"/>
      <c r="G429" s="414"/>
      <c r="H429" s="414"/>
      <c r="I429" s="414"/>
      <c r="J429" s="417"/>
      <c r="K429" s="414"/>
      <c r="L429" s="414"/>
      <c r="M429" s="414"/>
      <c r="N429" s="414"/>
      <c r="O429" s="417"/>
      <c r="P429" s="414"/>
      <c r="Q429" s="414"/>
      <c r="R429" s="414"/>
      <c r="S429" s="414"/>
      <c r="T429" s="417"/>
      <c r="U429" s="414"/>
      <c r="V429" s="414"/>
      <c r="W429" s="414"/>
      <c r="X429" s="414"/>
      <c r="Y429" s="417"/>
      <c r="Z429" s="414"/>
      <c r="AA429" s="414"/>
      <c r="AB429" s="414"/>
      <c r="AC429" s="414"/>
      <c r="AD429" s="422"/>
      <c r="AE429" s="414"/>
      <c r="AF429" s="414"/>
      <c r="AG429" s="414"/>
      <c r="AH429" s="280"/>
      <c r="AI429" s="320"/>
      <c r="AJ429" s="280"/>
      <c r="AK429" s="280"/>
      <c r="AL429" s="280"/>
      <c r="AM429" s="280"/>
      <c r="AN429" s="320"/>
      <c r="AO429" s="280"/>
      <c r="AP429" s="280"/>
      <c r="AQ429" s="280"/>
      <c r="AR429" s="280"/>
      <c r="AS429" s="320"/>
      <c r="AT429" s="315"/>
      <c r="AU429" s="508"/>
      <c r="AV429" s="143"/>
      <c r="AW429" s="143"/>
      <c r="AX429" s="143"/>
      <c r="AY429" s="143"/>
      <c r="AZ429" s="143"/>
      <c r="BA429" s="143"/>
      <c r="BB429" s="143"/>
      <c r="BC429" s="143"/>
      <c r="BD429" s="143"/>
      <c r="BE429" s="143"/>
      <c r="BF429" s="143"/>
      <c r="BG429" s="143"/>
      <c r="BH429" s="143"/>
      <c r="BI429" s="143"/>
      <c r="BJ429" s="143"/>
      <c r="BK429" s="143"/>
      <c r="BL429" s="143"/>
      <c r="BM429" s="143"/>
      <c r="BN429" s="143"/>
      <c r="BO429" s="143"/>
      <c r="BP429" s="143"/>
      <c r="BQ429" s="143"/>
      <c r="BR429" s="143"/>
      <c r="BS429" s="143"/>
      <c r="BT429" s="143"/>
      <c r="BU429" s="143"/>
      <c r="BV429" s="143"/>
      <c r="BW429" s="143"/>
      <c r="BX429" s="143"/>
      <c r="BY429" s="143"/>
      <c r="BZ429" s="143"/>
      <c r="CA429" s="143"/>
      <c r="CB429" s="143"/>
      <c r="CC429" s="143"/>
      <c r="CD429" s="143"/>
      <c r="CE429" s="143"/>
      <c r="CF429" s="143"/>
      <c r="CG429" s="143"/>
      <c r="CH429" s="143"/>
      <c r="CI429" s="143"/>
      <c r="CJ429" s="143"/>
      <c r="CK429" s="143"/>
      <c r="CL429" s="143"/>
      <c r="CM429" s="143"/>
      <c r="CN429" s="143"/>
      <c r="CO429" s="143"/>
      <c r="CP429" s="143"/>
      <c r="CQ429" s="143"/>
      <c r="CR429" s="143"/>
      <c r="CS429" s="143"/>
      <c r="CT429" s="143"/>
      <c r="CU429" s="143"/>
      <c r="CV429" s="143"/>
      <c r="CW429" s="143"/>
      <c r="CX429" s="143"/>
      <c r="CY429" s="143"/>
      <c r="CZ429" s="143"/>
      <c r="DA429" s="143"/>
      <c r="DB429" s="143"/>
      <c r="DC429" s="143"/>
      <c r="DD429" s="143"/>
      <c r="DE429" s="143"/>
      <c r="DF429" s="143"/>
      <c r="DG429" s="143"/>
      <c r="DH429" s="143"/>
      <c r="DI429" s="143"/>
      <c r="DJ429" s="143"/>
      <c r="DK429" s="143"/>
      <c r="DL429" s="143"/>
      <c r="DM429" s="143"/>
      <c r="DN429" s="143"/>
      <c r="DO429" s="143"/>
      <c r="DP429" s="143"/>
      <c r="DQ429" s="143"/>
      <c r="DR429" s="143"/>
      <c r="DS429" s="143"/>
      <c r="DT429" s="143"/>
      <c r="DU429" s="143"/>
      <c r="DV429" s="143"/>
      <c r="DW429" s="143"/>
      <c r="DX429" s="143"/>
      <c r="DY429" s="143"/>
      <c r="DZ429" s="143"/>
      <c r="EA429" s="143"/>
      <c r="EB429" s="143"/>
      <c r="EC429" s="143"/>
      <c r="ED429" s="143"/>
      <c r="EE429" s="143"/>
      <c r="EF429" s="143"/>
      <c r="EG429" s="143"/>
      <c r="EH429" s="143"/>
      <c r="EI429" s="143"/>
      <c r="EJ429" s="143"/>
      <c r="EK429" s="143"/>
      <c r="EL429" s="143"/>
      <c r="EM429" s="143"/>
      <c r="EN429" s="143"/>
      <c r="EO429" s="143"/>
      <c r="EP429" s="143"/>
      <c r="EQ429" s="143"/>
      <c r="ER429" s="143"/>
      <c r="ES429" s="143"/>
      <c r="ET429" s="143"/>
      <c r="EU429" s="143"/>
      <c r="EV429" s="143"/>
      <c r="EW429" s="143"/>
      <c r="EX429" s="143"/>
      <c r="EY429" s="143"/>
      <c r="EZ429" s="143"/>
      <c r="FA429" s="143"/>
      <c r="FB429" s="143"/>
      <c r="FC429" s="143"/>
      <c r="FD429" s="143"/>
      <c r="FE429" s="143"/>
      <c r="FF429" s="143"/>
      <c r="FG429" s="143"/>
      <c r="FH429" s="143"/>
      <c r="FI429" s="143"/>
      <c r="FJ429" s="143"/>
      <c r="FK429" s="143"/>
      <c r="FL429" s="143"/>
      <c r="FM429" s="143"/>
      <c r="FN429" s="143"/>
      <c r="FO429" s="143"/>
      <c r="FP429" s="143"/>
      <c r="FQ429" s="143"/>
      <c r="FR429" s="143"/>
      <c r="FS429" s="143"/>
      <c r="FT429" s="143"/>
      <c r="FU429" s="143"/>
      <c r="FV429" s="143"/>
      <c r="FW429" s="143"/>
      <c r="FX429" s="143"/>
      <c r="FY429" s="143"/>
      <c r="FZ429" s="143"/>
      <c r="GA429" s="143"/>
      <c r="GB429" s="143"/>
      <c r="GC429" s="143"/>
      <c r="GD429" s="143"/>
      <c r="GE429" s="143"/>
      <c r="GF429" s="143"/>
      <c r="GG429" s="143"/>
      <c r="GH429" s="143"/>
      <c r="GI429" s="143"/>
      <c r="GJ429" s="143"/>
      <c r="GK429" s="143"/>
      <c r="GL429" s="143"/>
      <c r="GM429" s="143"/>
      <c r="GN429" s="143"/>
      <c r="GO429" s="143"/>
      <c r="GP429" s="143"/>
      <c r="GQ429" s="143"/>
      <c r="GR429" s="143"/>
      <c r="GS429" s="143"/>
      <c r="GT429" s="143"/>
      <c r="GU429" s="143"/>
      <c r="GV429" s="143"/>
      <c r="GW429" s="143"/>
      <c r="GX429" s="143"/>
      <c r="GY429" s="143"/>
      <c r="GZ429" s="143"/>
      <c r="HA429" s="143"/>
      <c r="HB429" s="143"/>
      <c r="HC429" s="143"/>
      <c r="HD429" s="143"/>
      <c r="HE429" s="143"/>
      <c r="HF429" s="143"/>
      <c r="HG429" s="143"/>
      <c r="HH429" s="143"/>
      <c r="HI429" s="143"/>
      <c r="HJ429" s="143"/>
      <c r="HK429" s="143"/>
      <c r="HL429" s="143"/>
      <c r="HM429" s="143"/>
      <c r="HN429" s="143"/>
      <c r="HO429" s="143"/>
      <c r="HP429" s="143"/>
      <c r="HQ429" s="143"/>
      <c r="HR429" s="143"/>
      <c r="HS429" s="143"/>
      <c r="HT429" s="143"/>
      <c r="HU429" s="143"/>
      <c r="HV429" s="143"/>
      <c r="HW429" s="143"/>
      <c r="HX429" s="143"/>
      <c r="HY429" s="143"/>
      <c r="HZ429" s="143"/>
      <c r="IA429" s="143"/>
      <c r="IB429" s="143"/>
      <c r="IC429" s="143"/>
      <c r="ID429" s="143"/>
      <c r="IE429" s="143"/>
      <c r="IF429" s="143"/>
      <c r="IG429" s="143"/>
      <c r="IH429" s="143"/>
      <c r="II429" s="143"/>
      <c r="IJ429" s="143"/>
      <c r="IK429" s="143"/>
      <c r="IL429" s="143"/>
      <c r="IM429" s="143"/>
      <c r="IN429" s="143"/>
      <c r="IO429" s="143"/>
      <c r="IP429" s="143"/>
      <c r="IQ429" s="143"/>
      <c r="IR429" s="143"/>
      <c r="IS429" s="143"/>
      <c r="IT429" s="143"/>
      <c r="IU429" s="143"/>
      <c r="IV429" s="143"/>
      <c r="IW429" s="143"/>
      <c r="IX429" s="143"/>
      <c r="IY429" s="143"/>
      <c r="IZ429" s="143"/>
      <c r="JA429" s="143"/>
      <c r="JB429" s="143"/>
      <c r="JC429" s="143"/>
      <c r="JD429" s="143"/>
      <c r="JE429" s="143"/>
      <c r="JF429" s="143"/>
      <c r="JG429" s="143"/>
      <c r="JH429" s="143"/>
      <c r="JI429" s="143"/>
    </row>
    <row r="430" spans="1:269">
      <c r="A430" s="409"/>
      <c r="B430" s="340"/>
      <c r="C430" s="388"/>
      <c r="D430" s="388"/>
      <c r="E430" s="388"/>
      <c r="F430" s="388"/>
      <c r="G430" s="388"/>
      <c r="H430" s="388"/>
      <c r="I430" s="388"/>
      <c r="J430" s="388"/>
      <c r="K430" s="388"/>
      <c r="L430" s="388"/>
      <c r="M430" s="388"/>
      <c r="N430" s="388"/>
      <c r="O430" s="388"/>
      <c r="P430" s="388"/>
      <c r="Q430" s="388"/>
      <c r="R430" s="388"/>
      <c r="S430" s="388"/>
      <c r="T430" s="388"/>
      <c r="U430" s="388"/>
      <c r="V430" s="388"/>
      <c r="W430" s="388"/>
      <c r="X430" s="388"/>
      <c r="Y430" s="388"/>
      <c r="Z430" s="388"/>
      <c r="AA430" s="388"/>
      <c r="AB430" s="408"/>
      <c r="AC430" s="55"/>
      <c r="AD430" s="55"/>
      <c r="AE430" s="55"/>
      <c r="AF430" s="55"/>
      <c r="AG430" s="55"/>
      <c r="AH430" s="55"/>
      <c r="AI430" s="55"/>
      <c r="AJ430" s="55"/>
      <c r="AK430" s="55"/>
      <c r="AL430" s="55"/>
      <c r="AM430" s="55"/>
      <c r="AN430" s="55"/>
      <c r="AO430" s="55"/>
      <c r="AP430" s="55"/>
      <c r="AQ430" s="55"/>
      <c r="AR430" s="55"/>
      <c r="AS430" s="55"/>
      <c r="AT430" s="315"/>
      <c r="AU430" s="508"/>
      <c r="AV430" s="143"/>
      <c r="AW430" s="143"/>
      <c r="AX430" s="143"/>
      <c r="AY430" s="143"/>
      <c r="AZ430" s="143"/>
      <c r="BA430" s="143"/>
      <c r="BB430" s="143"/>
      <c r="BC430" s="143"/>
      <c r="BD430" s="143"/>
      <c r="BE430" s="143"/>
      <c r="BF430" s="143"/>
      <c r="BG430" s="143"/>
      <c r="BH430" s="143"/>
      <c r="BI430" s="143"/>
      <c r="BJ430" s="143"/>
      <c r="BK430" s="143"/>
      <c r="BL430" s="143"/>
      <c r="BM430" s="143"/>
      <c r="BN430" s="143"/>
      <c r="BO430" s="143"/>
      <c r="BP430" s="143"/>
      <c r="BQ430" s="143"/>
      <c r="BR430" s="143"/>
      <c r="BS430" s="143"/>
      <c r="BT430" s="143"/>
      <c r="BU430" s="143"/>
      <c r="BV430" s="143"/>
      <c r="BW430" s="143"/>
      <c r="BX430" s="143"/>
      <c r="BY430" s="143"/>
      <c r="BZ430" s="143"/>
      <c r="CA430" s="143"/>
      <c r="CB430" s="143"/>
      <c r="CC430" s="143"/>
      <c r="CD430" s="143"/>
      <c r="CE430" s="143"/>
      <c r="CF430" s="143"/>
      <c r="CG430" s="143"/>
      <c r="CH430" s="143"/>
      <c r="CI430" s="143"/>
      <c r="CJ430" s="143"/>
      <c r="CK430" s="143"/>
      <c r="CL430" s="143"/>
      <c r="CM430" s="143"/>
      <c r="CN430" s="143"/>
      <c r="CO430" s="143"/>
      <c r="CP430" s="143"/>
      <c r="CQ430" s="143"/>
      <c r="CR430" s="143"/>
      <c r="CS430" s="143"/>
      <c r="CT430" s="143"/>
      <c r="CU430" s="143"/>
      <c r="CV430" s="143"/>
      <c r="CW430" s="143"/>
      <c r="CX430" s="143"/>
      <c r="CY430" s="143"/>
      <c r="CZ430" s="143"/>
      <c r="DA430" s="143"/>
      <c r="DB430" s="143"/>
      <c r="DC430" s="143"/>
      <c r="DD430" s="143"/>
      <c r="DE430" s="143"/>
      <c r="DF430" s="143"/>
      <c r="DG430" s="143"/>
      <c r="DH430" s="143"/>
      <c r="DI430" s="143"/>
      <c r="DJ430" s="143"/>
      <c r="DK430" s="143"/>
      <c r="DL430" s="143"/>
      <c r="DM430" s="143"/>
      <c r="DN430" s="143"/>
      <c r="DO430" s="143"/>
      <c r="DP430" s="143"/>
      <c r="DQ430" s="143"/>
      <c r="DR430" s="143"/>
      <c r="DS430" s="143"/>
      <c r="DT430" s="143"/>
      <c r="DU430" s="143"/>
      <c r="DV430" s="143"/>
      <c r="DW430" s="143"/>
      <c r="DX430" s="143"/>
      <c r="DY430" s="143"/>
      <c r="DZ430" s="143"/>
      <c r="EA430" s="143"/>
      <c r="EB430" s="143"/>
      <c r="EC430" s="143"/>
      <c r="ED430" s="143"/>
      <c r="EE430" s="143"/>
      <c r="EF430" s="143"/>
      <c r="EG430" s="143"/>
      <c r="EH430" s="143"/>
      <c r="EI430" s="143"/>
      <c r="EJ430" s="143"/>
      <c r="EK430" s="143"/>
      <c r="EL430" s="143"/>
      <c r="EM430" s="143"/>
      <c r="EN430" s="143"/>
      <c r="EO430" s="143"/>
      <c r="EP430" s="143"/>
      <c r="EQ430" s="143"/>
      <c r="ER430" s="143"/>
      <c r="ES430" s="143"/>
      <c r="ET430" s="143"/>
      <c r="EU430" s="143"/>
      <c r="EV430" s="143"/>
      <c r="EW430" s="143"/>
      <c r="EX430" s="143"/>
      <c r="EY430" s="143"/>
      <c r="EZ430" s="143"/>
      <c r="FA430" s="143"/>
      <c r="FB430" s="143"/>
      <c r="FC430" s="143"/>
      <c r="FD430" s="143"/>
      <c r="FE430" s="143"/>
      <c r="FF430" s="143"/>
      <c r="FG430" s="143"/>
      <c r="FH430" s="143"/>
      <c r="FI430" s="143"/>
      <c r="FJ430" s="143"/>
      <c r="FK430" s="143"/>
      <c r="FL430" s="143"/>
      <c r="FM430" s="143"/>
      <c r="FN430" s="143"/>
      <c r="FO430" s="143"/>
      <c r="FP430" s="143"/>
      <c r="FQ430" s="143"/>
      <c r="FR430" s="143"/>
      <c r="FS430" s="143"/>
      <c r="FT430" s="143"/>
      <c r="FU430" s="143"/>
      <c r="FV430" s="143"/>
      <c r="FW430" s="143"/>
      <c r="FX430" s="143"/>
      <c r="FY430" s="143"/>
      <c r="FZ430" s="143"/>
      <c r="GA430" s="143"/>
      <c r="GB430" s="143"/>
      <c r="GC430" s="143"/>
      <c r="GD430" s="143"/>
      <c r="GE430" s="143"/>
      <c r="GF430" s="143"/>
      <c r="GG430" s="143"/>
      <c r="GH430" s="143"/>
      <c r="GI430" s="143"/>
      <c r="GJ430" s="143"/>
      <c r="GK430" s="143"/>
      <c r="GL430" s="143"/>
      <c r="GM430" s="143"/>
      <c r="GN430" s="143"/>
      <c r="GO430" s="143"/>
      <c r="GP430" s="143"/>
      <c r="GQ430" s="143"/>
      <c r="GR430" s="143"/>
      <c r="GS430" s="143"/>
      <c r="GT430" s="143"/>
      <c r="GU430" s="143"/>
      <c r="GV430" s="143"/>
      <c r="GW430" s="143"/>
      <c r="GX430" s="143"/>
      <c r="GY430" s="143"/>
      <c r="GZ430" s="143"/>
      <c r="HA430" s="143"/>
      <c r="HB430" s="143"/>
      <c r="HC430" s="143"/>
      <c r="HD430" s="143"/>
      <c r="HE430" s="143"/>
      <c r="HF430" s="143"/>
      <c r="HG430" s="143"/>
      <c r="HH430" s="143"/>
      <c r="HI430" s="143"/>
      <c r="HJ430" s="143"/>
      <c r="HK430" s="143"/>
      <c r="HL430" s="143"/>
      <c r="HM430" s="143"/>
      <c r="HN430" s="143"/>
      <c r="HO430" s="143"/>
      <c r="HP430" s="143"/>
      <c r="HQ430" s="143"/>
      <c r="HR430" s="143"/>
      <c r="HS430" s="143"/>
      <c r="HT430" s="143"/>
      <c r="HU430" s="143"/>
      <c r="HV430" s="143"/>
      <c r="HW430" s="143"/>
      <c r="HX430" s="143"/>
      <c r="HY430" s="143"/>
      <c r="HZ430" s="143"/>
      <c r="IA430" s="143"/>
      <c r="IB430" s="143"/>
      <c r="IC430" s="143"/>
      <c r="ID430" s="143"/>
      <c r="IE430" s="143"/>
      <c r="IF430" s="143"/>
      <c r="IG430" s="143"/>
      <c r="IH430" s="143"/>
      <c r="II430" s="143"/>
      <c r="IJ430" s="143"/>
      <c r="IK430" s="143"/>
      <c r="IL430" s="143"/>
      <c r="IM430" s="143"/>
      <c r="IN430" s="143"/>
      <c r="IO430" s="143"/>
      <c r="IP430" s="143"/>
      <c r="IQ430" s="143"/>
      <c r="IR430" s="143"/>
      <c r="IS430" s="143"/>
      <c r="IT430" s="143"/>
      <c r="IU430" s="143"/>
      <c r="IV430" s="143"/>
      <c r="IW430" s="143"/>
      <c r="IX430" s="143"/>
      <c r="IY430" s="143"/>
      <c r="IZ430" s="143"/>
      <c r="JA430" s="143"/>
      <c r="JB430" s="143"/>
      <c r="JC430" s="143"/>
      <c r="JD430" s="143"/>
      <c r="JE430" s="143"/>
      <c r="JF430" s="143"/>
      <c r="JG430" s="143"/>
      <c r="JH430" s="143"/>
      <c r="JI430" s="143"/>
    </row>
    <row r="431" spans="1:269" ht="26">
      <c r="A431" s="410" t="s">
        <v>280</v>
      </c>
      <c r="B431" s="340"/>
      <c r="C431" s="388"/>
      <c r="D431" s="388"/>
      <c r="E431" s="388"/>
      <c r="F431" s="388"/>
      <c r="G431" s="388"/>
      <c r="H431" s="388"/>
      <c r="I431" s="388"/>
      <c r="J431" s="388"/>
      <c r="K431" s="388"/>
      <c r="L431" s="388"/>
      <c r="M431" s="388"/>
      <c r="N431" s="388"/>
      <c r="O431" s="388"/>
      <c r="P431" s="388"/>
      <c r="Q431" s="388"/>
      <c r="R431" s="388"/>
      <c r="S431" s="388"/>
      <c r="T431" s="388"/>
      <c r="U431" s="388"/>
      <c r="V431" s="388"/>
      <c r="W431" s="388"/>
      <c r="X431" s="388"/>
      <c r="Y431" s="388"/>
      <c r="Z431" s="388"/>
      <c r="AA431" s="388"/>
      <c r="AB431" s="408"/>
      <c r="AC431" s="55"/>
      <c r="AD431" s="55"/>
      <c r="AE431" s="55"/>
      <c r="AF431" s="55"/>
      <c r="AG431" s="55"/>
      <c r="AH431" s="55"/>
      <c r="AI431" s="55"/>
      <c r="AJ431" s="55"/>
      <c r="AK431" s="55"/>
      <c r="AL431" s="55"/>
      <c r="AM431" s="55"/>
      <c r="AN431" s="55"/>
      <c r="AO431" s="55"/>
      <c r="AP431" s="55"/>
      <c r="AQ431" s="55"/>
      <c r="AR431" s="55"/>
      <c r="AS431" s="55"/>
      <c r="AT431" s="315"/>
      <c r="AU431" s="508"/>
      <c r="AV431" s="143"/>
      <c r="AW431" s="143"/>
      <c r="AX431" s="143"/>
      <c r="AY431" s="143"/>
      <c r="AZ431" s="143"/>
      <c r="BA431" s="143"/>
      <c r="BB431" s="143"/>
      <c r="BC431" s="143"/>
      <c r="BD431" s="143"/>
      <c r="BE431" s="143"/>
      <c r="BF431" s="143"/>
      <c r="BG431" s="143"/>
      <c r="BH431" s="143"/>
      <c r="BI431" s="143"/>
      <c r="BJ431" s="143"/>
      <c r="BK431" s="143"/>
      <c r="BL431" s="143"/>
      <c r="BM431" s="143"/>
      <c r="BN431" s="143"/>
      <c r="BO431" s="143"/>
      <c r="BP431" s="143"/>
      <c r="BQ431" s="143"/>
      <c r="BR431" s="143"/>
      <c r="BS431" s="143"/>
      <c r="BT431" s="143"/>
      <c r="BU431" s="143"/>
      <c r="BV431" s="143"/>
      <c r="BW431" s="143"/>
      <c r="BX431" s="143"/>
      <c r="BY431" s="143"/>
      <c r="BZ431" s="143"/>
      <c r="CA431" s="143"/>
      <c r="CB431" s="143"/>
      <c r="CC431" s="143"/>
      <c r="CD431" s="143"/>
      <c r="CE431" s="143"/>
      <c r="CF431" s="143"/>
      <c r="CG431" s="143"/>
      <c r="CH431" s="143"/>
      <c r="CI431" s="143"/>
      <c r="CJ431" s="143"/>
      <c r="CK431" s="143"/>
      <c r="CL431" s="143"/>
      <c r="CM431" s="143"/>
      <c r="CN431" s="143"/>
      <c r="CO431" s="143"/>
      <c r="CP431" s="143"/>
      <c r="CQ431" s="143"/>
      <c r="CR431" s="143"/>
      <c r="CS431" s="143"/>
      <c r="CT431" s="143"/>
      <c r="CU431" s="143"/>
      <c r="CV431" s="143"/>
      <c r="CW431" s="143"/>
      <c r="CX431" s="143"/>
      <c r="CY431" s="143"/>
      <c r="CZ431" s="143"/>
      <c r="DA431" s="143"/>
      <c r="DB431" s="143"/>
      <c r="DC431" s="143"/>
      <c r="DD431" s="143"/>
      <c r="DE431" s="143"/>
      <c r="DF431" s="143"/>
      <c r="DG431" s="143"/>
      <c r="DH431" s="143"/>
      <c r="DI431" s="143"/>
      <c r="DJ431" s="143"/>
      <c r="DK431" s="143"/>
      <c r="DL431" s="143"/>
      <c r="DM431" s="143"/>
      <c r="DN431" s="143"/>
      <c r="DO431" s="143"/>
      <c r="DP431" s="143"/>
      <c r="DQ431" s="143"/>
      <c r="DR431" s="143"/>
      <c r="DS431" s="143"/>
      <c r="DT431" s="143"/>
      <c r="DU431" s="143"/>
      <c r="DV431" s="143"/>
      <c r="DW431" s="143"/>
      <c r="DX431" s="143"/>
      <c r="DY431" s="143"/>
      <c r="DZ431" s="143"/>
      <c r="EA431" s="143"/>
      <c r="EB431" s="143"/>
      <c r="EC431" s="143"/>
      <c r="ED431" s="143"/>
      <c r="EE431" s="143"/>
      <c r="EF431" s="143"/>
      <c r="EG431" s="143"/>
      <c r="EH431" s="143"/>
      <c r="EI431" s="143"/>
      <c r="EJ431" s="143"/>
      <c r="EK431" s="143"/>
      <c r="EL431" s="143"/>
      <c r="EM431" s="143"/>
      <c r="EN431" s="143"/>
      <c r="EO431" s="143"/>
      <c r="EP431" s="143"/>
      <c r="EQ431" s="143"/>
      <c r="ER431" s="143"/>
      <c r="ES431" s="143"/>
      <c r="ET431" s="143"/>
      <c r="EU431" s="143"/>
      <c r="EV431" s="143"/>
      <c r="EW431" s="143"/>
      <c r="EX431" s="143"/>
      <c r="EY431" s="143"/>
      <c r="EZ431" s="143"/>
      <c r="FA431" s="143"/>
      <c r="FB431" s="143"/>
      <c r="FC431" s="143"/>
      <c r="FD431" s="143"/>
      <c r="FE431" s="143"/>
      <c r="FF431" s="143"/>
      <c r="FG431" s="143"/>
      <c r="FH431" s="143"/>
      <c r="FI431" s="143"/>
      <c r="FJ431" s="143"/>
      <c r="FK431" s="143"/>
      <c r="FL431" s="143"/>
      <c r="FM431" s="143"/>
      <c r="FN431" s="143"/>
      <c r="FO431" s="143"/>
      <c r="FP431" s="143"/>
      <c r="FQ431" s="143"/>
      <c r="FR431" s="143"/>
      <c r="FS431" s="143"/>
      <c r="FT431" s="143"/>
      <c r="FU431" s="143"/>
      <c r="FV431" s="143"/>
      <c r="FW431" s="143"/>
      <c r="FX431" s="143"/>
      <c r="FY431" s="143"/>
      <c r="FZ431" s="143"/>
      <c r="GA431" s="143"/>
      <c r="GB431" s="143"/>
      <c r="GC431" s="143"/>
      <c r="GD431" s="143"/>
      <c r="GE431" s="143"/>
      <c r="GF431" s="143"/>
      <c r="GG431" s="143"/>
      <c r="GH431" s="143"/>
      <c r="GI431" s="143"/>
      <c r="GJ431" s="143"/>
      <c r="GK431" s="143"/>
      <c r="GL431" s="143"/>
      <c r="GM431" s="143"/>
      <c r="GN431" s="143"/>
      <c r="GO431" s="143"/>
      <c r="GP431" s="143"/>
      <c r="GQ431" s="143"/>
      <c r="GR431" s="143"/>
      <c r="GS431" s="143"/>
      <c r="GT431" s="143"/>
      <c r="GU431" s="143"/>
      <c r="GV431" s="143"/>
      <c r="GW431" s="143"/>
      <c r="GX431" s="143"/>
      <c r="GY431" s="143"/>
      <c r="GZ431" s="143"/>
      <c r="HA431" s="143"/>
      <c r="HB431" s="143"/>
      <c r="HC431" s="143"/>
      <c r="HD431" s="143"/>
      <c r="HE431" s="143"/>
      <c r="HF431" s="143"/>
      <c r="HG431" s="143"/>
      <c r="HH431" s="143"/>
      <c r="HI431" s="143"/>
      <c r="HJ431" s="143"/>
      <c r="HK431" s="143"/>
      <c r="HL431" s="143"/>
      <c r="HM431" s="143"/>
      <c r="HN431" s="143"/>
      <c r="HO431" s="143"/>
      <c r="HP431" s="143"/>
      <c r="HQ431" s="143"/>
      <c r="HR431" s="143"/>
      <c r="HS431" s="143"/>
      <c r="HT431" s="143"/>
      <c r="HU431" s="143"/>
      <c r="HV431" s="143"/>
      <c r="HW431" s="143"/>
      <c r="HX431" s="143"/>
      <c r="HY431" s="143"/>
      <c r="HZ431" s="143"/>
      <c r="IA431" s="143"/>
      <c r="IB431" s="143"/>
      <c r="IC431" s="143"/>
      <c r="ID431" s="143"/>
      <c r="IE431" s="143"/>
      <c r="IF431" s="143"/>
      <c r="IG431" s="143"/>
      <c r="IH431" s="143"/>
      <c r="II431" s="143"/>
      <c r="IJ431" s="143"/>
      <c r="IK431" s="143"/>
      <c r="IL431" s="143"/>
      <c r="IM431" s="143"/>
      <c r="IN431" s="143"/>
      <c r="IO431" s="143"/>
      <c r="IP431" s="143"/>
      <c r="IQ431" s="143"/>
      <c r="IR431" s="143"/>
      <c r="IS431" s="143"/>
      <c r="IT431" s="143"/>
      <c r="IU431" s="143"/>
      <c r="IV431" s="143"/>
      <c r="IW431" s="143"/>
      <c r="IX431" s="143"/>
      <c r="IY431" s="143"/>
      <c r="IZ431" s="143"/>
      <c r="JA431" s="143"/>
      <c r="JB431" s="143"/>
      <c r="JC431" s="143"/>
      <c r="JD431" s="143"/>
      <c r="JE431" s="143"/>
      <c r="JF431" s="143"/>
      <c r="JG431" s="143"/>
      <c r="JH431" s="143"/>
      <c r="JI431" s="143"/>
    </row>
    <row r="432" spans="1:269">
      <c r="A432" s="409"/>
      <c r="B432" s="340"/>
      <c r="C432" s="388"/>
      <c r="D432" s="388"/>
      <c r="E432" s="388"/>
      <c r="F432" s="388"/>
      <c r="G432" s="388"/>
      <c r="H432" s="388"/>
      <c r="I432" s="388"/>
      <c r="J432" s="388"/>
      <c r="K432" s="388"/>
      <c r="L432" s="388"/>
      <c r="M432" s="388"/>
      <c r="N432" s="388"/>
      <c r="O432" s="388"/>
      <c r="P432" s="388"/>
      <c r="Q432" s="388"/>
      <c r="R432" s="388"/>
      <c r="S432" s="388"/>
      <c r="T432" s="388"/>
      <c r="U432" s="388"/>
      <c r="V432" s="388"/>
      <c r="W432" s="388"/>
      <c r="X432" s="388"/>
      <c r="Y432" s="388"/>
      <c r="Z432" s="388"/>
      <c r="AA432" s="388"/>
      <c r="AB432" s="408"/>
      <c r="AC432" s="55"/>
      <c r="AD432" s="55"/>
      <c r="AE432" s="55"/>
      <c r="AF432" s="55"/>
      <c r="AG432" s="55"/>
      <c r="AH432" s="55"/>
      <c r="AI432" s="55"/>
      <c r="AJ432" s="55"/>
      <c r="AK432" s="55"/>
      <c r="AL432" s="55"/>
      <c r="AM432" s="55"/>
      <c r="AN432" s="55"/>
      <c r="AO432" s="55"/>
      <c r="AP432" s="55"/>
      <c r="AQ432" s="55"/>
      <c r="AR432" s="55"/>
      <c r="AS432" s="55"/>
      <c r="AT432" s="315"/>
      <c r="AU432" s="508"/>
      <c r="AV432" s="143"/>
      <c r="AW432" s="143"/>
      <c r="AX432" s="143"/>
      <c r="AY432" s="143"/>
      <c r="AZ432" s="143"/>
      <c r="BA432" s="143"/>
      <c r="BB432" s="143"/>
      <c r="BC432" s="143"/>
      <c r="BD432" s="143"/>
      <c r="BE432" s="143"/>
      <c r="BF432" s="143"/>
      <c r="BG432" s="143"/>
      <c r="BH432" s="143"/>
      <c r="BI432" s="143"/>
      <c r="BJ432" s="143"/>
      <c r="BK432" s="143"/>
      <c r="BL432" s="143"/>
      <c r="BM432" s="143"/>
      <c r="BN432" s="143"/>
      <c r="BO432" s="143"/>
      <c r="BP432" s="143"/>
      <c r="BQ432" s="143"/>
      <c r="BR432" s="143"/>
      <c r="BS432" s="143"/>
      <c r="BT432" s="143"/>
      <c r="BU432" s="143"/>
      <c r="BV432" s="143"/>
      <c r="BW432" s="143"/>
      <c r="BX432" s="143"/>
      <c r="BY432" s="143"/>
      <c r="BZ432" s="143"/>
      <c r="CA432" s="143"/>
      <c r="CB432" s="143"/>
      <c r="CC432" s="143"/>
      <c r="CD432" s="143"/>
      <c r="CE432" s="143"/>
      <c r="CF432" s="143"/>
      <c r="CG432" s="143"/>
      <c r="CH432" s="143"/>
      <c r="CI432" s="143"/>
      <c r="CJ432" s="143"/>
      <c r="CK432" s="143"/>
      <c r="CL432" s="143"/>
      <c r="CM432" s="143"/>
      <c r="CN432" s="143"/>
      <c r="CO432" s="143"/>
      <c r="CP432" s="143"/>
      <c r="CQ432" s="143"/>
      <c r="CR432" s="143"/>
      <c r="CS432" s="143"/>
      <c r="CT432" s="143"/>
      <c r="CU432" s="143"/>
      <c r="CV432" s="143"/>
      <c r="CW432" s="143"/>
      <c r="CX432" s="143"/>
      <c r="CY432" s="143"/>
      <c r="CZ432" s="143"/>
      <c r="DA432" s="143"/>
      <c r="DB432" s="143"/>
      <c r="DC432" s="143"/>
      <c r="DD432" s="143"/>
      <c r="DE432" s="143"/>
      <c r="DF432" s="143"/>
      <c r="DG432" s="143"/>
      <c r="DH432" s="143"/>
      <c r="DI432" s="143"/>
      <c r="DJ432" s="143"/>
      <c r="DK432" s="143"/>
      <c r="DL432" s="143"/>
      <c r="DM432" s="143"/>
      <c r="DN432" s="143"/>
      <c r="DO432" s="143"/>
      <c r="DP432" s="143"/>
      <c r="DQ432" s="143"/>
      <c r="DR432" s="143"/>
      <c r="DS432" s="143"/>
      <c r="DT432" s="143"/>
      <c r="DU432" s="143"/>
      <c r="DV432" s="143"/>
      <c r="DW432" s="143"/>
      <c r="DX432" s="143"/>
      <c r="DY432" s="143"/>
      <c r="DZ432" s="143"/>
      <c r="EA432" s="143"/>
      <c r="EB432" s="143"/>
      <c r="EC432" s="143"/>
      <c r="ED432" s="143"/>
      <c r="EE432" s="143"/>
      <c r="EF432" s="143"/>
      <c r="EG432" s="143"/>
      <c r="EH432" s="143"/>
      <c r="EI432" s="143"/>
      <c r="EJ432" s="143"/>
      <c r="EK432" s="143"/>
      <c r="EL432" s="143"/>
      <c r="EM432" s="143"/>
      <c r="EN432" s="143"/>
      <c r="EO432" s="143"/>
      <c r="EP432" s="143"/>
      <c r="EQ432" s="143"/>
      <c r="ER432" s="143"/>
      <c r="ES432" s="143"/>
      <c r="ET432" s="143"/>
      <c r="EU432" s="143"/>
      <c r="EV432" s="143"/>
      <c r="EW432" s="143"/>
      <c r="EX432" s="143"/>
      <c r="EY432" s="143"/>
      <c r="EZ432" s="143"/>
      <c r="FA432" s="143"/>
      <c r="FB432" s="143"/>
      <c r="FC432" s="143"/>
      <c r="FD432" s="143"/>
      <c r="FE432" s="143"/>
      <c r="FF432" s="143"/>
      <c r="FG432" s="143"/>
      <c r="FH432" s="143"/>
      <c r="FI432" s="143"/>
      <c r="FJ432" s="143"/>
      <c r="FK432" s="143"/>
      <c r="FL432" s="143"/>
      <c r="FM432" s="143"/>
      <c r="FN432" s="143"/>
      <c r="FO432" s="143"/>
      <c r="FP432" s="143"/>
      <c r="FQ432" s="143"/>
      <c r="FR432" s="143"/>
      <c r="FS432" s="143"/>
      <c r="FT432" s="143"/>
      <c r="FU432" s="143"/>
      <c r="FV432" s="143"/>
      <c r="FW432" s="143"/>
      <c r="FX432" s="143"/>
      <c r="FY432" s="143"/>
      <c r="FZ432" s="143"/>
      <c r="GA432" s="143"/>
      <c r="GB432" s="143"/>
      <c r="GC432" s="143"/>
      <c r="GD432" s="143"/>
      <c r="GE432" s="143"/>
      <c r="GF432" s="143"/>
      <c r="GG432" s="143"/>
      <c r="GH432" s="143"/>
      <c r="GI432" s="143"/>
      <c r="GJ432" s="143"/>
      <c r="GK432" s="143"/>
      <c r="GL432" s="143"/>
      <c r="GM432" s="143"/>
      <c r="GN432" s="143"/>
      <c r="GO432" s="143"/>
      <c r="GP432" s="143"/>
      <c r="GQ432" s="143"/>
      <c r="GR432" s="143"/>
      <c r="GS432" s="143"/>
      <c r="GT432" s="143"/>
      <c r="GU432" s="143"/>
      <c r="GV432" s="143"/>
      <c r="GW432" s="143"/>
      <c r="GX432" s="143"/>
      <c r="GY432" s="143"/>
      <c r="GZ432" s="143"/>
      <c r="HA432" s="143"/>
      <c r="HB432" s="143"/>
      <c r="HC432" s="143"/>
      <c r="HD432" s="143"/>
      <c r="HE432" s="143"/>
      <c r="HF432" s="143"/>
      <c r="HG432" s="143"/>
      <c r="HH432" s="143"/>
      <c r="HI432" s="143"/>
      <c r="HJ432" s="143"/>
      <c r="HK432" s="143"/>
      <c r="HL432" s="143"/>
      <c r="HM432" s="143"/>
      <c r="HN432" s="143"/>
      <c r="HO432" s="143"/>
      <c r="HP432" s="143"/>
      <c r="HQ432" s="143"/>
      <c r="HR432" s="143"/>
      <c r="HS432" s="143"/>
      <c r="HT432" s="143"/>
      <c r="HU432" s="143"/>
      <c r="HV432" s="143"/>
      <c r="HW432" s="143"/>
      <c r="HX432" s="143"/>
      <c r="HY432" s="143"/>
      <c r="HZ432" s="143"/>
      <c r="IA432" s="143"/>
      <c r="IB432" s="143"/>
      <c r="IC432" s="143"/>
      <c r="ID432" s="143"/>
      <c r="IE432" s="143"/>
      <c r="IF432" s="143"/>
      <c r="IG432" s="143"/>
      <c r="IH432" s="143"/>
      <c r="II432" s="143"/>
      <c r="IJ432" s="143"/>
      <c r="IK432" s="143"/>
      <c r="IL432" s="143"/>
      <c r="IM432" s="143"/>
      <c r="IN432" s="143"/>
      <c r="IO432" s="143"/>
      <c r="IP432" s="143"/>
      <c r="IQ432" s="143"/>
      <c r="IR432" s="143"/>
      <c r="IS432" s="143"/>
      <c r="IT432" s="143"/>
      <c r="IU432" s="143"/>
      <c r="IV432" s="143"/>
      <c r="IW432" s="143"/>
      <c r="IX432" s="143"/>
      <c r="IY432" s="143"/>
      <c r="IZ432" s="143"/>
      <c r="JA432" s="143"/>
      <c r="JB432" s="143"/>
      <c r="JC432" s="143"/>
      <c r="JD432" s="143"/>
      <c r="JE432" s="143"/>
      <c r="JF432" s="143"/>
      <c r="JG432" s="143"/>
      <c r="JH432" s="143"/>
      <c r="JI432" s="143"/>
    </row>
    <row r="433" spans="1:269">
      <c r="A433" s="437"/>
      <c r="B433" s="144"/>
      <c r="C433" s="417"/>
      <c r="D433" s="417"/>
      <c r="E433" s="417"/>
      <c r="F433" s="414"/>
      <c r="G433" s="414"/>
      <c r="H433" s="414"/>
      <c r="I433" s="414"/>
      <c r="J433" s="417"/>
      <c r="K433" s="414"/>
      <c r="L433" s="414"/>
      <c r="M433" s="414"/>
      <c r="N433" s="414"/>
      <c r="O433" s="417"/>
      <c r="P433" s="414"/>
      <c r="Q433" s="414"/>
      <c r="R433" s="414"/>
      <c r="S433" s="414"/>
      <c r="T433" s="417"/>
      <c r="U433" s="414"/>
      <c r="V433" s="414"/>
      <c r="W433" s="414"/>
      <c r="X433" s="414"/>
      <c r="Y433" s="417"/>
      <c r="Z433" s="414"/>
      <c r="AA433" s="414"/>
      <c r="AB433" s="414"/>
      <c r="AC433" s="414"/>
      <c r="AD433" s="422"/>
      <c r="AE433" s="414"/>
      <c r="AF433" s="414"/>
      <c r="AG433" s="414"/>
      <c r="AH433" s="280"/>
      <c r="AI433" s="320"/>
      <c r="AJ433" s="280"/>
      <c r="AK433" s="280"/>
      <c r="AL433" s="280"/>
      <c r="AM433" s="280"/>
      <c r="AN433" s="320"/>
      <c r="AO433" s="280"/>
      <c r="AP433" s="280"/>
      <c r="AQ433" s="280"/>
      <c r="AR433" s="280"/>
      <c r="AS433" s="320"/>
      <c r="AT433" s="315"/>
      <c r="AU433" s="508"/>
      <c r="AV433" s="143"/>
      <c r="AW433" s="143"/>
      <c r="AX433" s="143"/>
      <c r="AY433" s="143"/>
      <c r="AZ433" s="143"/>
      <c r="BA433" s="143"/>
      <c r="BB433" s="143"/>
      <c r="BC433" s="143"/>
      <c r="BD433" s="143"/>
      <c r="BE433" s="143"/>
      <c r="BF433" s="143"/>
      <c r="BG433" s="143"/>
      <c r="BH433" s="143"/>
      <c r="BI433" s="143"/>
      <c r="BJ433" s="143"/>
      <c r="BK433" s="143"/>
      <c r="BL433" s="143"/>
      <c r="BM433" s="143"/>
      <c r="BN433" s="143"/>
      <c r="BO433" s="143"/>
      <c r="BP433" s="143"/>
      <c r="BQ433" s="143"/>
      <c r="BR433" s="143"/>
      <c r="BS433" s="143"/>
      <c r="BT433" s="143"/>
      <c r="BU433" s="143"/>
      <c r="BV433" s="143"/>
      <c r="BW433" s="143"/>
      <c r="BX433" s="143"/>
      <c r="BY433" s="143"/>
      <c r="BZ433" s="143"/>
      <c r="CA433" s="143"/>
      <c r="CB433" s="143"/>
      <c r="CC433" s="143"/>
      <c r="CD433" s="143"/>
      <c r="CE433" s="143"/>
      <c r="CF433" s="143"/>
      <c r="CG433" s="143"/>
      <c r="CH433" s="143"/>
      <c r="CI433" s="143"/>
      <c r="CJ433" s="143"/>
      <c r="CK433" s="143"/>
      <c r="CL433" s="143"/>
      <c r="CM433" s="143"/>
      <c r="CN433" s="143"/>
      <c r="CO433" s="143"/>
      <c r="CP433" s="143"/>
      <c r="CQ433" s="143"/>
      <c r="CR433" s="143"/>
      <c r="CS433" s="143"/>
      <c r="CT433" s="143"/>
      <c r="CU433" s="143"/>
      <c r="CV433" s="143"/>
      <c r="CW433" s="143"/>
      <c r="CX433" s="143"/>
      <c r="CY433" s="143"/>
      <c r="CZ433" s="143"/>
      <c r="DA433" s="143"/>
      <c r="DB433" s="143"/>
      <c r="DC433" s="143"/>
      <c r="DD433" s="143"/>
      <c r="DE433" s="143"/>
      <c r="DF433" s="143"/>
      <c r="DG433" s="143"/>
      <c r="DH433" s="143"/>
      <c r="DI433" s="143"/>
      <c r="DJ433" s="143"/>
      <c r="DK433" s="143"/>
      <c r="DL433" s="143"/>
      <c r="DM433" s="143"/>
      <c r="DN433" s="143"/>
      <c r="DO433" s="143"/>
      <c r="DP433" s="143"/>
      <c r="DQ433" s="143"/>
      <c r="DR433" s="143"/>
      <c r="DS433" s="143"/>
      <c r="DT433" s="143"/>
      <c r="DU433" s="143"/>
      <c r="DV433" s="143"/>
      <c r="DW433" s="143"/>
      <c r="DX433" s="143"/>
      <c r="DY433" s="143"/>
      <c r="DZ433" s="143"/>
      <c r="EA433" s="143"/>
      <c r="EB433" s="143"/>
      <c r="EC433" s="143"/>
      <c r="ED433" s="143"/>
      <c r="EE433" s="143"/>
      <c r="EF433" s="143"/>
      <c r="EG433" s="143"/>
      <c r="EH433" s="143"/>
      <c r="EI433" s="143"/>
      <c r="EJ433" s="143"/>
      <c r="EK433" s="143"/>
      <c r="EL433" s="143"/>
      <c r="EM433" s="143"/>
      <c r="EN433" s="143"/>
      <c r="EO433" s="143"/>
      <c r="EP433" s="143"/>
      <c r="EQ433" s="143"/>
      <c r="ER433" s="143"/>
      <c r="ES433" s="143"/>
      <c r="ET433" s="143"/>
      <c r="EU433" s="143"/>
      <c r="EV433" s="143"/>
      <c r="EW433" s="143"/>
      <c r="EX433" s="143"/>
      <c r="EY433" s="143"/>
      <c r="EZ433" s="143"/>
      <c r="FA433" s="143"/>
      <c r="FB433" s="143"/>
      <c r="FC433" s="143"/>
      <c r="FD433" s="143"/>
      <c r="FE433" s="143"/>
      <c r="FF433" s="143"/>
      <c r="FG433" s="143"/>
      <c r="FH433" s="143"/>
      <c r="FI433" s="143"/>
      <c r="FJ433" s="143"/>
      <c r="FK433" s="143"/>
      <c r="FL433" s="143"/>
      <c r="FM433" s="143"/>
      <c r="FN433" s="143"/>
      <c r="FO433" s="143"/>
      <c r="FP433" s="143"/>
      <c r="FQ433" s="143"/>
      <c r="FR433" s="143"/>
      <c r="FS433" s="143"/>
      <c r="FT433" s="143"/>
      <c r="FU433" s="143"/>
      <c r="FV433" s="143"/>
      <c r="FW433" s="143"/>
      <c r="FX433" s="143"/>
      <c r="FY433" s="143"/>
      <c r="FZ433" s="143"/>
      <c r="GA433" s="143"/>
      <c r="GB433" s="143"/>
      <c r="GC433" s="143"/>
      <c r="GD433" s="143"/>
      <c r="GE433" s="143"/>
      <c r="GF433" s="143"/>
      <c r="GG433" s="143"/>
      <c r="GH433" s="143"/>
      <c r="GI433" s="143"/>
      <c r="GJ433" s="143"/>
      <c r="GK433" s="143"/>
      <c r="GL433" s="143"/>
      <c r="GM433" s="143"/>
      <c r="GN433" s="143"/>
      <c r="GO433" s="143"/>
      <c r="GP433" s="143"/>
      <c r="GQ433" s="143"/>
      <c r="GR433" s="143"/>
      <c r="GS433" s="143"/>
      <c r="GT433" s="143"/>
      <c r="GU433" s="143"/>
      <c r="GV433" s="143"/>
      <c r="GW433" s="143"/>
      <c r="GX433" s="143"/>
      <c r="GY433" s="143"/>
      <c r="GZ433" s="143"/>
      <c r="HA433" s="143"/>
      <c r="HB433" s="143"/>
      <c r="HC433" s="143"/>
      <c r="HD433" s="143"/>
      <c r="HE433" s="143"/>
      <c r="HF433" s="143"/>
      <c r="HG433" s="143"/>
      <c r="HH433" s="143"/>
      <c r="HI433" s="143"/>
      <c r="HJ433" s="143"/>
      <c r="HK433" s="143"/>
      <c r="HL433" s="143"/>
      <c r="HM433" s="143"/>
      <c r="HN433" s="143"/>
      <c r="HO433" s="143"/>
      <c r="HP433" s="143"/>
      <c r="HQ433" s="143"/>
      <c r="HR433" s="143"/>
      <c r="HS433" s="143"/>
      <c r="HT433" s="143"/>
      <c r="HU433" s="143"/>
      <c r="HV433" s="143"/>
      <c r="HW433" s="143"/>
      <c r="HX433" s="143"/>
      <c r="HY433" s="143"/>
      <c r="HZ433" s="143"/>
      <c r="IA433" s="143"/>
      <c r="IB433" s="143"/>
      <c r="IC433" s="143"/>
      <c r="ID433" s="143"/>
      <c r="IE433" s="143"/>
      <c r="IF433" s="143"/>
      <c r="IG433" s="143"/>
      <c r="IH433" s="143"/>
      <c r="II433" s="143"/>
      <c r="IJ433" s="143"/>
      <c r="IK433" s="143"/>
      <c r="IL433" s="143"/>
      <c r="IM433" s="143"/>
      <c r="IN433" s="143"/>
      <c r="IO433" s="143"/>
      <c r="IP433" s="143"/>
      <c r="IQ433" s="143"/>
      <c r="IR433" s="143"/>
      <c r="IS433" s="143"/>
      <c r="IT433" s="143"/>
      <c r="IU433" s="143"/>
      <c r="IV433" s="143"/>
      <c r="IW433" s="143"/>
      <c r="IX433" s="143"/>
      <c r="IY433" s="143"/>
      <c r="IZ433" s="143"/>
      <c r="JA433" s="143"/>
      <c r="JB433" s="143"/>
      <c r="JC433" s="143"/>
      <c r="JD433" s="143"/>
      <c r="JE433" s="143"/>
      <c r="JF433" s="143"/>
      <c r="JG433" s="143"/>
      <c r="JH433" s="143"/>
      <c r="JI433" s="143"/>
    </row>
    <row r="434" spans="1:269">
      <c r="A434" s="143"/>
      <c r="B434" s="143"/>
      <c r="C434" s="277"/>
      <c r="D434" s="277"/>
      <c r="E434" s="277"/>
      <c r="F434" s="278"/>
      <c r="G434" s="278"/>
      <c r="H434" s="278"/>
      <c r="I434" s="278"/>
      <c r="J434" s="277"/>
      <c r="K434" s="278"/>
      <c r="L434" s="278"/>
      <c r="M434" s="278"/>
      <c r="N434" s="278"/>
      <c r="O434" s="277"/>
      <c r="P434" s="278"/>
      <c r="Q434" s="278"/>
      <c r="R434" s="278"/>
      <c r="S434" s="278"/>
      <c r="T434" s="277"/>
      <c r="U434" s="278"/>
      <c r="V434" s="278"/>
      <c r="W434" s="278"/>
      <c r="X434" s="278"/>
      <c r="Y434" s="277"/>
      <c r="Z434" s="278"/>
      <c r="AA434" s="278"/>
      <c r="AB434" s="278"/>
      <c r="AC434" s="278"/>
      <c r="AD434" s="536"/>
      <c r="AE434" s="143"/>
      <c r="AF434" s="143"/>
      <c r="AG434" s="143"/>
      <c r="AH434" s="143"/>
      <c r="AI434" s="279"/>
      <c r="AJ434" s="143"/>
      <c r="AK434" s="143"/>
      <c r="AL434" s="143"/>
      <c r="AM434" s="143"/>
      <c r="AN434" s="279"/>
      <c r="AO434" s="143"/>
      <c r="AP434" s="143"/>
      <c r="AQ434" s="143"/>
      <c r="AR434" s="143"/>
      <c r="AS434" s="279"/>
      <c r="AT434" s="315"/>
      <c r="AU434" s="508"/>
      <c r="AV434" s="143"/>
      <c r="AW434" s="143"/>
      <c r="AX434" s="143"/>
      <c r="AY434" s="143"/>
      <c r="AZ434" s="143"/>
      <c r="BA434" s="143"/>
      <c r="BB434" s="143"/>
      <c r="BC434" s="143"/>
      <c r="BD434" s="143"/>
      <c r="BE434" s="143"/>
      <c r="BF434" s="143"/>
      <c r="BG434" s="143"/>
      <c r="BH434" s="143"/>
      <c r="BI434" s="143"/>
      <c r="BJ434" s="143"/>
      <c r="BK434" s="143"/>
      <c r="BL434" s="143"/>
      <c r="BM434" s="143"/>
      <c r="BN434" s="143"/>
      <c r="BO434" s="143"/>
      <c r="BP434" s="143"/>
      <c r="BQ434" s="143"/>
      <c r="BR434" s="143"/>
      <c r="BS434" s="143"/>
      <c r="BT434" s="143"/>
      <c r="BU434" s="143"/>
      <c r="BV434" s="143"/>
      <c r="BW434" s="143"/>
      <c r="BX434" s="143"/>
      <c r="BY434" s="143"/>
      <c r="BZ434" s="143"/>
      <c r="CA434" s="143"/>
      <c r="CB434" s="143"/>
      <c r="CC434" s="143"/>
      <c r="CD434" s="143"/>
      <c r="CE434" s="143"/>
      <c r="CF434" s="143"/>
      <c r="CG434" s="143"/>
      <c r="CH434" s="143"/>
      <c r="CI434" s="143"/>
      <c r="CJ434" s="143"/>
      <c r="CK434" s="143"/>
      <c r="CL434" s="143"/>
      <c r="CM434" s="143"/>
      <c r="CN434" s="143"/>
      <c r="CO434" s="143"/>
      <c r="CP434" s="143"/>
      <c r="CQ434" s="143"/>
      <c r="CR434" s="143"/>
      <c r="CS434" s="143"/>
      <c r="CT434" s="143"/>
      <c r="CU434" s="143"/>
      <c r="CV434" s="143"/>
      <c r="CW434" s="143"/>
      <c r="CX434" s="143"/>
      <c r="CY434" s="143"/>
      <c r="CZ434" s="143"/>
      <c r="DA434" s="143"/>
      <c r="DB434" s="143"/>
      <c r="DC434" s="143"/>
      <c r="DD434" s="143"/>
      <c r="DE434" s="143"/>
      <c r="DF434" s="143"/>
      <c r="DG434" s="143"/>
      <c r="DH434" s="143"/>
      <c r="DI434" s="143"/>
      <c r="DJ434" s="143"/>
      <c r="DK434" s="143"/>
      <c r="DL434" s="143"/>
      <c r="DM434" s="143"/>
      <c r="DN434" s="143"/>
      <c r="DO434" s="143"/>
      <c r="DP434" s="143"/>
      <c r="DQ434" s="143"/>
      <c r="DR434" s="143"/>
      <c r="DS434" s="143"/>
      <c r="DT434" s="143"/>
      <c r="DU434" s="143"/>
      <c r="DV434" s="143"/>
      <c r="DW434" s="143"/>
      <c r="DX434" s="143"/>
      <c r="DY434" s="143"/>
      <c r="DZ434" s="143"/>
      <c r="EA434" s="143"/>
      <c r="EB434" s="143"/>
      <c r="EC434" s="143"/>
      <c r="ED434" s="143"/>
      <c r="EE434" s="143"/>
      <c r="EF434" s="143"/>
      <c r="EG434" s="143"/>
      <c r="EH434" s="143"/>
      <c r="EI434" s="143"/>
      <c r="EJ434" s="143"/>
      <c r="EK434" s="143"/>
      <c r="EL434" s="143"/>
      <c r="EM434" s="143"/>
      <c r="EN434" s="143"/>
      <c r="EO434" s="143"/>
      <c r="EP434" s="143"/>
      <c r="EQ434" s="143"/>
      <c r="ER434" s="143"/>
      <c r="ES434" s="143"/>
      <c r="ET434" s="143"/>
      <c r="EU434" s="143"/>
      <c r="EV434" s="143"/>
      <c r="EW434" s="143"/>
      <c r="EX434" s="143"/>
      <c r="EY434" s="143"/>
      <c r="EZ434" s="143"/>
      <c r="FA434" s="143"/>
      <c r="FB434" s="143"/>
      <c r="FC434" s="143"/>
      <c r="FD434" s="143"/>
      <c r="FE434" s="143"/>
      <c r="FF434" s="143"/>
      <c r="FG434" s="143"/>
      <c r="FH434" s="143"/>
      <c r="FI434" s="143"/>
      <c r="FJ434" s="143"/>
      <c r="FK434" s="143"/>
      <c r="FL434" s="143"/>
      <c r="FM434" s="143"/>
      <c r="FN434" s="143"/>
      <c r="FO434" s="143"/>
      <c r="FP434" s="143"/>
      <c r="FQ434" s="143"/>
      <c r="FR434" s="143"/>
      <c r="FS434" s="143"/>
      <c r="FT434" s="143"/>
      <c r="FU434" s="143"/>
      <c r="FV434" s="143"/>
      <c r="FW434" s="143"/>
      <c r="FX434" s="143"/>
      <c r="FY434" s="143"/>
      <c r="FZ434" s="143"/>
      <c r="GA434" s="143"/>
      <c r="GB434" s="143"/>
      <c r="GC434" s="143"/>
      <c r="GD434" s="143"/>
      <c r="GE434" s="143"/>
      <c r="GF434" s="143"/>
      <c r="GG434" s="143"/>
      <c r="GH434" s="143"/>
      <c r="GI434" s="143"/>
      <c r="GJ434" s="143"/>
      <c r="GK434" s="143"/>
      <c r="GL434" s="143"/>
      <c r="GM434" s="143"/>
      <c r="GN434" s="143"/>
      <c r="GO434" s="143"/>
      <c r="GP434" s="143"/>
      <c r="GQ434" s="143"/>
      <c r="GR434" s="143"/>
      <c r="GS434" s="143"/>
      <c r="GT434" s="143"/>
      <c r="GU434" s="143"/>
      <c r="GV434" s="143"/>
      <c r="GW434" s="143"/>
      <c r="GX434" s="143"/>
      <c r="GY434" s="143"/>
      <c r="GZ434" s="143"/>
      <c r="HA434" s="143"/>
      <c r="HB434" s="143"/>
      <c r="HC434" s="143"/>
      <c r="HD434" s="143"/>
      <c r="HE434" s="143"/>
      <c r="HF434" s="143"/>
      <c r="HG434" s="143"/>
      <c r="HH434" s="143"/>
      <c r="HI434" s="143"/>
      <c r="HJ434" s="143"/>
      <c r="HK434" s="143"/>
      <c r="HL434" s="143"/>
      <c r="HM434" s="143"/>
      <c r="HN434" s="143"/>
      <c r="HO434" s="143"/>
      <c r="HP434" s="143"/>
      <c r="HQ434" s="143"/>
      <c r="HR434" s="143"/>
      <c r="HS434" s="143"/>
      <c r="HT434" s="143"/>
      <c r="HU434" s="143"/>
      <c r="HV434" s="143"/>
      <c r="HW434" s="143"/>
      <c r="HX434" s="143"/>
      <c r="HY434" s="143"/>
      <c r="HZ434" s="143"/>
      <c r="IA434" s="143"/>
      <c r="IB434" s="143"/>
      <c r="IC434" s="143"/>
      <c r="ID434" s="143"/>
      <c r="IE434" s="143"/>
      <c r="IF434" s="143"/>
      <c r="IG434" s="143"/>
      <c r="IH434" s="143"/>
      <c r="II434" s="143"/>
      <c r="IJ434" s="143"/>
      <c r="IK434" s="143"/>
      <c r="IL434" s="143"/>
      <c r="IM434" s="143"/>
      <c r="IN434" s="143"/>
      <c r="IO434" s="143"/>
      <c r="IP434" s="143"/>
      <c r="IQ434" s="143"/>
      <c r="IR434" s="143"/>
      <c r="IS434" s="143"/>
      <c r="IT434" s="143"/>
      <c r="IU434" s="143"/>
      <c r="IV434" s="143"/>
      <c r="IW434" s="143"/>
      <c r="IX434" s="143"/>
      <c r="IY434" s="143"/>
      <c r="IZ434" s="143"/>
      <c r="JA434" s="143"/>
      <c r="JB434" s="143"/>
      <c r="JC434" s="143"/>
      <c r="JD434" s="143"/>
      <c r="JE434" s="143"/>
      <c r="JF434" s="143"/>
      <c r="JG434" s="143"/>
      <c r="JH434" s="143"/>
      <c r="JI434" s="143"/>
    </row>
    <row r="435" spans="1:269" s="149" customFormat="1">
      <c r="A435" s="52" t="s">
        <v>213</v>
      </c>
      <c r="B435" s="53"/>
      <c r="C435" s="54"/>
      <c r="D435" s="54"/>
      <c r="E435" s="54"/>
      <c r="F435" s="54"/>
      <c r="G435" s="54"/>
      <c r="H435" s="54"/>
      <c r="I435" s="54"/>
      <c r="J435" s="54"/>
      <c r="K435" s="54"/>
      <c r="L435" s="54"/>
      <c r="M435" s="54"/>
      <c r="N435" s="54"/>
      <c r="O435" s="54"/>
      <c r="P435" s="54"/>
      <c r="Q435" s="54"/>
      <c r="R435" s="54"/>
      <c r="S435" s="54"/>
      <c r="T435" s="54"/>
      <c r="U435" s="54"/>
      <c r="V435" s="54"/>
      <c r="W435" s="54"/>
      <c r="X435" s="54"/>
      <c r="Y435" s="54"/>
      <c r="Z435" s="54"/>
      <c r="AA435" s="54"/>
      <c r="AB435" s="54"/>
      <c r="AC435" s="55"/>
      <c r="AD435" s="55"/>
      <c r="AE435" s="55"/>
      <c r="AF435" s="55"/>
      <c r="AG435" s="55"/>
      <c r="AH435" s="55"/>
      <c r="AI435" s="55"/>
      <c r="AJ435" s="55"/>
      <c r="AK435" s="55"/>
      <c r="AL435" s="55"/>
      <c r="AM435" s="55"/>
      <c r="AN435" s="55"/>
      <c r="AO435" s="55"/>
      <c r="AP435" s="55"/>
      <c r="AQ435" s="55"/>
      <c r="AR435" s="55"/>
      <c r="AS435" s="55"/>
      <c r="AT435" s="317"/>
      <c r="AU435" s="503"/>
      <c r="AV435" s="3"/>
      <c r="AW435" s="3"/>
      <c r="AX435" s="3"/>
      <c r="AY435" s="3"/>
      <c r="AZ435" s="3"/>
      <c r="BA435" s="3"/>
      <c r="BB435" s="3"/>
      <c r="BC435" s="3"/>
      <c r="BD435" s="3"/>
      <c r="BE435" s="3"/>
      <c r="BF435" s="3"/>
      <c r="BG435" s="3"/>
      <c r="BH435" s="3"/>
      <c r="BI435" s="3"/>
      <c r="BJ435" s="3"/>
      <c r="BK435" s="3"/>
      <c r="BL435" s="3"/>
      <c r="BM435" s="3"/>
      <c r="BN435" s="3"/>
      <c r="BO435" s="3"/>
      <c r="BP435" s="3"/>
      <c r="BQ435" s="3"/>
      <c r="BR435" s="3"/>
      <c r="BS435" s="3"/>
      <c r="BT435" s="3"/>
      <c r="BU435" s="3"/>
      <c r="BV435" s="3"/>
      <c r="BW435" s="3"/>
      <c r="BX435" s="3"/>
      <c r="BY435" s="3"/>
      <c r="BZ435" s="3"/>
      <c r="CA435" s="3"/>
      <c r="CB435" s="3"/>
      <c r="CC435" s="3"/>
      <c r="CD435" s="3"/>
      <c r="CE435" s="3"/>
      <c r="CF435" s="3"/>
      <c r="CG435" s="3"/>
      <c r="CH435" s="3"/>
      <c r="CI435" s="3"/>
      <c r="CJ435" s="3"/>
      <c r="CK435" s="3"/>
      <c r="CL435" s="3"/>
      <c r="CM435" s="3"/>
      <c r="CN435" s="3"/>
      <c r="CO435" s="3"/>
      <c r="CP435" s="3"/>
      <c r="CQ435" s="3"/>
      <c r="CR435" s="3"/>
      <c r="CS435" s="3"/>
      <c r="CT435" s="3"/>
      <c r="CU435" s="3"/>
      <c r="CV435" s="3"/>
      <c r="CW435" s="3"/>
      <c r="CX435" s="3"/>
      <c r="CY435" s="3"/>
      <c r="CZ435" s="3"/>
      <c r="DA435" s="3"/>
      <c r="DB435" s="3"/>
      <c r="DC435" s="3"/>
      <c r="DD435" s="3"/>
      <c r="DE435" s="3"/>
      <c r="DF435" s="3"/>
      <c r="DG435" s="3"/>
      <c r="DH435" s="3"/>
      <c r="DI435" s="3"/>
      <c r="DJ435" s="3"/>
      <c r="DK435" s="3"/>
      <c r="DL435" s="3"/>
      <c r="DM435" s="3"/>
      <c r="DN435" s="3"/>
      <c r="DO435" s="3"/>
      <c r="DP435" s="3"/>
      <c r="DQ435" s="3"/>
      <c r="DR435" s="3"/>
      <c r="DS435" s="3"/>
      <c r="DT435" s="3"/>
      <c r="DU435" s="3"/>
      <c r="DV435" s="3"/>
      <c r="DW435" s="3"/>
      <c r="DX435" s="3"/>
      <c r="DY435" s="3"/>
      <c r="DZ435" s="3"/>
      <c r="EA435" s="3"/>
      <c r="EB435" s="3"/>
      <c r="EC435" s="3"/>
      <c r="ED435" s="3"/>
      <c r="EE435" s="3"/>
      <c r="EF435" s="3"/>
      <c r="EG435" s="3"/>
      <c r="EH435" s="3"/>
      <c r="EI435" s="3"/>
      <c r="EJ435" s="3"/>
      <c r="EK435" s="3"/>
      <c r="EL435" s="3"/>
      <c r="EM435" s="3"/>
      <c r="EN435" s="3"/>
      <c r="EO435" s="3"/>
      <c r="EP435" s="3"/>
      <c r="EQ435" s="3"/>
      <c r="ER435" s="3"/>
      <c r="ES435" s="3"/>
      <c r="ET435" s="3"/>
      <c r="EU435" s="3"/>
      <c r="EV435" s="3"/>
      <c r="EW435" s="3"/>
      <c r="EX435" s="3"/>
      <c r="EY435" s="3"/>
      <c r="EZ435" s="3"/>
      <c r="FA435" s="3"/>
      <c r="FB435" s="3"/>
      <c r="FC435" s="3"/>
      <c r="FD435" s="3"/>
      <c r="FE435" s="3"/>
      <c r="FF435" s="3"/>
      <c r="FG435" s="3"/>
      <c r="FH435" s="3"/>
      <c r="FI435" s="3"/>
      <c r="FJ435" s="3"/>
      <c r="FK435" s="3"/>
      <c r="FL435" s="3"/>
      <c r="FM435" s="3"/>
      <c r="FN435" s="3"/>
      <c r="FO435" s="3"/>
      <c r="FP435" s="3"/>
      <c r="FQ435" s="3"/>
      <c r="FR435" s="3"/>
      <c r="FS435" s="3"/>
      <c r="FT435" s="3"/>
      <c r="FU435" s="3"/>
      <c r="FV435" s="3"/>
      <c r="FW435" s="3"/>
      <c r="FX435" s="3"/>
      <c r="FY435" s="3"/>
      <c r="FZ435" s="3"/>
      <c r="GA435" s="3"/>
      <c r="GB435" s="3"/>
      <c r="GC435" s="3"/>
      <c r="GD435" s="3"/>
      <c r="GE435" s="3"/>
      <c r="GF435" s="3"/>
      <c r="GG435" s="3"/>
      <c r="GH435" s="3"/>
      <c r="GI435" s="3"/>
      <c r="GJ435" s="3"/>
      <c r="GK435" s="3"/>
      <c r="GL435" s="3"/>
      <c r="GM435" s="3"/>
      <c r="GN435" s="3"/>
      <c r="GO435" s="3"/>
      <c r="GP435" s="3"/>
      <c r="GQ435" s="3"/>
      <c r="GR435" s="3"/>
      <c r="GS435" s="3"/>
      <c r="GT435" s="3"/>
      <c r="GU435" s="3"/>
      <c r="GV435" s="3"/>
      <c r="GW435" s="3"/>
      <c r="GX435" s="3"/>
      <c r="GY435" s="3"/>
      <c r="GZ435" s="3"/>
      <c r="HA435" s="3"/>
      <c r="HB435" s="3"/>
      <c r="HC435" s="3"/>
      <c r="HD435" s="3"/>
      <c r="HE435" s="3"/>
      <c r="HF435" s="3"/>
      <c r="HG435" s="3"/>
      <c r="HH435" s="3"/>
      <c r="HI435" s="3"/>
      <c r="HJ435" s="3"/>
      <c r="HK435" s="3"/>
      <c r="HL435" s="3"/>
      <c r="HM435" s="3"/>
      <c r="HN435" s="3"/>
      <c r="HO435" s="3"/>
      <c r="HP435" s="3"/>
      <c r="HQ435" s="3"/>
      <c r="HR435" s="3"/>
      <c r="HS435" s="3"/>
      <c r="HT435" s="3"/>
      <c r="HU435" s="3"/>
      <c r="HV435" s="3"/>
      <c r="HW435" s="3"/>
      <c r="HX435" s="3"/>
      <c r="HY435" s="3"/>
      <c r="HZ435" s="3"/>
      <c r="IA435" s="3"/>
      <c r="IB435" s="3"/>
      <c r="IC435" s="3"/>
      <c r="ID435" s="3"/>
      <c r="IE435" s="3"/>
      <c r="IF435" s="3"/>
      <c r="IG435" s="3"/>
      <c r="IH435" s="3"/>
      <c r="II435" s="3"/>
      <c r="IJ435" s="3"/>
      <c r="IK435" s="3"/>
      <c r="IL435" s="3"/>
      <c r="IM435" s="3"/>
      <c r="IN435" s="3"/>
      <c r="IO435" s="3"/>
      <c r="IP435" s="3"/>
      <c r="IQ435" s="3"/>
      <c r="IR435" s="3"/>
      <c r="IS435" s="3"/>
      <c r="IT435" s="3"/>
      <c r="IU435" s="3"/>
      <c r="IV435" s="3"/>
      <c r="IW435" s="3"/>
      <c r="IX435" s="3"/>
      <c r="IY435" s="3"/>
      <c r="IZ435" s="3"/>
      <c r="JA435" s="3"/>
      <c r="JB435" s="3"/>
      <c r="JC435" s="3"/>
      <c r="JD435" s="3"/>
      <c r="JE435" s="3"/>
      <c r="JF435" s="3"/>
      <c r="JG435" s="3"/>
      <c r="JH435" s="3"/>
      <c r="JI435" s="3"/>
    </row>
    <row r="436" spans="1:269">
      <c r="A436" s="143"/>
      <c r="B436" s="143"/>
      <c r="C436" s="148"/>
      <c r="D436" s="148"/>
      <c r="E436" s="148"/>
      <c r="F436" s="143"/>
      <c r="G436" s="143"/>
      <c r="H436" s="143"/>
      <c r="I436" s="143"/>
      <c r="J436" s="148"/>
      <c r="K436" s="143"/>
      <c r="L436" s="143"/>
      <c r="M436" s="143"/>
      <c r="N436" s="143"/>
      <c r="O436" s="148"/>
      <c r="P436" s="143"/>
      <c r="Q436" s="143"/>
      <c r="R436" s="143"/>
      <c r="S436" s="143"/>
      <c r="T436" s="148"/>
      <c r="U436" s="143"/>
      <c r="V436" s="143"/>
      <c r="W436" s="143"/>
      <c r="X436" s="143"/>
      <c r="Y436" s="148"/>
      <c r="Z436" s="143"/>
      <c r="AA436" s="143"/>
      <c r="AB436" s="143"/>
      <c r="AC436" s="143"/>
      <c r="AD436" s="279"/>
      <c r="AE436" s="143"/>
      <c r="AF436" s="143"/>
      <c r="AG436" s="143"/>
      <c r="AH436" s="143"/>
      <c r="AI436" s="279"/>
      <c r="AJ436" s="143"/>
      <c r="AK436" s="143"/>
      <c r="AL436" s="143"/>
      <c r="AM436" s="143"/>
      <c r="AN436" s="279"/>
      <c r="AO436" s="143"/>
      <c r="AP436" s="143"/>
      <c r="AQ436" s="143"/>
      <c r="AR436" s="143"/>
      <c r="AS436" s="279"/>
      <c r="AT436" s="315"/>
      <c r="AU436" s="508"/>
      <c r="AV436" s="143"/>
      <c r="AW436" s="143"/>
      <c r="AX436" s="143"/>
      <c r="AY436" s="143"/>
      <c r="AZ436" s="143"/>
      <c r="BA436" s="143"/>
      <c r="BB436" s="143"/>
      <c r="BC436" s="143"/>
      <c r="BD436" s="143"/>
      <c r="BE436" s="143"/>
      <c r="BF436" s="143"/>
      <c r="BG436" s="143"/>
      <c r="BH436" s="143"/>
      <c r="BI436" s="143"/>
      <c r="BJ436" s="143"/>
      <c r="BK436" s="143"/>
      <c r="BL436" s="143"/>
      <c r="BM436" s="143"/>
      <c r="BN436" s="143"/>
      <c r="BO436" s="143"/>
      <c r="BP436" s="143"/>
      <c r="BQ436" s="143"/>
      <c r="BR436" s="143"/>
      <c r="BS436" s="143"/>
      <c r="BT436" s="143"/>
      <c r="BU436" s="143"/>
      <c r="BV436" s="143"/>
      <c r="BW436" s="143"/>
      <c r="BX436" s="143"/>
      <c r="BY436" s="143"/>
      <c r="BZ436" s="143"/>
      <c r="CA436" s="143"/>
      <c r="CB436" s="143"/>
      <c r="CC436" s="143"/>
      <c r="CD436" s="143"/>
      <c r="CE436" s="143"/>
      <c r="CF436" s="143"/>
      <c r="CG436" s="143"/>
      <c r="CH436" s="143"/>
      <c r="CI436" s="143"/>
      <c r="CJ436" s="143"/>
      <c r="CK436" s="143"/>
      <c r="CL436" s="143"/>
      <c r="CM436" s="143"/>
      <c r="CN436" s="143"/>
      <c r="CO436" s="143"/>
      <c r="CP436" s="143"/>
      <c r="CQ436" s="143"/>
      <c r="CR436" s="143"/>
      <c r="CS436" s="143"/>
      <c r="CT436" s="143"/>
      <c r="CU436" s="143"/>
      <c r="CV436" s="143"/>
      <c r="CW436" s="143"/>
      <c r="CX436" s="143"/>
      <c r="CY436" s="143"/>
      <c r="CZ436" s="143"/>
      <c r="DA436" s="143"/>
      <c r="DB436" s="143"/>
      <c r="DC436" s="143"/>
      <c r="DD436" s="143"/>
      <c r="DE436" s="143"/>
      <c r="DF436" s="143"/>
      <c r="DG436" s="143"/>
      <c r="DH436" s="143"/>
      <c r="DI436" s="143"/>
      <c r="DJ436" s="143"/>
      <c r="DK436" s="143"/>
      <c r="DL436" s="143"/>
      <c r="DM436" s="143"/>
      <c r="DN436" s="143"/>
      <c r="DO436" s="143"/>
      <c r="DP436" s="143"/>
      <c r="DQ436" s="143"/>
      <c r="DR436" s="143"/>
      <c r="DS436" s="143"/>
      <c r="DT436" s="143"/>
      <c r="DU436" s="143"/>
      <c r="DV436" s="143"/>
      <c r="DW436" s="143"/>
      <c r="DX436" s="143"/>
      <c r="DY436" s="143"/>
      <c r="DZ436" s="143"/>
      <c r="EA436" s="143"/>
      <c r="EB436" s="143"/>
      <c r="EC436" s="143"/>
      <c r="ED436" s="143"/>
      <c r="EE436" s="143"/>
      <c r="EF436" s="143"/>
      <c r="EG436" s="143"/>
      <c r="EH436" s="143"/>
      <c r="EI436" s="143"/>
      <c r="EJ436" s="143"/>
      <c r="EK436" s="143"/>
      <c r="EL436" s="143"/>
      <c r="EM436" s="143"/>
      <c r="EN436" s="143"/>
      <c r="EO436" s="143"/>
      <c r="EP436" s="143"/>
      <c r="EQ436" s="143"/>
      <c r="ER436" s="143"/>
      <c r="ES436" s="143"/>
      <c r="ET436" s="143"/>
      <c r="EU436" s="143"/>
      <c r="EV436" s="143"/>
      <c r="EW436" s="143"/>
      <c r="EX436" s="143"/>
      <c r="EY436" s="143"/>
      <c r="EZ436" s="143"/>
      <c r="FA436" s="143"/>
      <c r="FB436" s="143"/>
      <c r="FC436" s="143"/>
      <c r="FD436" s="143"/>
      <c r="FE436" s="143"/>
      <c r="FF436" s="143"/>
      <c r="FG436" s="143"/>
      <c r="FH436" s="143"/>
      <c r="FI436" s="143"/>
      <c r="FJ436" s="143"/>
      <c r="FK436" s="143"/>
      <c r="FL436" s="143"/>
      <c r="FM436" s="143"/>
      <c r="FN436" s="143"/>
      <c r="FO436" s="143"/>
      <c r="FP436" s="143"/>
      <c r="FQ436" s="143"/>
      <c r="FR436" s="143"/>
      <c r="FS436" s="143"/>
      <c r="FT436" s="143"/>
      <c r="FU436" s="143"/>
      <c r="FV436" s="143"/>
      <c r="FW436" s="143"/>
      <c r="FX436" s="143"/>
      <c r="FY436" s="143"/>
      <c r="FZ436" s="143"/>
      <c r="GA436" s="143"/>
      <c r="GB436" s="143"/>
      <c r="GC436" s="143"/>
      <c r="GD436" s="143"/>
      <c r="GE436" s="143"/>
      <c r="GF436" s="143"/>
      <c r="GG436" s="143"/>
      <c r="GH436" s="143"/>
      <c r="GI436" s="143"/>
      <c r="GJ436" s="143"/>
      <c r="GK436" s="143"/>
      <c r="GL436" s="143"/>
      <c r="GM436" s="143"/>
      <c r="GN436" s="143"/>
      <c r="GO436" s="143"/>
      <c r="GP436" s="143"/>
      <c r="GQ436" s="143"/>
      <c r="GR436" s="143"/>
      <c r="GS436" s="143"/>
      <c r="GT436" s="143"/>
      <c r="GU436" s="143"/>
      <c r="GV436" s="143"/>
      <c r="GW436" s="143"/>
      <c r="GX436" s="143"/>
      <c r="GY436" s="143"/>
      <c r="GZ436" s="143"/>
      <c r="HA436" s="143"/>
      <c r="HB436" s="143"/>
      <c r="HC436" s="143"/>
      <c r="HD436" s="143"/>
      <c r="HE436" s="143"/>
      <c r="HF436" s="143"/>
      <c r="HG436" s="143"/>
      <c r="HH436" s="143"/>
      <c r="HI436" s="143"/>
      <c r="HJ436" s="143"/>
      <c r="HK436" s="143"/>
      <c r="HL436" s="143"/>
      <c r="HM436" s="143"/>
      <c r="HN436" s="143"/>
      <c r="HO436" s="143"/>
      <c r="HP436" s="143"/>
      <c r="HQ436" s="143"/>
      <c r="HR436" s="143"/>
      <c r="HS436" s="143"/>
      <c r="HT436" s="143"/>
      <c r="HU436" s="143"/>
      <c r="HV436" s="143"/>
      <c r="HW436" s="143"/>
      <c r="HX436" s="143"/>
      <c r="HY436" s="143"/>
      <c r="HZ436" s="143"/>
      <c r="IA436" s="143"/>
      <c r="IB436" s="143"/>
      <c r="IC436" s="143"/>
      <c r="ID436" s="143"/>
      <c r="IE436" s="143"/>
      <c r="IF436" s="143"/>
      <c r="IG436" s="143"/>
      <c r="IH436" s="143"/>
      <c r="II436" s="143"/>
      <c r="IJ436" s="143"/>
      <c r="IK436" s="143"/>
      <c r="IL436" s="143"/>
      <c r="IM436" s="143"/>
      <c r="IN436" s="143"/>
      <c r="IO436" s="143"/>
      <c r="IP436" s="143"/>
      <c r="IQ436" s="143"/>
      <c r="IR436" s="143"/>
      <c r="IS436" s="143"/>
      <c r="IT436" s="143"/>
      <c r="IU436" s="143"/>
      <c r="IV436" s="143"/>
      <c r="IW436" s="143"/>
      <c r="IX436" s="143"/>
      <c r="IY436" s="143"/>
      <c r="IZ436" s="143"/>
      <c r="JA436" s="143"/>
      <c r="JB436" s="143"/>
      <c r="JC436" s="143"/>
      <c r="JD436" s="143"/>
      <c r="JE436" s="143"/>
      <c r="JF436" s="143"/>
      <c r="JG436" s="143"/>
      <c r="JH436" s="143"/>
      <c r="JI436" s="143"/>
    </row>
    <row r="437" spans="1:269" s="81" customFormat="1" outlineLevel="1">
      <c r="A437" s="85" t="s">
        <v>296</v>
      </c>
      <c r="C437" s="310"/>
      <c r="D437" s="310"/>
      <c r="E437" s="310"/>
      <c r="F437" s="312"/>
      <c r="G437" s="312"/>
      <c r="H437" s="312"/>
      <c r="I437" s="312"/>
      <c r="J437" s="310"/>
      <c r="K437" s="312"/>
      <c r="L437" s="312"/>
      <c r="M437" s="312"/>
      <c r="N437" s="312"/>
      <c r="O437" s="310"/>
      <c r="P437" s="312"/>
      <c r="Q437" s="312"/>
      <c r="R437" s="312"/>
      <c r="S437" s="312"/>
      <c r="T437" s="310"/>
      <c r="U437" s="312"/>
      <c r="V437" s="312"/>
      <c r="W437" s="312"/>
      <c r="X437" s="312"/>
      <c r="Y437" s="310"/>
      <c r="Z437" s="312"/>
      <c r="AA437" s="312"/>
      <c r="AB437" s="312"/>
      <c r="AC437" s="312"/>
      <c r="AD437" s="534"/>
      <c r="AE437" s="312"/>
      <c r="AF437" s="312"/>
      <c r="AG437" s="287"/>
      <c r="AH437" s="287"/>
      <c r="AI437" s="499"/>
      <c r="AJ437" s="287"/>
      <c r="AK437" s="287"/>
      <c r="AL437" s="287"/>
      <c r="AM437" s="287"/>
      <c r="AN437" s="499"/>
      <c r="AO437" s="287"/>
      <c r="AP437" s="287"/>
      <c r="AQ437" s="287"/>
      <c r="AR437" s="287"/>
      <c r="AS437" s="499"/>
      <c r="AT437" s="433"/>
      <c r="AU437" s="508"/>
    </row>
    <row r="438" spans="1:269" outlineLevel="1">
      <c r="A438" s="91" t="s">
        <v>297</v>
      </c>
      <c r="B438" s="143"/>
      <c r="C438" s="277"/>
      <c r="D438" s="277"/>
      <c r="E438" s="277"/>
      <c r="F438" s="278"/>
      <c r="G438" s="278"/>
      <c r="H438" s="278"/>
      <c r="I438" s="278"/>
      <c r="J438" s="277"/>
      <c r="K438" s="278"/>
      <c r="L438" s="278"/>
      <c r="M438" s="278"/>
      <c r="N438" s="278"/>
      <c r="O438" s="277"/>
      <c r="P438" s="278"/>
      <c r="Q438" s="278"/>
      <c r="R438" s="278"/>
      <c r="S438" s="278"/>
      <c r="T438" s="277"/>
      <c r="U438" s="278"/>
      <c r="V438" s="278"/>
      <c r="W438" s="278"/>
      <c r="X438" s="278"/>
      <c r="Y438" s="277"/>
      <c r="Z438" s="278"/>
      <c r="AA438" s="278"/>
      <c r="AB438" s="278"/>
      <c r="AC438" s="278"/>
      <c r="AD438" s="536"/>
      <c r="AE438" s="278"/>
      <c r="AF438" s="278"/>
      <c r="AG438" s="287"/>
      <c r="AH438" s="287"/>
      <c r="AI438" s="499"/>
      <c r="AJ438" s="287"/>
      <c r="AK438" s="287"/>
      <c r="AL438" s="287"/>
      <c r="AM438" s="287"/>
      <c r="AN438" s="499"/>
      <c r="AO438" s="287"/>
      <c r="AP438" s="287"/>
      <c r="AQ438" s="287"/>
      <c r="AR438" s="287"/>
      <c r="AS438" s="499"/>
      <c r="AT438" s="315"/>
      <c r="AU438" s="508"/>
      <c r="AV438" s="143"/>
      <c r="AW438" s="143"/>
      <c r="AX438" s="143"/>
      <c r="AY438" s="143"/>
      <c r="AZ438" s="143"/>
      <c r="BA438" s="143"/>
      <c r="BB438" s="143"/>
      <c r="BC438" s="143"/>
      <c r="BD438" s="143"/>
      <c r="BE438" s="143"/>
      <c r="BF438" s="143"/>
      <c r="BG438" s="143"/>
      <c r="BH438" s="143"/>
      <c r="BI438" s="143"/>
      <c r="BJ438" s="143"/>
      <c r="BK438" s="143"/>
      <c r="BL438" s="143"/>
      <c r="BM438" s="143"/>
      <c r="BN438" s="143"/>
      <c r="BO438" s="143"/>
      <c r="BP438" s="143"/>
      <c r="BQ438" s="143"/>
      <c r="BR438" s="143"/>
      <c r="BS438" s="143"/>
      <c r="BT438" s="143"/>
      <c r="BU438" s="143"/>
      <c r="BV438" s="143"/>
      <c r="BW438" s="143"/>
      <c r="BX438" s="143"/>
      <c r="BY438" s="143"/>
      <c r="BZ438" s="143"/>
      <c r="CA438" s="143"/>
      <c r="CB438" s="143"/>
      <c r="CC438" s="143"/>
      <c r="CD438" s="143"/>
      <c r="CE438" s="143"/>
      <c r="CF438" s="143"/>
      <c r="CG438" s="143"/>
      <c r="CH438" s="143"/>
      <c r="CI438" s="143"/>
      <c r="CJ438" s="143"/>
      <c r="CK438" s="143"/>
      <c r="CL438" s="143"/>
      <c r="CM438" s="143"/>
      <c r="CN438" s="143"/>
      <c r="CO438" s="143"/>
      <c r="CP438" s="143"/>
      <c r="CQ438" s="143"/>
      <c r="CR438" s="143"/>
      <c r="CS438" s="143"/>
      <c r="CT438" s="143"/>
      <c r="CU438" s="143"/>
      <c r="CV438" s="143"/>
      <c r="CW438" s="143"/>
      <c r="CX438" s="143"/>
      <c r="CY438" s="143"/>
      <c r="CZ438" s="143"/>
      <c r="DA438" s="143"/>
      <c r="DB438" s="143"/>
      <c r="DC438" s="143"/>
      <c r="DD438" s="143"/>
      <c r="DE438" s="143"/>
      <c r="DF438" s="143"/>
      <c r="DG438" s="143"/>
      <c r="DH438" s="143"/>
      <c r="DI438" s="143"/>
      <c r="DJ438" s="143"/>
      <c r="DK438" s="143"/>
      <c r="DL438" s="143"/>
      <c r="DM438" s="143"/>
      <c r="DN438" s="143"/>
      <c r="DO438" s="143"/>
      <c r="DP438" s="143"/>
      <c r="DQ438" s="143"/>
      <c r="DR438" s="143"/>
      <c r="DS438" s="143"/>
      <c r="DT438" s="143"/>
      <c r="DU438" s="143"/>
      <c r="DV438" s="143"/>
      <c r="DW438" s="143"/>
      <c r="DX438" s="143"/>
      <c r="DY438" s="143"/>
      <c r="DZ438" s="143"/>
      <c r="EA438" s="143"/>
      <c r="EB438" s="143"/>
      <c r="EC438" s="143"/>
      <c r="ED438" s="143"/>
      <c r="EE438" s="143"/>
      <c r="EF438" s="143"/>
      <c r="EG438" s="143"/>
      <c r="EH438" s="143"/>
      <c r="EI438" s="143"/>
      <c r="EJ438" s="143"/>
      <c r="EK438" s="143"/>
      <c r="EL438" s="143"/>
      <c r="EM438" s="143"/>
      <c r="EN438" s="143"/>
      <c r="EO438" s="143"/>
      <c r="EP438" s="143"/>
      <c r="EQ438" s="143"/>
      <c r="ER438" s="143"/>
      <c r="ES438" s="143"/>
      <c r="ET438" s="143"/>
      <c r="EU438" s="143"/>
      <c r="EV438" s="143"/>
      <c r="EW438" s="143"/>
      <c r="EX438" s="143"/>
      <c r="EY438" s="143"/>
      <c r="EZ438" s="143"/>
      <c r="FA438" s="143"/>
      <c r="FB438" s="143"/>
      <c r="FC438" s="143"/>
      <c r="FD438" s="143"/>
      <c r="FE438" s="143"/>
      <c r="FF438" s="143"/>
      <c r="FG438" s="143"/>
      <c r="FH438" s="143"/>
      <c r="FI438" s="143"/>
      <c r="FJ438" s="143"/>
      <c r="FK438" s="143"/>
      <c r="FL438" s="143"/>
      <c r="FM438" s="143"/>
      <c r="FN438" s="143"/>
      <c r="FO438" s="143"/>
      <c r="FP438" s="143"/>
      <c r="FQ438" s="143"/>
      <c r="FR438" s="143"/>
      <c r="FS438" s="143"/>
      <c r="FT438" s="143"/>
      <c r="FU438" s="143"/>
      <c r="FV438" s="143"/>
      <c r="FW438" s="143"/>
      <c r="FX438" s="143"/>
      <c r="FY438" s="143"/>
      <c r="FZ438" s="143"/>
      <c r="GA438" s="143"/>
      <c r="GB438" s="143"/>
      <c r="GC438" s="143"/>
      <c r="GD438" s="143"/>
      <c r="GE438" s="143"/>
      <c r="GF438" s="143"/>
      <c r="GG438" s="143"/>
      <c r="GH438" s="143"/>
      <c r="GI438" s="143"/>
      <c r="GJ438" s="143"/>
      <c r="GK438" s="143"/>
      <c r="GL438" s="143"/>
      <c r="GM438" s="143"/>
      <c r="GN438" s="143"/>
      <c r="GO438" s="143"/>
      <c r="GP438" s="143"/>
      <c r="GQ438" s="143"/>
      <c r="GR438" s="143"/>
      <c r="GS438" s="143"/>
      <c r="GT438" s="143"/>
      <c r="GU438" s="143"/>
      <c r="GV438" s="143"/>
      <c r="GW438" s="143"/>
      <c r="GX438" s="143"/>
      <c r="GY438" s="143"/>
      <c r="GZ438" s="143"/>
      <c r="HA438" s="143"/>
      <c r="HB438" s="143"/>
      <c r="HC438" s="143"/>
      <c r="HD438" s="143"/>
      <c r="HE438" s="143"/>
      <c r="HF438" s="143"/>
      <c r="HG438" s="143"/>
      <c r="HH438" s="143"/>
      <c r="HI438" s="143"/>
      <c r="HJ438" s="143"/>
      <c r="HK438" s="143"/>
      <c r="HL438" s="143"/>
      <c r="HM438" s="143"/>
      <c r="HN438" s="143"/>
      <c r="HO438" s="143"/>
      <c r="HP438" s="143"/>
      <c r="HQ438" s="143"/>
      <c r="HR438" s="143"/>
      <c r="HS438" s="143"/>
      <c r="HT438" s="143"/>
      <c r="HU438" s="143"/>
      <c r="HV438" s="143"/>
      <c r="HW438" s="143"/>
      <c r="HX438" s="143"/>
      <c r="HY438" s="143"/>
      <c r="HZ438" s="143"/>
      <c r="IA438" s="143"/>
      <c r="IB438" s="143"/>
      <c r="IC438" s="143"/>
      <c r="ID438" s="143"/>
      <c r="IE438" s="143"/>
      <c r="IF438" s="143"/>
      <c r="IG438" s="143"/>
      <c r="IH438" s="143"/>
      <c r="II438" s="143"/>
      <c r="IJ438" s="143"/>
      <c r="IK438" s="143"/>
      <c r="IL438" s="143"/>
      <c r="IM438" s="143"/>
      <c r="IN438" s="143"/>
      <c r="IO438" s="143"/>
      <c r="IP438" s="143"/>
      <c r="IQ438" s="143"/>
      <c r="IR438" s="143"/>
      <c r="IS438" s="143"/>
      <c r="IT438" s="143"/>
      <c r="IU438" s="143"/>
      <c r="IV438" s="143"/>
      <c r="IW438" s="143"/>
      <c r="IX438" s="143"/>
      <c r="IY438" s="143"/>
      <c r="IZ438" s="143"/>
      <c r="JA438" s="143"/>
      <c r="JB438" s="143"/>
      <c r="JC438" s="143"/>
      <c r="JD438" s="143"/>
      <c r="JE438" s="143"/>
      <c r="JF438" s="143"/>
      <c r="JG438" s="143"/>
      <c r="JH438" s="143"/>
      <c r="JI438" s="143"/>
    </row>
    <row r="439" spans="1:269" outlineLevel="1">
      <c r="A439" s="435" t="s">
        <v>298</v>
      </c>
      <c r="B439" s="143"/>
      <c r="C439" s="277"/>
      <c r="D439" s="277"/>
      <c r="E439" s="277"/>
      <c r="F439" s="278"/>
      <c r="G439" s="278"/>
      <c r="H439" s="278"/>
      <c r="I439" s="278">
        <v>9486</v>
      </c>
      <c r="J439" s="277"/>
      <c r="K439" s="278"/>
      <c r="L439" s="278"/>
      <c r="M439" s="278"/>
      <c r="N439" s="278">
        <v>9486</v>
      </c>
      <c r="O439" s="277">
        <v>9486</v>
      </c>
      <c r="P439" s="278"/>
      <c r="Q439" s="278">
        <v>101467</v>
      </c>
      <c r="R439" s="278">
        <v>718622</v>
      </c>
      <c r="S439" s="278">
        <v>901886</v>
      </c>
      <c r="T439" s="277">
        <v>901886</v>
      </c>
      <c r="U439" s="278">
        <v>859237</v>
      </c>
      <c r="V439" s="278">
        <v>820970</v>
      </c>
      <c r="W439" s="278">
        <v>684208</v>
      </c>
      <c r="X439" s="278">
        <v>568197</v>
      </c>
      <c r="Y439" s="277">
        <v>568197</v>
      </c>
      <c r="Z439" s="278">
        <v>532282</v>
      </c>
      <c r="AA439" s="278">
        <v>549728</v>
      </c>
      <c r="AB439" s="278">
        <v>559444</v>
      </c>
      <c r="AC439" s="280">
        <f>AC570</f>
        <v>645336.91235901928</v>
      </c>
      <c r="AD439" s="320">
        <f t="shared" ref="AD439:AS439" si="964">AD570</f>
        <v>645336.91235901928</v>
      </c>
      <c r="AE439" s="280">
        <f t="shared" si="964"/>
        <v>646543.68122947589</v>
      </c>
      <c r="AF439" s="280">
        <f t="shared" si="964"/>
        <v>648938.473120832</v>
      </c>
      <c r="AG439" s="280">
        <f t="shared" si="964"/>
        <v>647379.85217111907</v>
      </c>
      <c r="AH439" s="280">
        <f t="shared" si="964"/>
        <v>667746.78812783421</v>
      </c>
      <c r="AI439" s="320">
        <f t="shared" si="964"/>
        <v>667746.78812783421</v>
      </c>
      <c r="AJ439" s="280">
        <f t="shared" si="964"/>
        <v>683274.4438005616</v>
      </c>
      <c r="AK439" s="280">
        <f t="shared" si="964"/>
        <v>694402.03133914899</v>
      </c>
      <c r="AL439" s="280">
        <f t="shared" si="964"/>
        <v>718297.66785783181</v>
      </c>
      <c r="AM439" s="280">
        <f t="shared" si="964"/>
        <v>744843.74322942633</v>
      </c>
      <c r="AN439" s="320">
        <f t="shared" si="964"/>
        <v>744843.74322942633</v>
      </c>
      <c r="AO439" s="280">
        <f t="shared" si="964"/>
        <v>769795.19980787032</v>
      </c>
      <c r="AP439" s="280">
        <f t="shared" si="964"/>
        <v>785896.39991122903</v>
      </c>
      <c r="AQ439" s="280">
        <f t="shared" si="964"/>
        <v>815937.41764764034</v>
      </c>
      <c r="AR439" s="280">
        <f t="shared" si="964"/>
        <v>844041.03302327148</v>
      </c>
      <c r="AS439" s="320">
        <f t="shared" si="964"/>
        <v>844041.03302327148</v>
      </c>
      <c r="AT439" s="315"/>
      <c r="AU439" s="508"/>
      <c r="AV439" s="143"/>
      <c r="AW439" s="143"/>
      <c r="AX439" s="143"/>
      <c r="AY439" s="143"/>
      <c r="AZ439" s="143"/>
      <c r="BA439" s="143"/>
      <c r="BB439" s="143"/>
      <c r="BC439" s="143"/>
      <c r="BD439" s="143"/>
      <c r="BE439" s="143"/>
      <c r="BF439" s="143"/>
      <c r="BG439" s="143"/>
      <c r="BH439" s="143"/>
      <c r="BI439" s="143"/>
      <c r="BJ439" s="143"/>
      <c r="BK439" s="143"/>
      <c r="BL439" s="143"/>
      <c r="BM439" s="143"/>
      <c r="BN439" s="143"/>
      <c r="BO439" s="143"/>
      <c r="BP439" s="143"/>
      <c r="BQ439" s="143"/>
      <c r="BR439" s="143"/>
      <c r="BS439" s="143"/>
      <c r="BT439" s="143"/>
      <c r="BU439" s="143"/>
      <c r="BV439" s="143"/>
      <c r="BW439" s="143"/>
      <c r="BX439" s="143"/>
      <c r="BY439" s="143"/>
      <c r="BZ439" s="143"/>
      <c r="CA439" s="143"/>
      <c r="CB439" s="143"/>
      <c r="CC439" s="143"/>
      <c r="CD439" s="143"/>
      <c r="CE439" s="143"/>
      <c r="CF439" s="143"/>
      <c r="CG439" s="143"/>
      <c r="CH439" s="143"/>
      <c r="CI439" s="143"/>
      <c r="CJ439" s="143"/>
      <c r="CK439" s="143"/>
      <c r="CL439" s="143"/>
      <c r="CM439" s="143"/>
      <c r="CN439" s="143"/>
      <c r="CO439" s="143"/>
      <c r="CP439" s="143"/>
      <c r="CQ439" s="143"/>
      <c r="CR439" s="143"/>
      <c r="CS439" s="143"/>
      <c r="CT439" s="143"/>
      <c r="CU439" s="143"/>
      <c r="CV439" s="143"/>
      <c r="CW439" s="143"/>
      <c r="CX439" s="143"/>
      <c r="CY439" s="143"/>
      <c r="CZ439" s="143"/>
      <c r="DA439" s="143"/>
      <c r="DB439" s="143"/>
      <c r="DC439" s="143"/>
      <c r="DD439" s="143"/>
      <c r="DE439" s="143"/>
      <c r="DF439" s="143"/>
      <c r="DG439" s="143"/>
      <c r="DH439" s="143"/>
      <c r="DI439" s="143"/>
      <c r="DJ439" s="143"/>
      <c r="DK439" s="143"/>
      <c r="DL439" s="143"/>
      <c r="DM439" s="143"/>
      <c r="DN439" s="143"/>
      <c r="DO439" s="143"/>
      <c r="DP439" s="143"/>
      <c r="DQ439" s="143"/>
      <c r="DR439" s="143"/>
      <c r="DS439" s="143"/>
      <c r="DT439" s="143"/>
      <c r="DU439" s="143"/>
      <c r="DV439" s="143"/>
      <c r="DW439" s="143"/>
      <c r="DX439" s="143"/>
      <c r="DY439" s="143"/>
      <c r="DZ439" s="143"/>
      <c r="EA439" s="143"/>
      <c r="EB439" s="143"/>
      <c r="EC439" s="143"/>
      <c r="ED439" s="143"/>
      <c r="EE439" s="143"/>
      <c r="EF439" s="143"/>
      <c r="EG439" s="143"/>
      <c r="EH439" s="143"/>
      <c r="EI439" s="143"/>
      <c r="EJ439" s="143"/>
      <c r="EK439" s="143"/>
      <c r="EL439" s="143"/>
      <c r="EM439" s="143"/>
      <c r="EN439" s="143"/>
      <c r="EO439" s="143"/>
      <c r="EP439" s="143"/>
      <c r="EQ439" s="143"/>
      <c r="ER439" s="143"/>
      <c r="ES439" s="143"/>
      <c r="ET439" s="143"/>
      <c r="EU439" s="143"/>
      <c r="EV439" s="143"/>
      <c r="EW439" s="143"/>
      <c r="EX439" s="143"/>
      <c r="EY439" s="143"/>
      <c r="EZ439" s="143"/>
      <c r="FA439" s="143"/>
      <c r="FB439" s="143"/>
      <c r="FC439" s="143"/>
      <c r="FD439" s="143"/>
      <c r="FE439" s="143"/>
      <c r="FF439" s="143"/>
      <c r="FG439" s="143"/>
      <c r="FH439" s="143"/>
      <c r="FI439" s="143"/>
      <c r="FJ439" s="143"/>
      <c r="FK439" s="143"/>
      <c r="FL439" s="143"/>
      <c r="FM439" s="143"/>
      <c r="FN439" s="143"/>
      <c r="FO439" s="143"/>
      <c r="FP439" s="143"/>
      <c r="FQ439" s="143"/>
      <c r="FR439" s="143"/>
      <c r="FS439" s="143"/>
      <c r="FT439" s="143"/>
      <c r="FU439" s="143"/>
      <c r="FV439" s="143"/>
      <c r="FW439" s="143"/>
      <c r="FX439" s="143"/>
      <c r="FY439" s="143"/>
      <c r="FZ439" s="143"/>
      <c r="GA439" s="143"/>
      <c r="GB439" s="143"/>
      <c r="GC439" s="143"/>
      <c r="GD439" s="143"/>
      <c r="GE439" s="143"/>
      <c r="GF439" s="143"/>
      <c r="GG439" s="143"/>
      <c r="GH439" s="143"/>
      <c r="GI439" s="143"/>
      <c r="GJ439" s="143"/>
      <c r="GK439" s="143"/>
      <c r="GL439" s="143"/>
      <c r="GM439" s="143"/>
      <c r="GN439" s="143"/>
      <c r="GO439" s="143"/>
      <c r="GP439" s="143"/>
      <c r="GQ439" s="143"/>
      <c r="GR439" s="143"/>
      <c r="GS439" s="143"/>
      <c r="GT439" s="143"/>
      <c r="GU439" s="143"/>
      <c r="GV439" s="143"/>
      <c r="GW439" s="143"/>
      <c r="GX439" s="143"/>
      <c r="GY439" s="143"/>
      <c r="GZ439" s="143"/>
      <c r="HA439" s="143"/>
      <c r="HB439" s="143"/>
      <c r="HC439" s="143"/>
      <c r="HD439" s="143"/>
      <c r="HE439" s="143"/>
      <c r="HF439" s="143"/>
      <c r="HG439" s="143"/>
      <c r="HH439" s="143"/>
      <c r="HI439" s="143"/>
      <c r="HJ439" s="143"/>
      <c r="HK439" s="143"/>
      <c r="HL439" s="143"/>
      <c r="HM439" s="143"/>
      <c r="HN439" s="143"/>
      <c r="HO439" s="143"/>
      <c r="HP439" s="143"/>
      <c r="HQ439" s="143"/>
      <c r="HR439" s="143"/>
      <c r="HS439" s="143"/>
      <c r="HT439" s="143"/>
      <c r="HU439" s="143"/>
      <c r="HV439" s="143"/>
      <c r="HW439" s="143"/>
      <c r="HX439" s="143"/>
      <c r="HY439" s="143"/>
      <c r="HZ439" s="143"/>
      <c r="IA439" s="143"/>
      <c r="IB439" s="143"/>
      <c r="IC439" s="143"/>
      <c r="ID439" s="143"/>
      <c r="IE439" s="143"/>
      <c r="IF439" s="143"/>
      <c r="IG439" s="143"/>
      <c r="IH439" s="143"/>
      <c r="II439" s="143"/>
      <c r="IJ439" s="143"/>
      <c r="IK439" s="143"/>
      <c r="IL439" s="143"/>
      <c r="IM439" s="143"/>
      <c r="IN439" s="143"/>
      <c r="IO439" s="143"/>
      <c r="IP439" s="143"/>
      <c r="IQ439" s="143"/>
      <c r="IR439" s="143"/>
      <c r="IS439" s="143"/>
      <c r="IT439" s="143"/>
      <c r="IU439" s="143"/>
      <c r="IV439" s="143"/>
      <c r="IW439" s="143"/>
      <c r="IX439" s="143"/>
      <c r="IY439" s="143"/>
      <c r="IZ439" s="143"/>
      <c r="JA439" s="143"/>
      <c r="JB439" s="143"/>
      <c r="JC439" s="143"/>
      <c r="JD439" s="143"/>
      <c r="JE439" s="143"/>
      <c r="JF439" s="143"/>
      <c r="JG439" s="143"/>
      <c r="JH439" s="143"/>
      <c r="JI439" s="143"/>
    </row>
    <row r="440" spans="1:269" s="313" customFormat="1" outlineLevel="1">
      <c r="A440" s="92" t="s">
        <v>299</v>
      </c>
      <c r="C440" s="277"/>
      <c r="D440" s="277"/>
      <c r="E440" s="277"/>
      <c r="F440" s="278"/>
      <c r="G440" s="278"/>
      <c r="H440" s="278"/>
      <c r="I440" s="278">
        <v>18576</v>
      </c>
      <c r="J440" s="277"/>
      <c r="K440" s="278"/>
      <c r="L440" s="278"/>
      <c r="M440" s="278"/>
      <c r="N440" s="278">
        <v>18576</v>
      </c>
      <c r="O440" s="277">
        <v>18576</v>
      </c>
      <c r="P440" s="278"/>
      <c r="Q440" s="278">
        <v>40128</v>
      </c>
      <c r="R440" s="278">
        <v>38386</v>
      </c>
      <c r="S440" s="278">
        <v>46824</v>
      </c>
      <c r="T440" s="277">
        <v>46824</v>
      </c>
      <c r="U440" s="278">
        <v>60769</v>
      </c>
      <c r="V440" s="278">
        <v>79918</v>
      </c>
      <c r="W440" s="278">
        <v>83983</v>
      </c>
      <c r="X440" s="278">
        <v>76494</v>
      </c>
      <c r="Y440" s="277">
        <v>76494</v>
      </c>
      <c r="Z440" s="278">
        <v>70795</v>
      </c>
      <c r="AA440" s="278">
        <v>74633</v>
      </c>
      <c r="AB440" s="278">
        <v>66809</v>
      </c>
      <c r="AC440" s="280">
        <f>(AC491/AC7)*AC158*1000</f>
        <v>31257.886466859869</v>
      </c>
      <c r="AD440" s="320">
        <f>AC440</f>
        <v>31257.886466859869</v>
      </c>
      <c r="AE440" s="280">
        <f>(AE491/AE7)*AE158*1000</f>
        <v>30695.691464958305</v>
      </c>
      <c r="AF440" s="280">
        <f>(AF491/AF7)*AF158*1000</f>
        <v>31070.469948473183</v>
      </c>
      <c r="AG440" s="280">
        <f>(AG491/AG7)*AG158*1000</f>
        <v>46187.832131128074</v>
      </c>
      <c r="AH440" s="280">
        <f>(AH491/AH7)*AH158*1000</f>
        <v>54197.890682451813</v>
      </c>
      <c r="AI440" s="320">
        <f>AH440</f>
        <v>54197.890682451813</v>
      </c>
      <c r="AJ440" s="280">
        <f>(AJ491/AJ7)*AJ158*1000</f>
        <v>53576.909566094189</v>
      </c>
      <c r="AK440" s="280">
        <f>(AK491/AK7)*AK158*1000</f>
        <v>65563.037111281505</v>
      </c>
      <c r="AL440" s="280">
        <f>(AL491/AL7)*AL158*1000</f>
        <v>63452.6429923627</v>
      </c>
      <c r="AM440" s="280">
        <f>(AM491/AM7)*AM158*1000</f>
        <v>69307.217390608217</v>
      </c>
      <c r="AN440" s="320">
        <f>AM440</f>
        <v>69307.217390608217</v>
      </c>
      <c r="AO440" s="280">
        <f>(AO491/AO7)*AO158*1000</f>
        <v>62803.990972591731</v>
      </c>
      <c r="AP440" s="280">
        <f>(AP491/AP7)*AP158*1000</f>
        <v>74678.904025427502</v>
      </c>
      <c r="AQ440" s="280">
        <f>(AQ491/AQ7)*AQ158*1000</f>
        <v>70277.219211586358</v>
      </c>
      <c r="AR440" s="280">
        <f>(AR491/AR7)*AR158*1000</f>
        <v>81982.431051533466</v>
      </c>
      <c r="AS440" s="320">
        <f>AR440</f>
        <v>81982.431051533466</v>
      </c>
      <c r="AT440" s="596"/>
      <c r="AU440" s="547"/>
    </row>
    <row r="441" spans="1:269" s="313" customFormat="1" outlineLevel="1">
      <c r="A441" s="92" t="s">
        <v>300</v>
      </c>
      <c r="C441" s="277"/>
      <c r="D441" s="277"/>
      <c r="E441" s="277"/>
      <c r="F441" s="284"/>
      <c r="G441" s="284"/>
      <c r="H441" s="284"/>
      <c r="I441" s="278">
        <v>3220</v>
      </c>
      <c r="J441" s="277"/>
      <c r="K441" s="284"/>
      <c r="L441" s="284"/>
      <c r="M441" s="284"/>
      <c r="N441" s="278">
        <v>3220</v>
      </c>
      <c r="O441" s="277">
        <v>3220</v>
      </c>
      <c r="P441" s="278"/>
      <c r="Q441" s="278">
        <v>4804</v>
      </c>
      <c r="R441" s="278">
        <v>7745</v>
      </c>
      <c r="S441" s="278">
        <v>12322</v>
      </c>
      <c r="T441" s="277">
        <v>12322</v>
      </c>
      <c r="U441" s="278">
        <v>13554</v>
      </c>
      <c r="V441" s="278">
        <v>20336</v>
      </c>
      <c r="W441" s="278">
        <v>21830</v>
      </c>
      <c r="X441" s="278">
        <v>27648</v>
      </c>
      <c r="Y441" s="277">
        <v>27648</v>
      </c>
      <c r="Z441" s="278">
        <v>21749</v>
      </c>
      <c r="AA441" s="278">
        <v>30939</v>
      </c>
      <c r="AB441" s="278">
        <v>35891</v>
      </c>
      <c r="AC441" s="287">
        <f>AB441</f>
        <v>35891</v>
      </c>
      <c r="AD441" s="499">
        <f t="shared" ref="AD441:AS442" si="965">AC441</f>
        <v>35891</v>
      </c>
      <c r="AE441" s="287">
        <f t="shared" si="965"/>
        <v>35891</v>
      </c>
      <c r="AF441" s="287">
        <f t="shared" si="965"/>
        <v>35891</v>
      </c>
      <c r="AG441" s="287">
        <f t="shared" si="965"/>
        <v>35891</v>
      </c>
      <c r="AH441" s="287">
        <f t="shared" si="965"/>
        <v>35891</v>
      </c>
      <c r="AI441" s="499">
        <f t="shared" si="965"/>
        <v>35891</v>
      </c>
      <c r="AJ441" s="287">
        <f t="shared" si="965"/>
        <v>35891</v>
      </c>
      <c r="AK441" s="287">
        <f t="shared" si="965"/>
        <v>35891</v>
      </c>
      <c r="AL441" s="287">
        <f t="shared" si="965"/>
        <v>35891</v>
      </c>
      <c r="AM441" s="287">
        <f t="shared" si="965"/>
        <v>35891</v>
      </c>
      <c r="AN441" s="499">
        <f t="shared" si="965"/>
        <v>35891</v>
      </c>
      <c r="AO441" s="287">
        <f t="shared" si="965"/>
        <v>35891</v>
      </c>
      <c r="AP441" s="287">
        <f t="shared" si="965"/>
        <v>35891</v>
      </c>
      <c r="AQ441" s="287">
        <f t="shared" si="965"/>
        <v>35891</v>
      </c>
      <c r="AR441" s="287">
        <f t="shared" si="965"/>
        <v>35891</v>
      </c>
      <c r="AS441" s="499">
        <f t="shared" si="965"/>
        <v>35891</v>
      </c>
      <c r="AT441" s="596"/>
      <c r="AU441" s="547"/>
    </row>
    <row r="442" spans="1:269" s="313" customFormat="1" outlineLevel="1">
      <c r="A442" s="92" t="s">
        <v>301</v>
      </c>
      <c r="C442" s="277"/>
      <c r="D442" s="277"/>
      <c r="E442" s="277"/>
      <c r="F442" s="284"/>
      <c r="G442" s="284"/>
      <c r="H442" s="284"/>
      <c r="I442" s="278">
        <v>4611</v>
      </c>
      <c r="J442" s="277"/>
      <c r="K442" s="284"/>
      <c r="L442" s="284"/>
      <c r="M442" s="284"/>
      <c r="N442" s="278">
        <v>4611</v>
      </c>
      <c r="O442" s="277">
        <v>4611</v>
      </c>
      <c r="P442" s="278"/>
      <c r="Q442" s="278">
        <v>4279</v>
      </c>
      <c r="R442" s="278">
        <v>4947</v>
      </c>
      <c r="S442" s="278">
        <v>4599</v>
      </c>
      <c r="T442" s="277">
        <v>4599</v>
      </c>
      <c r="U442" s="278">
        <v>1801</v>
      </c>
      <c r="V442" s="278">
        <v>1008</v>
      </c>
      <c r="W442" s="278">
        <v>705</v>
      </c>
      <c r="X442" s="278">
        <v>1280</v>
      </c>
      <c r="Y442" s="277">
        <v>1280</v>
      </c>
      <c r="Z442" s="278">
        <v>1625</v>
      </c>
      <c r="AA442" s="278">
        <v>5642</v>
      </c>
      <c r="AB442" s="278">
        <v>989</v>
      </c>
      <c r="AC442" s="287">
        <f>AB442</f>
        <v>989</v>
      </c>
      <c r="AD442" s="499">
        <f t="shared" si="965"/>
        <v>989</v>
      </c>
      <c r="AE442" s="287">
        <f t="shared" si="965"/>
        <v>989</v>
      </c>
      <c r="AF442" s="287">
        <f t="shared" si="965"/>
        <v>989</v>
      </c>
      <c r="AG442" s="287">
        <f t="shared" si="965"/>
        <v>989</v>
      </c>
      <c r="AH442" s="287">
        <f t="shared" si="965"/>
        <v>989</v>
      </c>
      <c r="AI442" s="499">
        <f t="shared" si="965"/>
        <v>989</v>
      </c>
      <c r="AJ442" s="287">
        <f t="shared" si="965"/>
        <v>989</v>
      </c>
      <c r="AK442" s="287">
        <f t="shared" si="965"/>
        <v>989</v>
      </c>
      <c r="AL442" s="287">
        <f t="shared" si="965"/>
        <v>989</v>
      </c>
      <c r="AM442" s="287">
        <f t="shared" si="965"/>
        <v>989</v>
      </c>
      <c r="AN442" s="499">
        <f t="shared" si="965"/>
        <v>989</v>
      </c>
      <c r="AO442" s="287">
        <f t="shared" si="965"/>
        <v>989</v>
      </c>
      <c r="AP442" s="287">
        <f t="shared" si="965"/>
        <v>989</v>
      </c>
      <c r="AQ442" s="287">
        <f t="shared" si="965"/>
        <v>989</v>
      </c>
      <c r="AR442" s="287">
        <f t="shared" si="965"/>
        <v>989</v>
      </c>
      <c r="AS442" s="499">
        <f t="shared" si="965"/>
        <v>989</v>
      </c>
      <c r="AT442" s="596"/>
      <c r="AU442" s="547"/>
    </row>
    <row r="443" spans="1:269" s="313" customFormat="1" outlineLevel="1">
      <c r="A443" s="92" t="s">
        <v>302</v>
      </c>
      <c r="C443" s="277"/>
      <c r="D443" s="277"/>
      <c r="E443" s="277"/>
      <c r="F443" s="278"/>
      <c r="G443" s="278"/>
      <c r="H443" s="278"/>
      <c r="I443" s="278">
        <v>23202</v>
      </c>
      <c r="J443" s="277"/>
      <c r="K443" s="278"/>
      <c r="L443" s="278"/>
      <c r="M443" s="278"/>
      <c r="N443" s="278">
        <v>23202</v>
      </c>
      <c r="O443" s="277">
        <v>23202</v>
      </c>
      <c r="P443" s="278"/>
      <c r="Q443" s="278">
        <v>23762</v>
      </c>
      <c r="R443" s="278">
        <v>28105</v>
      </c>
      <c r="S443" s="278">
        <v>35261</v>
      </c>
      <c r="T443" s="277">
        <v>35261</v>
      </c>
      <c r="U443" s="278">
        <v>47033</v>
      </c>
      <c r="V443" s="278">
        <v>73526</v>
      </c>
      <c r="W443" s="278">
        <v>101706</v>
      </c>
      <c r="X443" s="278">
        <v>109656</v>
      </c>
      <c r="Y443" s="277">
        <v>109656</v>
      </c>
      <c r="Z443" s="278">
        <v>122081</v>
      </c>
      <c r="AA443" s="278">
        <v>107000</v>
      </c>
      <c r="AB443" s="278">
        <v>74878</v>
      </c>
      <c r="AC443" s="280">
        <f>(AC492/AC7)*AC161*1000</f>
        <v>10387.752712859799</v>
      </c>
      <c r="AD443" s="320">
        <f>AC443</f>
        <v>10387.752712859799</v>
      </c>
      <c r="AE443" s="280">
        <f>(AE492/AE7)*AE161*1000</f>
        <v>11509.09213800597</v>
      </c>
      <c r="AF443" s="280">
        <f>(AF492/AF7)*AF161*1000</f>
        <v>11833.989271339793</v>
      </c>
      <c r="AG443" s="280">
        <f>(AG492/AG7)*AG161*1000</f>
        <v>17490.656289493159</v>
      </c>
      <c r="AH443" s="280">
        <f>(AH492/AH7)*AH161*1000</f>
        <v>21269.079707665893</v>
      </c>
      <c r="AI443" s="320">
        <f>AH443</f>
        <v>21269.079707665893</v>
      </c>
      <c r="AJ443" s="280">
        <f>(AJ492/AJ7)*AJ161*1000</f>
        <v>21831.574825419117</v>
      </c>
      <c r="AK443" s="280">
        <f>(AK492/AK7)*AK161*1000</f>
        <v>26093.17290344572</v>
      </c>
      <c r="AL443" s="280">
        <f>(AL492/AL7)*AL161*1000</f>
        <v>26460.619419200491</v>
      </c>
      <c r="AM443" s="280">
        <f>(AM492/AM7)*AM161*1000</f>
        <v>27911.640786259188</v>
      </c>
      <c r="AN443" s="320">
        <f>AM443</f>
        <v>27911.640786259188</v>
      </c>
      <c r="AO443" s="280">
        <f>(AO492/AO7)*AO161*1000</f>
        <v>26125.288465271136</v>
      </c>
      <c r="AP443" s="280">
        <f>(AP492/AP7)*AP161*1000</f>
        <v>29839.337246929757</v>
      </c>
      <c r="AQ443" s="280">
        <f>(AQ492/AQ7)*AQ161*1000</f>
        <v>28994.779981964057</v>
      </c>
      <c r="AR443" s="280">
        <f>(AR492/AR7)*AR161*1000</f>
        <v>33820.197409821521</v>
      </c>
      <c r="AS443" s="320">
        <f>AR443</f>
        <v>33820.197409821521</v>
      </c>
      <c r="AT443" s="596"/>
      <c r="AU443" s="547"/>
    </row>
    <row r="444" spans="1:269" s="81" customFormat="1" outlineLevel="1">
      <c r="A444" s="524" t="s">
        <v>303</v>
      </c>
      <c r="C444" s="310"/>
      <c r="D444" s="310"/>
      <c r="E444" s="310"/>
      <c r="F444" s="312"/>
      <c r="G444" s="312"/>
      <c r="H444" s="312"/>
      <c r="I444" s="312">
        <v>59095</v>
      </c>
      <c r="J444" s="310"/>
      <c r="K444" s="312"/>
      <c r="L444" s="312"/>
      <c r="M444" s="312"/>
      <c r="N444" s="312">
        <v>59095</v>
      </c>
      <c r="O444" s="310">
        <v>59095</v>
      </c>
      <c r="P444" s="312"/>
      <c r="Q444" s="312">
        <v>174440</v>
      </c>
      <c r="R444" s="312">
        <v>797805</v>
      </c>
      <c r="S444" s="312">
        <v>1000892</v>
      </c>
      <c r="T444" s="310">
        <v>1000892</v>
      </c>
      <c r="U444" s="312">
        <v>982394</v>
      </c>
      <c r="V444" s="312">
        <v>995758</v>
      </c>
      <c r="W444" s="312">
        <v>892432</v>
      </c>
      <c r="X444" s="312">
        <v>783275</v>
      </c>
      <c r="Y444" s="310">
        <v>783275</v>
      </c>
      <c r="Z444" s="312">
        <v>748532</v>
      </c>
      <c r="AA444" s="312">
        <v>767942</v>
      </c>
      <c r="AB444" s="312">
        <v>738011</v>
      </c>
      <c r="AC444" s="311">
        <f>AC439+AC440+AC441+AC442+AC443</f>
        <v>723862.55153873889</v>
      </c>
      <c r="AD444" s="321">
        <f t="shared" ref="AD444:AS444" si="966">AD439+AD440+AD441+AD442+AD443</f>
        <v>723862.55153873889</v>
      </c>
      <c r="AE444" s="311">
        <f t="shared" si="966"/>
        <v>725628.46483244014</v>
      </c>
      <c r="AF444" s="311">
        <f t="shared" si="966"/>
        <v>728722.932340645</v>
      </c>
      <c r="AG444" s="311">
        <f t="shared" si="966"/>
        <v>747938.34059174033</v>
      </c>
      <c r="AH444" s="311">
        <f t="shared" si="966"/>
        <v>780093.75851795194</v>
      </c>
      <c r="AI444" s="321">
        <f t="shared" si="966"/>
        <v>780093.75851795194</v>
      </c>
      <c r="AJ444" s="311">
        <f t="shared" si="966"/>
        <v>795562.92819207488</v>
      </c>
      <c r="AK444" s="311">
        <f t="shared" si="966"/>
        <v>822938.24135387619</v>
      </c>
      <c r="AL444" s="311">
        <f t="shared" si="966"/>
        <v>845090.930269395</v>
      </c>
      <c r="AM444" s="311">
        <f t="shared" si="966"/>
        <v>878942.60140629369</v>
      </c>
      <c r="AN444" s="321">
        <f t="shared" si="966"/>
        <v>878942.60140629369</v>
      </c>
      <c r="AO444" s="311">
        <f t="shared" si="966"/>
        <v>895604.47924573312</v>
      </c>
      <c r="AP444" s="311">
        <f t="shared" si="966"/>
        <v>927294.64118358633</v>
      </c>
      <c r="AQ444" s="311">
        <f t="shared" si="966"/>
        <v>952089.41684119077</v>
      </c>
      <c r="AR444" s="311">
        <f t="shared" si="966"/>
        <v>996723.66148462647</v>
      </c>
      <c r="AS444" s="321">
        <f t="shared" si="966"/>
        <v>996723.66148462647</v>
      </c>
      <c r="AT444" s="433"/>
      <c r="AU444" s="508"/>
    </row>
    <row r="445" spans="1:269" outlineLevel="1">
      <c r="A445" s="435"/>
      <c r="B445" s="143"/>
      <c r="C445" s="277"/>
      <c r="D445" s="277"/>
      <c r="E445" s="277"/>
      <c r="F445" s="278"/>
      <c r="G445" s="278"/>
      <c r="H445" s="278"/>
      <c r="I445" s="278"/>
      <c r="J445" s="277"/>
      <c r="K445" s="278"/>
      <c r="L445" s="278"/>
      <c r="M445" s="278"/>
      <c r="N445" s="278"/>
      <c r="O445" s="277"/>
      <c r="P445" s="278"/>
      <c r="Q445" s="278"/>
      <c r="R445" s="278"/>
      <c r="S445" s="278"/>
      <c r="T445" s="277"/>
      <c r="U445" s="278"/>
      <c r="V445" s="278"/>
      <c r="W445" s="278"/>
      <c r="X445" s="278"/>
      <c r="Y445" s="277"/>
      <c r="Z445" s="278"/>
      <c r="AA445" s="278"/>
      <c r="AB445" s="278"/>
      <c r="AC445" s="278"/>
      <c r="AD445" s="536"/>
      <c r="AE445" s="278"/>
      <c r="AF445" s="278"/>
      <c r="AG445" s="287"/>
      <c r="AH445" s="287"/>
      <c r="AI445" s="499"/>
      <c r="AJ445" s="287"/>
      <c r="AK445" s="287"/>
      <c r="AL445" s="287"/>
      <c r="AM445" s="287"/>
      <c r="AN445" s="499"/>
      <c r="AO445" s="287"/>
      <c r="AP445" s="287"/>
      <c r="AQ445" s="287"/>
      <c r="AR445" s="287"/>
      <c r="AS445" s="499"/>
      <c r="AT445" s="315"/>
      <c r="AU445" s="508"/>
      <c r="AV445" s="143"/>
      <c r="AW445" s="143"/>
      <c r="AX445" s="143"/>
      <c r="AY445" s="143"/>
      <c r="AZ445" s="143"/>
      <c r="BA445" s="143"/>
      <c r="BB445" s="143"/>
      <c r="BC445" s="143"/>
      <c r="BD445" s="143"/>
      <c r="BE445" s="143"/>
      <c r="BF445" s="143"/>
      <c r="BG445" s="143"/>
      <c r="BH445" s="143"/>
      <c r="BI445" s="143"/>
      <c r="BJ445" s="143"/>
      <c r="BK445" s="143"/>
      <c r="BL445" s="143"/>
      <c r="BM445" s="143"/>
      <c r="BN445" s="143"/>
      <c r="BO445" s="143"/>
      <c r="BP445" s="143"/>
      <c r="BQ445" s="143"/>
      <c r="BR445" s="143"/>
      <c r="BS445" s="143"/>
      <c r="BT445" s="143"/>
      <c r="BU445" s="143"/>
      <c r="BV445" s="143"/>
      <c r="BW445" s="143"/>
      <c r="BX445" s="143"/>
      <c r="BY445" s="143"/>
      <c r="BZ445" s="143"/>
      <c r="CA445" s="143"/>
      <c r="CB445" s="143"/>
      <c r="CC445" s="143"/>
      <c r="CD445" s="143"/>
      <c r="CE445" s="143"/>
      <c r="CF445" s="143"/>
      <c r="CG445" s="143"/>
      <c r="CH445" s="143"/>
      <c r="CI445" s="143"/>
      <c r="CJ445" s="143"/>
      <c r="CK445" s="143"/>
      <c r="CL445" s="143"/>
      <c r="CM445" s="143"/>
      <c r="CN445" s="143"/>
      <c r="CO445" s="143"/>
      <c r="CP445" s="143"/>
      <c r="CQ445" s="143"/>
      <c r="CR445" s="143"/>
      <c r="CS445" s="143"/>
      <c r="CT445" s="143"/>
      <c r="CU445" s="143"/>
      <c r="CV445" s="143"/>
      <c r="CW445" s="143"/>
      <c r="CX445" s="143"/>
      <c r="CY445" s="143"/>
      <c r="CZ445" s="143"/>
      <c r="DA445" s="143"/>
      <c r="DB445" s="143"/>
      <c r="DC445" s="143"/>
      <c r="DD445" s="143"/>
      <c r="DE445" s="143"/>
      <c r="DF445" s="143"/>
      <c r="DG445" s="143"/>
      <c r="DH445" s="143"/>
      <c r="DI445" s="143"/>
      <c r="DJ445" s="143"/>
      <c r="DK445" s="143"/>
      <c r="DL445" s="143"/>
      <c r="DM445" s="143"/>
      <c r="DN445" s="143"/>
      <c r="DO445" s="143"/>
      <c r="DP445" s="143"/>
      <c r="DQ445" s="143"/>
      <c r="DR445" s="143"/>
      <c r="DS445" s="143"/>
      <c r="DT445" s="143"/>
      <c r="DU445" s="143"/>
      <c r="DV445" s="143"/>
      <c r="DW445" s="143"/>
      <c r="DX445" s="143"/>
      <c r="DY445" s="143"/>
      <c r="DZ445" s="143"/>
      <c r="EA445" s="143"/>
      <c r="EB445" s="143"/>
      <c r="EC445" s="143"/>
      <c r="ED445" s="143"/>
      <c r="EE445" s="143"/>
      <c r="EF445" s="143"/>
      <c r="EG445" s="143"/>
      <c r="EH445" s="143"/>
      <c r="EI445" s="143"/>
      <c r="EJ445" s="143"/>
      <c r="EK445" s="143"/>
      <c r="EL445" s="143"/>
      <c r="EM445" s="143"/>
      <c r="EN445" s="143"/>
      <c r="EO445" s="143"/>
      <c r="EP445" s="143"/>
      <c r="EQ445" s="143"/>
      <c r="ER445" s="143"/>
      <c r="ES445" s="143"/>
      <c r="ET445" s="143"/>
      <c r="EU445" s="143"/>
      <c r="EV445" s="143"/>
      <c r="EW445" s="143"/>
      <c r="EX445" s="143"/>
      <c r="EY445" s="143"/>
      <c r="EZ445" s="143"/>
      <c r="FA445" s="143"/>
      <c r="FB445" s="143"/>
      <c r="FC445" s="143"/>
      <c r="FD445" s="143"/>
      <c r="FE445" s="143"/>
      <c r="FF445" s="143"/>
      <c r="FG445" s="143"/>
      <c r="FH445" s="143"/>
      <c r="FI445" s="143"/>
      <c r="FJ445" s="143"/>
      <c r="FK445" s="143"/>
      <c r="FL445" s="143"/>
      <c r="FM445" s="143"/>
      <c r="FN445" s="143"/>
      <c r="FO445" s="143"/>
      <c r="FP445" s="143"/>
      <c r="FQ445" s="143"/>
      <c r="FR445" s="143"/>
      <c r="FS445" s="143"/>
      <c r="FT445" s="143"/>
      <c r="FU445" s="143"/>
      <c r="FV445" s="143"/>
      <c r="FW445" s="143"/>
      <c r="FX445" s="143"/>
      <c r="FY445" s="143"/>
      <c r="FZ445" s="143"/>
      <c r="GA445" s="143"/>
      <c r="GB445" s="143"/>
      <c r="GC445" s="143"/>
      <c r="GD445" s="143"/>
      <c r="GE445" s="143"/>
      <c r="GF445" s="143"/>
      <c r="GG445" s="143"/>
      <c r="GH445" s="143"/>
      <c r="GI445" s="143"/>
      <c r="GJ445" s="143"/>
      <c r="GK445" s="143"/>
      <c r="GL445" s="143"/>
      <c r="GM445" s="143"/>
      <c r="GN445" s="143"/>
      <c r="GO445" s="143"/>
      <c r="GP445" s="143"/>
      <c r="GQ445" s="143"/>
      <c r="GR445" s="143"/>
      <c r="GS445" s="143"/>
      <c r="GT445" s="143"/>
      <c r="GU445" s="143"/>
      <c r="GV445" s="143"/>
      <c r="GW445" s="143"/>
      <c r="GX445" s="143"/>
      <c r="GY445" s="143"/>
      <c r="GZ445" s="143"/>
      <c r="HA445" s="143"/>
      <c r="HB445" s="143"/>
      <c r="HC445" s="143"/>
      <c r="HD445" s="143"/>
      <c r="HE445" s="143"/>
      <c r="HF445" s="143"/>
      <c r="HG445" s="143"/>
      <c r="HH445" s="143"/>
      <c r="HI445" s="143"/>
      <c r="HJ445" s="143"/>
      <c r="HK445" s="143"/>
      <c r="HL445" s="143"/>
      <c r="HM445" s="143"/>
      <c r="HN445" s="143"/>
      <c r="HO445" s="143"/>
      <c r="HP445" s="143"/>
      <c r="HQ445" s="143"/>
      <c r="HR445" s="143"/>
      <c r="HS445" s="143"/>
      <c r="HT445" s="143"/>
      <c r="HU445" s="143"/>
      <c r="HV445" s="143"/>
      <c r="HW445" s="143"/>
      <c r="HX445" s="143"/>
      <c r="HY445" s="143"/>
      <c r="HZ445" s="143"/>
      <c r="IA445" s="143"/>
      <c r="IB445" s="143"/>
      <c r="IC445" s="143"/>
      <c r="ID445" s="143"/>
      <c r="IE445" s="143"/>
      <c r="IF445" s="143"/>
      <c r="IG445" s="143"/>
      <c r="IH445" s="143"/>
      <c r="II445" s="143"/>
      <c r="IJ445" s="143"/>
      <c r="IK445" s="143"/>
      <c r="IL445" s="143"/>
      <c r="IM445" s="143"/>
      <c r="IN445" s="143"/>
      <c r="IO445" s="143"/>
      <c r="IP445" s="143"/>
      <c r="IQ445" s="143"/>
      <c r="IR445" s="143"/>
      <c r="IS445" s="143"/>
      <c r="IT445" s="143"/>
      <c r="IU445" s="143"/>
      <c r="IV445" s="143"/>
      <c r="IW445" s="143"/>
      <c r="IX445" s="143"/>
      <c r="IY445" s="143"/>
      <c r="IZ445" s="143"/>
      <c r="JA445" s="143"/>
      <c r="JB445" s="143"/>
      <c r="JC445" s="143"/>
      <c r="JD445" s="143"/>
      <c r="JE445" s="143"/>
      <c r="JF445" s="143"/>
      <c r="JG445" s="143"/>
      <c r="JH445" s="143"/>
      <c r="JI445" s="143"/>
    </row>
    <row r="446" spans="1:269" outlineLevel="1">
      <c r="A446" s="435" t="s">
        <v>304</v>
      </c>
      <c r="B446" s="143"/>
      <c r="C446" s="277"/>
      <c r="D446" s="277"/>
      <c r="E446" s="277"/>
      <c r="F446" s="278"/>
      <c r="G446" s="278"/>
      <c r="H446" s="278"/>
      <c r="I446" s="278">
        <v>9191</v>
      </c>
      <c r="J446" s="277"/>
      <c r="K446" s="278"/>
      <c r="L446" s="278"/>
      <c r="M446" s="278"/>
      <c r="N446" s="278">
        <v>9191</v>
      </c>
      <c r="O446" s="277">
        <v>9191</v>
      </c>
      <c r="P446" s="278"/>
      <c r="Q446" s="278">
        <v>10113</v>
      </c>
      <c r="R446" s="278">
        <v>12070</v>
      </c>
      <c r="S446" s="278">
        <v>16183</v>
      </c>
      <c r="T446" s="277">
        <v>16183</v>
      </c>
      <c r="U446" s="278">
        <v>17859</v>
      </c>
      <c r="V446" s="278">
        <v>18041</v>
      </c>
      <c r="W446" s="278">
        <v>18099</v>
      </c>
      <c r="X446" s="278">
        <v>18184</v>
      </c>
      <c r="Y446" s="277">
        <v>18184</v>
      </c>
      <c r="Z446" s="278">
        <v>18360</v>
      </c>
      <c r="AA446" s="278">
        <v>17958</v>
      </c>
      <c r="AB446" s="278">
        <v>16062</v>
      </c>
      <c r="AC446" s="280">
        <f>AB446-AC503-AC547</f>
        <v>8492.9996377219341</v>
      </c>
      <c r="AD446" s="320">
        <f>AC446</f>
        <v>8492.9996377219341</v>
      </c>
      <c r="AE446" s="280">
        <f>AD446-AE503-AE547</f>
        <v>1573.2485477225866</v>
      </c>
      <c r="AF446" s="280">
        <f>AE446-AF503-AF547</f>
        <v>-4752.9441931555057</v>
      </c>
      <c r="AG446" s="280">
        <f>AF446-AG503-AG547</f>
        <v>-10536.492484737544</v>
      </c>
      <c r="AH446" s="280">
        <f>AG446-AH503-AH547</f>
        <v>-15823.942964221142</v>
      </c>
      <c r="AI446" s="320">
        <f>AH446</f>
        <v>-15823.942964221142</v>
      </c>
      <c r="AJ446" s="280">
        <f>AI446-AJ503-AJ547</f>
        <v>-20657.849618667675</v>
      </c>
      <c r="AK446" s="280">
        <f>AJ446-AK503-AK547</f>
        <v>-25077.116264203167</v>
      </c>
      <c r="AL446" s="280">
        <f>AK446-AL503-AL547</f>
        <v>-29117.309648239174</v>
      </c>
      <c r="AM446" s="280">
        <f>AL446-AM503-AM547</f>
        <v>-32810.945694595102</v>
      </c>
      <c r="AN446" s="320">
        <f>AM446</f>
        <v>-32810.945694595102</v>
      </c>
      <c r="AO446" s="280">
        <f>AN446-AO503-AO547</f>
        <v>-36187.751195254335</v>
      </c>
      <c r="AP446" s="280">
        <f>AO446-AP503-AP547</f>
        <v>-39274.903054878472</v>
      </c>
      <c r="AQ446" s="280">
        <f>AP446-AQ503-AQ547</f>
        <v>-42097.247013545981</v>
      </c>
      <c r="AR446" s="280">
        <f>AQ446-AR503-AR547</f>
        <v>-44677.497608020058</v>
      </c>
      <c r="AS446" s="320">
        <f>AR446</f>
        <v>-44677.497608020058</v>
      </c>
      <c r="AT446" s="315"/>
      <c r="AU446" s="508"/>
      <c r="AV446" s="143"/>
      <c r="AW446" s="143"/>
      <c r="AX446" s="143"/>
      <c r="AY446" s="143"/>
      <c r="AZ446" s="143"/>
      <c r="BA446" s="143"/>
      <c r="BB446" s="143"/>
      <c r="BC446" s="143"/>
      <c r="BD446" s="143"/>
      <c r="BE446" s="143"/>
      <c r="BF446" s="143"/>
      <c r="BG446" s="143"/>
      <c r="BH446" s="143"/>
      <c r="BI446" s="143"/>
      <c r="BJ446" s="143"/>
      <c r="BK446" s="143"/>
      <c r="BL446" s="143"/>
      <c r="BM446" s="143"/>
      <c r="BN446" s="143"/>
      <c r="BO446" s="143"/>
      <c r="BP446" s="143"/>
      <c r="BQ446" s="143"/>
      <c r="BR446" s="143"/>
      <c r="BS446" s="143"/>
      <c r="BT446" s="143"/>
      <c r="BU446" s="143"/>
      <c r="BV446" s="143"/>
      <c r="BW446" s="143"/>
      <c r="BX446" s="143"/>
      <c r="BY446" s="143"/>
      <c r="BZ446" s="143"/>
      <c r="CA446" s="143"/>
      <c r="CB446" s="143"/>
      <c r="CC446" s="143"/>
      <c r="CD446" s="143"/>
      <c r="CE446" s="143"/>
      <c r="CF446" s="143"/>
      <c r="CG446" s="143"/>
      <c r="CH446" s="143"/>
      <c r="CI446" s="143"/>
      <c r="CJ446" s="143"/>
      <c r="CK446" s="143"/>
      <c r="CL446" s="143"/>
      <c r="CM446" s="143"/>
      <c r="CN446" s="143"/>
      <c r="CO446" s="143"/>
      <c r="CP446" s="143"/>
      <c r="CQ446" s="143"/>
      <c r="CR446" s="143"/>
      <c r="CS446" s="143"/>
      <c r="CT446" s="143"/>
      <c r="CU446" s="143"/>
      <c r="CV446" s="143"/>
      <c r="CW446" s="143"/>
      <c r="CX446" s="143"/>
      <c r="CY446" s="143"/>
      <c r="CZ446" s="143"/>
      <c r="DA446" s="143"/>
      <c r="DB446" s="143"/>
      <c r="DC446" s="143"/>
      <c r="DD446" s="143"/>
      <c r="DE446" s="143"/>
      <c r="DF446" s="143"/>
      <c r="DG446" s="143"/>
      <c r="DH446" s="143"/>
      <c r="DI446" s="143"/>
      <c r="DJ446" s="143"/>
      <c r="DK446" s="143"/>
      <c r="DL446" s="143"/>
      <c r="DM446" s="143"/>
      <c r="DN446" s="143"/>
      <c r="DO446" s="143"/>
      <c r="DP446" s="143"/>
      <c r="DQ446" s="143"/>
      <c r="DR446" s="143"/>
      <c r="DS446" s="143"/>
      <c r="DT446" s="143"/>
      <c r="DU446" s="143"/>
      <c r="DV446" s="143"/>
      <c r="DW446" s="143"/>
      <c r="DX446" s="143"/>
      <c r="DY446" s="143"/>
      <c r="DZ446" s="143"/>
      <c r="EA446" s="143"/>
      <c r="EB446" s="143"/>
      <c r="EC446" s="143"/>
      <c r="ED446" s="143"/>
      <c r="EE446" s="143"/>
      <c r="EF446" s="143"/>
      <c r="EG446" s="143"/>
      <c r="EH446" s="143"/>
      <c r="EI446" s="143"/>
      <c r="EJ446" s="143"/>
      <c r="EK446" s="143"/>
      <c r="EL446" s="143"/>
      <c r="EM446" s="143"/>
      <c r="EN446" s="143"/>
      <c r="EO446" s="143"/>
      <c r="EP446" s="143"/>
      <c r="EQ446" s="143"/>
      <c r="ER446" s="143"/>
      <c r="ES446" s="143"/>
      <c r="ET446" s="143"/>
      <c r="EU446" s="143"/>
      <c r="EV446" s="143"/>
      <c r="EW446" s="143"/>
      <c r="EX446" s="143"/>
      <c r="EY446" s="143"/>
      <c r="EZ446" s="143"/>
      <c r="FA446" s="143"/>
      <c r="FB446" s="143"/>
      <c r="FC446" s="143"/>
      <c r="FD446" s="143"/>
      <c r="FE446" s="143"/>
      <c r="FF446" s="143"/>
      <c r="FG446" s="143"/>
      <c r="FH446" s="143"/>
      <c r="FI446" s="143"/>
      <c r="FJ446" s="143"/>
      <c r="FK446" s="143"/>
      <c r="FL446" s="143"/>
      <c r="FM446" s="143"/>
      <c r="FN446" s="143"/>
      <c r="FO446" s="143"/>
      <c r="FP446" s="143"/>
      <c r="FQ446" s="143"/>
      <c r="FR446" s="143"/>
      <c r="FS446" s="143"/>
      <c r="FT446" s="143"/>
      <c r="FU446" s="143"/>
      <c r="FV446" s="143"/>
      <c r="FW446" s="143"/>
      <c r="FX446" s="143"/>
      <c r="FY446" s="143"/>
      <c r="FZ446" s="143"/>
      <c r="GA446" s="143"/>
      <c r="GB446" s="143"/>
      <c r="GC446" s="143"/>
      <c r="GD446" s="143"/>
      <c r="GE446" s="143"/>
      <c r="GF446" s="143"/>
      <c r="GG446" s="143"/>
      <c r="GH446" s="143"/>
      <c r="GI446" s="143"/>
      <c r="GJ446" s="143"/>
      <c r="GK446" s="143"/>
      <c r="GL446" s="143"/>
      <c r="GM446" s="143"/>
      <c r="GN446" s="143"/>
      <c r="GO446" s="143"/>
      <c r="GP446" s="143"/>
      <c r="GQ446" s="143"/>
      <c r="GR446" s="143"/>
      <c r="GS446" s="143"/>
      <c r="GT446" s="143"/>
      <c r="GU446" s="143"/>
      <c r="GV446" s="143"/>
      <c r="GW446" s="143"/>
      <c r="GX446" s="143"/>
      <c r="GY446" s="143"/>
      <c r="GZ446" s="143"/>
      <c r="HA446" s="143"/>
      <c r="HB446" s="143"/>
      <c r="HC446" s="143"/>
      <c r="HD446" s="143"/>
      <c r="HE446" s="143"/>
      <c r="HF446" s="143"/>
      <c r="HG446" s="143"/>
      <c r="HH446" s="143"/>
      <c r="HI446" s="143"/>
      <c r="HJ446" s="143"/>
      <c r="HK446" s="143"/>
      <c r="HL446" s="143"/>
      <c r="HM446" s="143"/>
      <c r="HN446" s="143"/>
      <c r="HO446" s="143"/>
      <c r="HP446" s="143"/>
      <c r="HQ446" s="143"/>
      <c r="HR446" s="143"/>
      <c r="HS446" s="143"/>
      <c r="HT446" s="143"/>
      <c r="HU446" s="143"/>
      <c r="HV446" s="143"/>
      <c r="HW446" s="143"/>
      <c r="HX446" s="143"/>
      <c r="HY446" s="143"/>
      <c r="HZ446" s="143"/>
      <c r="IA446" s="143"/>
      <c r="IB446" s="143"/>
      <c r="IC446" s="143"/>
      <c r="ID446" s="143"/>
      <c r="IE446" s="143"/>
      <c r="IF446" s="143"/>
      <c r="IG446" s="143"/>
      <c r="IH446" s="143"/>
      <c r="II446" s="143"/>
      <c r="IJ446" s="143"/>
      <c r="IK446" s="143"/>
      <c r="IL446" s="143"/>
      <c r="IM446" s="143"/>
      <c r="IN446" s="143"/>
      <c r="IO446" s="143"/>
      <c r="IP446" s="143"/>
      <c r="IQ446" s="143"/>
      <c r="IR446" s="143"/>
      <c r="IS446" s="143"/>
      <c r="IT446" s="143"/>
      <c r="IU446" s="143"/>
      <c r="IV446" s="143"/>
      <c r="IW446" s="143"/>
      <c r="IX446" s="143"/>
      <c r="IY446" s="143"/>
      <c r="IZ446" s="143"/>
      <c r="JA446" s="143"/>
      <c r="JB446" s="143"/>
      <c r="JC446" s="143"/>
      <c r="JD446" s="143"/>
      <c r="JE446" s="143"/>
      <c r="JF446" s="143"/>
      <c r="JG446" s="143"/>
      <c r="JH446" s="143"/>
      <c r="JI446" s="143"/>
    </row>
    <row r="447" spans="1:269" outlineLevel="1">
      <c r="A447" s="435" t="s">
        <v>305</v>
      </c>
      <c r="B447" s="143"/>
      <c r="C447" s="277"/>
      <c r="D447" s="277"/>
      <c r="E447" s="277"/>
      <c r="F447" s="278"/>
      <c r="G447" s="278"/>
      <c r="H447" s="278"/>
      <c r="I447" s="278"/>
      <c r="J447" s="277"/>
      <c r="K447" s="278"/>
      <c r="L447" s="278"/>
      <c r="M447" s="278"/>
      <c r="N447" s="278"/>
      <c r="O447" s="277">
        <v>0</v>
      </c>
      <c r="P447" s="278"/>
      <c r="Q447" s="278"/>
      <c r="R447" s="278"/>
      <c r="S447" s="278">
        <v>14992</v>
      </c>
      <c r="T447" s="277">
        <v>14992</v>
      </c>
      <c r="U447" s="278">
        <v>14251</v>
      </c>
      <c r="V447" s="278">
        <v>15791</v>
      </c>
      <c r="W447" s="278">
        <v>14292</v>
      </c>
      <c r="X447" s="278">
        <v>15637</v>
      </c>
      <c r="Y447" s="277">
        <v>15637</v>
      </c>
      <c r="Z447" s="278">
        <v>15590</v>
      </c>
      <c r="AA447" s="278">
        <v>13790</v>
      </c>
      <c r="AB447" s="278">
        <v>13343</v>
      </c>
      <c r="AC447" s="502">
        <f>AB447</f>
        <v>13343</v>
      </c>
      <c r="AD447" s="595">
        <f t="shared" ref="AD447:AS451" si="967">AC447</f>
        <v>13343</v>
      </c>
      <c r="AE447" s="502">
        <f t="shared" si="967"/>
        <v>13343</v>
      </c>
      <c r="AF447" s="502">
        <f t="shared" si="967"/>
        <v>13343</v>
      </c>
      <c r="AG447" s="502">
        <f t="shared" si="967"/>
        <v>13343</v>
      </c>
      <c r="AH447" s="502">
        <f t="shared" si="967"/>
        <v>13343</v>
      </c>
      <c r="AI447" s="595">
        <f t="shared" si="967"/>
        <v>13343</v>
      </c>
      <c r="AJ447" s="502">
        <f t="shared" si="967"/>
        <v>13343</v>
      </c>
      <c r="AK447" s="502">
        <f t="shared" si="967"/>
        <v>13343</v>
      </c>
      <c r="AL447" s="502">
        <f t="shared" si="967"/>
        <v>13343</v>
      </c>
      <c r="AM447" s="502">
        <f t="shared" si="967"/>
        <v>13343</v>
      </c>
      <c r="AN447" s="595">
        <f t="shared" si="967"/>
        <v>13343</v>
      </c>
      <c r="AO447" s="502">
        <f t="shared" si="967"/>
        <v>13343</v>
      </c>
      <c r="AP447" s="502">
        <f t="shared" si="967"/>
        <v>13343</v>
      </c>
      <c r="AQ447" s="502">
        <f t="shared" si="967"/>
        <v>13343</v>
      </c>
      <c r="AR447" s="502">
        <f t="shared" si="967"/>
        <v>13343</v>
      </c>
      <c r="AS447" s="595">
        <f t="shared" si="967"/>
        <v>13343</v>
      </c>
      <c r="AT447" s="315"/>
      <c r="AU447" s="508"/>
      <c r="AV447" s="143"/>
      <c r="AW447" s="143"/>
      <c r="AX447" s="143"/>
      <c r="AY447" s="143"/>
      <c r="AZ447" s="143"/>
      <c r="BA447" s="143"/>
      <c r="BB447" s="143"/>
      <c r="BC447" s="143"/>
      <c r="BD447" s="143"/>
      <c r="BE447" s="143"/>
      <c r="BF447" s="143"/>
      <c r="BG447" s="143"/>
      <c r="BH447" s="143"/>
      <c r="BI447" s="143"/>
      <c r="BJ447" s="143"/>
      <c r="BK447" s="143"/>
      <c r="BL447" s="143"/>
      <c r="BM447" s="143"/>
      <c r="BN447" s="143"/>
      <c r="BO447" s="143"/>
      <c r="BP447" s="143"/>
      <c r="BQ447" s="143"/>
      <c r="BR447" s="143"/>
      <c r="BS447" s="143"/>
      <c r="BT447" s="143"/>
      <c r="BU447" s="143"/>
      <c r="BV447" s="143"/>
      <c r="BW447" s="143"/>
      <c r="BX447" s="143"/>
      <c r="BY447" s="143"/>
      <c r="BZ447" s="143"/>
      <c r="CA447" s="143"/>
      <c r="CB447" s="143"/>
      <c r="CC447" s="143"/>
      <c r="CD447" s="143"/>
      <c r="CE447" s="143"/>
      <c r="CF447" s="143"/>
      <c r="CG447" s="143"/>
      <c r="CH447" s="143"/>
      <c r="CI447" s="143"/>
      <c r="CJ447" s="143"/>
      <c r="CK447" s="143"/>
      <c r="CL447" s="143"/>
      <c r="CM447" s="143"/>
      <c r="CN447" s="143"/>
      <c r="CO447" s="143"/>
      <c r="CP447" s="143"/>
      <c r="CQ447" s="143"/>
      <c r="CR447" s="143"/>
      <c r="CS447" s="143"/>
      <c r="CT447" s="143"/>
      <c r="CU447" s="143"/>
      <c r="CV447" s="143"/>
      <c r="CW447" s="143"/>
      <c r="CX447" s="143"/>
      <c r="CY447" s="143"/>
      <c r="CZ447" s="143"/>
      <c r="DA447" s="143"/>
      <c r="DB447" s="143"/>
      <c r="DC447" s="143"/>
      <c r="DD447" s="143"/>
      <c r="DE447" s="143"/>
      <c r="DF447" s="143"/>
      <c r="DG447" s="143"/>
      <c r="DH447" s="143"/>
      <c r="DI447" s="143"/>
      <c r="DJ447" s="143"/>
      <c r="DK447" s="143"/>
      <c r="DL447" s="143"/>
      <c r="DM447" s="143"/>
      <c r="DN447" s="143"/>
      <c r="DO447" s="143"/>
      <c r="DP447" s="143"/>
      <c r="DQ447" s="143"/>
      <c r="DR447" s="143"/>
      <c r="DS447" s="143"/>
      <c r="DT447" s="143"/>
      <c r="DU447" s="143"/>
      <c r="DV447" s="143"/>
      <c r="DW447" s="143"/>
      <c r="DX447" s="143"/>
      <c r="DY447" s="143"/>
      <c r="DZ447" s="143"/>
      <c r="EA447" s="143"/>
      <c r="EB447" s="143"/>
      <c r="EC447" s="143"/>
      <c r="ED447" s="143"/>
      <c r="EE447" s="143"/>
      <c r="EF447" s="143"/>
      <c r="EG447" s="143"/>
      <c r="EH447" s="143"/>
      <c r="EI447" s="143"/>
      <c r="EJ447" s="143"/>
      <c r="EK447" s="143"/>
      <c r="EL447" s="143"/>
      <c r="EM447" s="143"/>
      <c r="EN447" s="143"/>
      <c r="EO447" s="143"/>
      <c r="EP447" s="143"/>
      <c r="EQ447" s="143"/>
      <c r="ER447" s="143"/>
      <c r="ES447" s="143"/>
      <c r="ET447" s="143"/>
      <c r="EU447" s="143"/>
      <c r="EV447" s="143"/>
      <c r="EW447" s="143"/>
      <c r="EX447" s="143"/>
      <c r="EY447" s="143"/>
      <c r="EZ447" s="143"/>
      <c r="FA447" s="143"/>
      <c r="FB447" s="143"/>
      <c r="FC447" s="143"/>
      <c r="FD447" s="143"/>
      <c r="FE447" s="143"/>
      <c r="FF447" s="143"/>
      <c r="FG447" s="143"/>
      <c r="FH447" s="143"/>
      <c r="FI447" s="143"/>
      <c r="FJ447" s="143"/>
      <c r="FK447" s="143"/>
      <c r="FL447" s="143"/>
      <c r="FM447" s="143"/>
      <c r="FN447" s="143"/>
      <c r="FO447" s="143"/>
      <c r="FP447" s="143"/>
      <c r="FQ447" s="143"/>
      <c r="FR447" s="143"/>
      <c r="FS447" s="143"/>
      <c r="FT447" s="143"/>
      <c r="FU447" s="143"/>
      <c r="FV447" s="143"/>
      <c r="FW447" s="143"/>
      <c r="FX447" s="143"/>
      <c r="FY447" s="143"/>
      <c r="FZ447" s="143"/>
      <c r="GA447" s="143"/>
      <c r="GB447" s="143"/>
      <c r="GC447" s="143"/>
      <c r="GD447" s="143"/>
      <c r="GE447" s="143"/>
      <c r="GF447" s="143"/>
      <c r="GG447" s="143"/>
      <c r="GH447" s="143"/>
      <c r="GI447" s="143"/>
      <c r="GJ447" s="143"/>
      <c r="GK447" s="143"/>
      <c r="GL447" s="143"/>
      <c r="GM447" s="143"/>
      <c r="GN447" s="143"/>
      <c r="GO447" s="143"/>
      <c r="GP447" s="143"/>
      <c r="GQ447" s="143"/>
      <c r="GR447" s="143"/>
      <c r="GS447" s="143"/>
      <c r="GT447" s="143"/>
      <c r="GU447" s="143"/>
      <c r="GV447" s="143"/>
      <c r="GW447" s="143"/>
      <c r="GX447" s="143"/>
      <c r="GY447" s="143"/>
      <c r="GZ447" s="143"/>
      <c r="HA447" s="143"/>
      <c r="HB447" s="143"/>
      <c r="HC447" s="143"/>
      <c r="HD447" s="143"/>
      <c r="HE447" s="143"/>
      <c r="HF447" s="143"/>
      <c r="HG447" s="143"/>
      <c r="HH447" s="143"/>
      <c r="HI447" s="143"/>
      <c r="HJ447" s="143"/>
      <c r="HK447" s="143"/>
      <c r="HL447" s="143"/>
      <c r="HM447" s="143"/>
      <c r="HN447" s="143"/>
      <c r="HO447" s="143"/>
      <c r="HP447" s="143"/>
      <c r="HQ447" s="143"/>
      <c r="HR447" s="143"/>
      <c r="HS447" s="143"/>
      <c r="HT447" s="143"/>
      <c r="HU447" s="143"/>
      <c r="HV447" s="143"/>
      <c r="HW447" s="143"/>
      <c r="HX447" s="143"/>
      <c r="HY447" s="143"/>
      <c r="HZ447" s="143"/>
      <c r="IA447" s="143"/>
      <c r="IB447" s="143"/>
      <c r="IC447" s="143"/>
      <c r="ID447" s="143"/>
      <c r="IE447" s="143"/>
      <c r="IF447" s="143"/>
      <c r="IG447" s="143"/>
      <c r="IH447" s="143"/>
      <c r="II447" s="143"/>
      <c r="IJ447" s="143"/>
      <c r="IK447" s="143"/>
      <c r="IL447" s="143"/>
      <c r="IM447" s="143"/>
      <c r="IN447" s="143"/>
      <c r="IO447" s="143"/>
      <c r="IP447" s="143"/>
      <c r="IQ447" s="143"/>
      <c r="IR447" s="143"/>
      <c r="IS447" s="143"/>
      <c r="IT447" s="143"/>
      <c r="IU447" s="143"/>
      <c r="IV447" s="143"/>
      <c r="IW447" s="143"/>
      <c r="IX447" s="143"/>
      <c r="IY447" s="143"/>
      <c r="IZ447" s="143"/>
      <c r="JA447" s="143"/>
      <c r="JB447" s="143"/>
      <c r="JC447" s="143"/>
      <c r="JD447" s="143"/>
      <c r="JE447" s="143"/>
      <c r="JF447" s="143"/>
      <c r="JG447" s="143"/>
      <c r="JH447" s="143"/>
      <c r="JI447" s="143"/>
    </row>
    <row r="448" spans="1:269" outlineLevel="1">
      <c r="A448" s="435" t="s">
        <v>306</v>
      </c>
      <c r="B448" s="143"/>
      <c r="C448" s="277"/>
      <c r="D448" s="277"/>
      <c r="E448" s="277"/>
      <c r="F448" s="278"/>
      <c r="G448" s="278"/>
      <c r="H448" s="278"/>
      <c r="I448" s="278">
        <v>50935</v>
      </c>
      <c r="J448" s="277"/>
      <c r="K448" s="278"/>
      <c r="L448" s="278"/>
      <c r="M448" s="278"/>
      <c r="N448" s="278">
        <v>50935</v>
      </c>
      <c r="O448" s="277">
        <v>50935</v>
      </c>
      <c r="P448" s="278"/>
      <c r="Q448" s="278">
        <v>51884</v>
      </c>
      <c r="R448" s="278">
        <v>59349</v>
      </c>
      <c r="S448" s="278">
        <v>56010</v>
      </c>
      <c r="T448" s="277">
        <v>56010</v>
      </c>
      <c r="U448" s="278">
        <v>52544</v>
      </c>
      <c r="V448" s="278">
        <v>51202</v>
      </c>
      <c r="W448" s="278">
        <v>46625</v>
      </c>
      <c r="X448" s="278">
        <v>46386</v>
      </c>
      <c r="Y448" s="277">
        <v>46386</v>
      </c>
      <c r="Z448" s="278">
        <v>70835</v>
      </c>
      <c r="AA448" s="278">
        <v>65569</v>
      </c>
      <c r="AB448" s="278">
        <v>64642</v>
      </c>
      <c r="AC448" s="502">
        <f>AB448</f>
        <v>64642</v>
      </c>
      <c r="AD448" s="595">
        <f t="shared" si="967"/>
        <v>64642</v>
      </c>
      <c r="AE448" s="502">
        <f t="shared" si="967"/>
        <v>64642</v>
      </c>
      <c r="AF448" s="502">
        <f t="shared" si="967"/>
        <v>64642</v>
      </c>
      <c r="AG448" s="502">
        <f t="shared" si="967"/>
        <v>64642</v>
      </c>
      <c r="AH448" s="502">
        <f t="shared" si="967"/>
        <v>64642</v>
      </c>
      <c r="AI448" s="595">
        <f t="shared" si="967"/>
        <v>64642</v>
      </c>
      <c r="AJ448" s="502">
        <f t="shared" si="967"/>
        <v>64642</v>
      </c>
      <c r="AK448" s="502">
        <f t="shared" si="967"/>
        <v>64642</v>
      </c>
      <c r="AL448" s="502">
        <f t="shared" si="967"/>
        <v>64642</v>
      </c>
      <c r="AM448" s="502">
        <f t="shared" si="967"/>
        <v>64642</v>
      </c>
      <c r="AN448" s="595">
        <f t="shared" si="967"/>
        <v>64642</v>
      </c>
      <c r="AO448" s="502">
        <f t="shared" si="967"/>
        <v>64642</v>
      </c>
      <c r="AP448" s="502">
        <f t="shared" si="967"/>
        <v>64642</v>
      </c>
      <c r="AQ448" s="502">
        <f t="shared" si="967"/>
        <v>64642</v>
      </c>
      <c r="AR448" s="502">
        <f t="shared" si="967"/>
        <v>64642</v>
      </c>
      <c r="AS448" s="595">
        <f t="shared" si="967"/>
        <v>64642</v>
      </c>
      <c r="AT448" s="315"/>
      <c r="AU448" s="508"/>
      <c r="AV448" s="143"/>
      <c r="AW448" s="143"/>
      <c r="AX448" s="143"/>
      <c r="AY448" s="143"/>
      <c r="AZ448" s="143"/>
      <c r="BA448" s="143"/>
      <c r="BB448" s="143"/>
      <c r="BC448" s="143"/>
      <c r="BD448" s="143"/>
      <c r="BE448" s="143"/>
      <c r="BF448" s="143"/>
      <c r="BG448" s="143"/>
      <c r="BH448" s="143"/>
      <c r="BI448" s="143"/>
      <c r="BJ448" s="143"/>
      <c r="BK448" s="143"/>
      <c r="BL448" s="143"/>
      <c r="BM448" s="143"/>
      <c r="BN448" s="143"/>
      <c r="BO448" s="143"/>
      <c r="BP448" s="143"/>
      <c r="BQ448" s="143"/>
      <c r="BR448" s="143"/>
      <c r="BS448" s="143"/>
      <c r="BT448" s="143"/>
      <c r="BU448" s="143"/>
      <c r="BV448" s="143"/>
      <c r="BW448" s="143"/>
      <c r="BX448" s="143"/>
      <c r="BY448" s="143"/>
      <c r="BZ448" s="143"/>
      <c r="CA448" s="143"/>
      <c r="CB448" s="143"/>
      <c r="CC448" s="143"/>
      <c r="CD448" s="143"/>
      <c r="CE448" s="143"/>
      <c r="CF448" s="143"/>
      <c r="CG448" s="143"/>
      <c r="CH448" s="143"/>
      <c r="CI448" s="143"/>
      <c r="CJ448" s="143"/>
      <c r="CK448" s="143"/>
      <c r="CL448" s="143"/>
      <c r="CM448" s="143"/>
      <c r="CN448" s="143"/>
      <c r="CO448" s="143"/>
      <c r="CP448" s="143"/>
      <c r="CQ448" s="143"/>
      <c r="CR448" s="143"/>
      <c r="CS448" s="143"/>
      <c r="CT448" s="143"/>
      <c r="CU448" s="143"/>
      <c r="CV448" s="143"/>
      <c r="CW448" s="143"/>
      <c r="CX448" s="143"/>
      <c r="CY448" s="143"/>
      <c r="CZ448" s="143"/>
      <c r="DA448" s="143"/>
      <c r="DB448" s="143"/>
      <c r="DC448" s="143"/>
      <c r="DD448" s="143"/>
      <c r="DE448" s="143"/>
      <c r="DF448" s="143"/>
      <c r="DG448" s="143"/>
      <c r="DH448" s="143"/>
      <c r="DI448" s="143"/>
      <c r="DJ448" s="143"/>
      <c r="DK448" s="143"/>
      <c r="DL448" s="143"/>
      <c r="DM448" s="143"/>
      <c r="DN448" s="143"/>
      <c r="DO448" s="143"/>
      <c r="DP448" s="143"/>
      <c r="DQ448" s="143"/>
      <c r="DR448" s="143"/>
      <c r="DS448" s="143"/>
      <c r="DT448" s="143"/>
      <c r="DU448" s="143"/>
      <c r="DV448" s="143"/>
      <c r="DW448" s="143"/>
      <c r="DX448" s="143"/>
      <c r="DY448" s="143"/>
      <c r="DZ448" s="143"/>
      <c r="EA448" s="143"/>
      <c r="EB448" s="143"/>
      <c r="EC448" s="143"/>
      <c r="ED448" s="143"/>
      <c r="EE448" s="143"/>
      <c r="EF448" s="143"/>
      <c r="EG448" s="143"/>
      <c r="EH448" s="143"/>
      <c r="EI448" s="143"/>
      <c r="EJ448" s="143"/>
      <c r="EK448" s="143"/>
      <c r="EL448" s="143"/>
      <c r="EM448" s="143"/>
      <c r="EN448" s="143"/>
      <c r="EO448" s="143"/>
      <c r="EP448" s="143"/>
      <c r="EQ448" s="143"/>
      <c r="ER448" s="143"/>
      <c r="ES448" s="143"/>
      <c r="ET448" s="143"/>
      <c r="EU448" s="143"/>
      <c r="EV448" s="143"/>
      <c r="EW448" s="143"/>
      <c r="EX448" s="143"/>
      <c r="EY448" s="143"/>
      <c r="EZ448" s="143"/>
      <c r="FA448" s="143"/>
      <c r="FB448" s="143"/>
      <c r="FC448" s="143"/>
      <c r="FD448" s="143"/>
      <c r="FE448" s="143"/>
      <c r="FF448" s="143"/>
      <c r="FG448" s="143"/>
      <c r="FH448" s="143"/>
      <c r="FI448" s="143"/>
      <c r="FJ448" s="143"/>
      <c r="FK448" s="143"/>
      <c r="FL448" s="143"/>
      <c r="FM448" s="143"/>
      <c r="FN448" s="143"/>
      <c r="FO448" s="143"/>
      <c r="FP448" s="143"/>
      <c r="FQ448" s="143"/>
      <c r="FR448" s="143"/>
      <c r="FS448" s="143"/>
      <c r="FT448" s="143"/>
      <c r="FU448" s="143"/>
      <c r="FV448" s="143"/>
      <c r="FW448" s="143"/>
      <c r="FX448" s="143"/>
      <c r="FY448" s="143"/>
      <c r="FZ448" s="143"/>
      <c r="GA448" s="143"/>
      <c r="GB448" s="143"/>
      <c r="GC448" s="143"/>
      <c r="GD448" s="143"/>
      <c r="GE448" s="143"/>
      <c r="GF448" s="143"/>
      <c r="GG448" s="143"/>
      <c r="GH448" s="143"/>
      <c r="GI448" s="143"/>
      <c r="GJ448" s="143"/>
      <c r="GK448" s="143"/>
      <c r="GL448" s="143"/>
      <c r="GM448" s="143"/>
      <c r="GN448" s="143"/>
      <c r="GO448" s="143"/>
      <c r="GP448" s="143"/>
      <c r="GQ448" s="143"/>
      <c r="GR448" s="143"/>
      <c r="GS448" s="143"/>
      <c r="GT448" s="143"/>
      <c r="GU448" s="143"/>
      <c r="GV448" s="143"/>
      <c r="GW448" s="143"/>
      <c r="GX448" s="143"/>
      <c r="GY448" s="143"/>
      <c r="GZ448" s="143"/>
      <c r="HA448" s="143"/>
      <c r="HB448" s="143"/>
      <c r="HC448" s="143"/>
      <c r="HD448" s="143"/>
      <c r="HE448" s="143"/>
      <c r="HF448" s="143"/>
      <c r="HG448" s="143"/>
      <c r="HH448" s="143"/>
      <c r="HI448" s="143"/>
      <c r="HJ448" s="143"/>
      <c r="HK448" s="143"/>
      <c r="HL448" s="143"/>
      <c r="HM448" s="143"/>
      <c r="HN448" s="143"/>
      <c r="HO448" s="143"/>
      <c r="HP448" s="143"/>
      <c r="HQ448" s="143"/>
      <c r="HR448" s="143"/>
      <c r="HS448" s="143"/>
      <c r="HT448" s="143"/>
      <c r="HU448" s="143"/>
      <c r="HV448" s="143"/>
      <c r="HW448" s="143"/>
      <c r="HX448" s="143"/>
      <c r="HY448" s="143"/>
      <c r="HZ448" s="143"/>
      <c r="IA448" s="143"/>
      <c r="IB448" s="143"/>
      <c r="IC448" s="143"/>
      <c r="ID448" s="143"/>
      <c r="IE448" s="143"/>
      <c r="IF448" s="143"/>
      <c r="IG448" s="143"/>
      <c r="IH448" s="143"/>
      <c r="II448" s="143"/>
      <c r="IJ448" s="143"/>
      <c r="IK448" s="143"/>
      <c r="IL448" s="143"/>
      <c r="IM448" s="143"/>
      <c r="IN448" s="143"/>
      <c r="IO448" s="143"/>
      <c r="IP448" s="143"/>
      <c r="IQ448" s="143"/>
      <c r="IR448" s="143"/>
      <c r="IS448" s="143"/>
      <c r="IT448" s="143"/>
      <c r="IU448" s="143"/>
      <c r="IV448" s="143"/>
      <c r="IW448" s="143"/>
      <c r="IX448" s="143"/>
      <c r="IY448" s="143"/>
      <c r="IZ448" s="143"/>
      <c r="JA448" s="143"/>
      <c r="JB448" s="143"/>
      <c r="JC448" s="143"/>
      <c r="JD448" s="143"/>
      <c r="JE448" s="143"/>
      <c r="JF448" s="143"/>
      <c r="JG448" s="143"/>
      <c r="JH448" s="143"/>
      <c r="JI448" s="143"/>
    </row>
    <row r="449" spans="1:269" outlineLevel="1">
      <c r="A449" s="435" t="s">
        <v>307</v>
      </c>
      <c r="B449" s="143"/>
      <c r="C449" s="277"/>
      <c r="D449" s="277"/>
      <c r="E449" s="277"/>
      <c r="F449" s="278"/>
      <c r="G449" s="278"/>
      <c r="H449" s="278"/>
      <c r="I449" s="278">
        <v>98531</v>
      </c>
      <c r="J449" s="277"/>
      <c r="K449" s="278"/>
      <c r="L449" s="278"/>
      <c r="M449" s="278"/>
      <c r="N449" s="278">
        <v>98531</v>
      </c>
      <c r="O449" s="277">
        <v>98531</v>
      </c>
      <c r="P449" s="278"/>
      <c r="Q449" s="278">
        <v>103100</v>
      </c>
      <c r="R449" s="278">
        <v>122865</v>
      </c>
      <c r="S449" s="278">
        <v>123694</v>
      </c>
      <c r="T449" s="277">
        <v>123694</v>
      </c>
      <c r="U449" s="278">
        <v>123774</v>
      </c>
      <c r="V449" s="278">
        <v>124033</v>
      </c>
      <c r="W449" s="278">
        <v>122748</v>
      </c>
      <c r="X449" s="278">
        <v>124593</v>
      </c>
      <c r="Y449" s="277">
        <v>124593</v>
      </c>
      <c r="Z449" s="278">
        <v>125175</v>
      </c>
      <c r="AA449" s="278">
        <v>125351</v>
      </c>
      <c r="AB449" s="278">
        <v>124679</v>
      </c>
      <c r="AC449" s="502">
        <f>AB449</f>
        <v>124679</v>
      </c>
      <c r="AD449" s="595">
        <f t="shared" si="967"/>
        <v>124679</v>
      </c>
      <c r="AE449" s="502">
        <f t="shared" si="967"/>
        <v>124679</v>
      </c>
      <c r="AF449" s="502">
        <f t="shared" si="967"/>
        <v>124679</v>
      </c>
      <c r="AG449" s="502">
        <f t="shared" si="967"/>
        <v>124679</v>
      </c>
      <c r="AH449" s="502">
        <f t="shared" si="967"/>
        <v>124679</v>
      </c>
      <c r="AI449" s="595">
        <f t="shared" si="967"/>
        <v>124679</v>
      </c>
      <c r="AJ449" s="502">
        <f t="shared" si="967"/>
        <v>124679</v>
      </c>
      <c r="AK449" s="502">
        <f t="shared" si="967"/>
        <v>124679</v>
      </c>
      <c r="AL449" s="502">
        <f t="shared" si="967"/>
        <v>124679</v>
      </c>
      <c r="AM449" s="502">
        <f t="shared" si="967"/>
        <v>124679</v>
      </c>
      <c r="AN449" s="595">
        <f t="shared" si="967"/>
        <v>124679</v>
      </c>
      <c r="AO449" s="502">
        <f t="shared" si="967"/>
        <v>124679</v>
      </c>
      <c r="AP449" s="502">
        <f t="shared" si="967"/>
        <v>124679</v>
      </c>
      <c r="AQ449" s="502">
        <f t="shared" si="967"/>
        <v>124679</v>
      </c>
      <c r="AR449" s="502">
        <f t="shared" si="967"/>
        <v>124679</v>
      </c>
      <c r="AS449" s="595">
        <f t="shared" si="967"/>
        <v>124679</v>
      </c>
      <c r="AT449" s="315"/>
      <c r="AU449" s="508"/>
      <c r="AV449" s="143"/>
      <c r="AW449" s="143"/>
      <c r="AX449" s="143"/>
      <c r="AY449" s="143"/>
      <c r="AZ449" s="143"/>
      <c r="BA449" s="143"/>
      <c r="BB449" s="143"/>
      <c r="BC449" s="143"/>
      <c r="BD449" s="143"/>
      <c r="BE449" s="143"/>
      <c r="BF449" s="143"/>
      <c r="BG449" s="143"/>
      <c r="BH449" s="143"/>
      <c r="BI449" s="143"/>
      <c r="BJ449" s="143"/>
      <c r="BK449" s="143"/>
      <c r="BL449" s="143"/>
      <c r="BM449" s="143"/>
      <c r="BN449" s="143"/>
      <c r="BO449" s="143"/>
      <c r="BP449" s="143"/>
      <c r="BQ449" s="143"/>
      <c r="BR449" s="143"/>
      <c r="BS449" s="143"/>
      <c r="BT449" s="143"/>
      <c r="BU449" s="143"/>
      <c r="BV449" s="143"/>
      <c r="BW449" s="143"/>
      <c r="BX449" s="143"/>
      <c r="BY449" s="143"/>
      <c r="BZ449" s="143"/>
      <c r="CA449" s="143"/>
      <c r="CB449" s="143"/>
      <c r="CC449" s="143"/>
      <c r="CD449" s="143"/>
      <c r="CE449" s="143"/>
      <c r="CF449" s="143"/>
      <c r="CG449" s="143"/>
      <c r="CH449" s="143"/>
      <c r="CI449" s="143"/>
      <c r="CJ449" s="143"/>
      <c r="CK449" s="143"/>
      <c r="CL449" s="143"/>
      <c r="CM449" s="143"/>
      <c r="CN449" s="143"/>
      <c r="CO449" s="143"/>
      <c r="CP449" s="143"/>
      <c r="CQ449" s="143"/>
      <c r="CR449" s="143"/>
      <c r="CS449" s="143"/>
      <c r="CT449" s="143"/>
      <c r="CU449" s="143"/>
      <c r="CV449" s="143"/>
      <c r="CW449" s="143"/>
      <c r="CX449" s="143"/>
      <c r="CY449" s="143"/>
      <c r="CZ449" s="143"/>
      <c r="DA449" s="143"/>
      <c r="DB449" s="143"/>
      <c r="DC449" s="143"/>
      <c r="DD449" s="143"/>
      <c r="DE449" s="143"/>
      <c r="DF449" s="143"/>
      <c r="DG449" s="143"/>
      <c r="DH449" s="143"/>
      <c r="DI449" s="143"/>
      <c r="DJ449" s="143"/>
      <c r="DK449" s="143"/>
      <c r="DL449" s="143"/>
      <c r="DM449" s="143"/>
      <c r="DN449" s="143"/>
      <c r="DO449" s="143"/>
      <c r="DP449" s="143"/>
      <c r="DQ449" s="143"/>
      <c r="DR449" s="143"/>
      <c r="DS449" s="143"/>
      <c r="DT449" s="143"/>
      <c r="DU449" s="143"/>
      <c r="DV449" s="143"/>
      <c r="DW449" s="143"/>
      <c r="DX449" s="143"/>
      <c r="DY449" s="143"/>
      <c r="DZ449" s="143"/>
      <c r="EA449" s="143"/>
      <c r="EB449" s="143"/>
      <c r="EC449" s="143"/>
      <c r="ED449" s="143"/>
      <c r="EE449" s="143"/>
      <c r="EF449" s="143"/>
      <c r="EG449" s="143"/>
      <c r="EH449" s="143"/>
      <c r="EI449" s="143"/>
      <c r="EJ449" s="143"/>
      <c r="EK449" s="143"/>
      <c r="EL449" s="143"/>
      <c r="EM449" s="143"/>
      <c r="EN449" s="143"/>
      <c r="EO449" s="143"/>
      <c r="EP449" s="143"/>
      <c r="EQ449" s="143"/>
      <c r="ER449" s="143"/>
      <c r="ES449" s="143"/>
      <c r="ET449" s="143"/>
      <c r="EU449" s="143"/>
      <c r="EV449" s="143"/>
      <c r="EW449" s="143"/>
      <c r="EX449" s="143"/>
      <c r="EY449" s="143"/>
      <c r="EZ449" s="143"/>
      <c r="FA449" s="143"/>
      <c r="FB449" s="143"/>
      <c r="FC449" s="143"/>
      <c r="FD449" s="143"/>
      <c r="FE449" s="143"/>
      <c r="FF449" s="143"/>
      <c r="FG449" s="143"/>
      <c r="FH449" s="143"/>
      <c r="FI449" s="143"/>
      <c r="FJ449" s="143"/>
      <c r="FK449" s="143"/>
      <c r="FL449" s="143"/>
      <c r="FM449" s="143"/>
      <c r="FN449" s="143"/>
      <c r="FO449" s="143"/>
      <c r="FP449" s="143"/>
      <c r="FQ449" s="143"/>
      <c r="FR449" s="143"/>
      <c r="FS449" s="143"/>
      <c r="FT449" s="143"/>
      <c r="FU449" s="143"/>
      <c r="FV449" s="143"/>
      <c r="FW449" s="143"/>
      <c r="FX449" s="143"/>
      <c r="FY449" s="143"/>
      <c r="FZ449" s="143"/>
      <c r="GA449" s="143"/>
      <c r="GB449" s="143"/>
      <c r="GC449" s="143"/>
      <c r="GD449" s="143"/>
      <c r="GE449" s="143"/>
      <c r="GF449" s="143"/>
      <c r="GG449" s="143"/>
      <c r="GH449" s="143"/>
      <c r="GI449" s="143"/>
      <c r="GJ449" s="143"/>
      <c r="GK449" s="143"/>
      <c r="GL449" s="143"/>
      <c r="GM449" s="143"/>
      <c r="GN449" s="143"/>
      <c r="GO449" s="143"/>
      <c r="GP449" s="143"/>
      <c r="GQ449" s="143"/>
      <c r="GR449" s="143"/>
      <c r="GS449" s="143"/>
      <c r="GT449" s="143"/>
      <c r="GU449" s="143"/>
      <c r="GV449" s="143"/>
      <c r="GW449" s="143"/>
      <c r="GX449" s="143"/>
      <c r="GY449" s="143"/>
      <c r="GZ449" s="143"/>
      <c r="HA449" s="143"/>
      <c r="HB449" s="143"/>
      <c r="HC449" s="143"/>
      <c r="HD449" s="143"/>
      <c r="HE449" s="143"/>
      <c r="HF449" s="143"/>
      <c r="HG449" s="143"/>
      <c r="HH449" s="143"/>
      <c r="HI449" s="143"/>
      <c r="HJ449" s="143"/>
      <c r="HK449" s="143"/>
      <c r="HL449" s="143"/>
      <c r="HM449" s="143"/>
      <c r="HN449" s="143"/>
      <c r="HO449" s="143"/>
      <c r="HP449" s="143"/>
      <c r="HQ449" s="143"/>
      <c r="HR449" s="143"/>
      <c r="HS449" s="143"/>
      <c r="HT449" s="143"/>
      <c r="HU449" s="143"/>
      <c r="HV449" s="143"/>
      <c r="HW449" s="143"/>
      <c r="HX449" s="143"/>
      <c r="HY449" s="143"/>
      <c r="HZ449" s="143"/>
      <c r="IA449" s="143"/>
      <c r="IB449" s="143"/>
      <c r="IC449" s="143"/>
      <c r="ID449" s="143"/>
      <c r="IE449" s="143"/>
      <c r="IF449" s="143"/>
      <c r="IG449" s="143"/>
      <c r="IH449" s="143"/>
      <c r="II449" s="143"/>
      <c r="IJ449" s="143"/>
      <c r="IK449" s="143"/>
      <c r="IL449" s="143"/>
      <c r="IM449" s="143"/>
      <c r="IN449" s="143"/>
      <c r="IO449" s="143"/>
      <c r="IP449" s="143"/>
      <c r="IQ449" s="143"/>
      <c r="IR449" s="143"/>
      <c r="IS449" s="143"/>
      <c r="IT449" s="143"/>
      <c r="IU449" s="143"/>
      <c r="IV449" s="143"/>
      <c r="IW449" s="143"/>
      <c r="IX449" s="143"/>
      <c r="IY449" s="143"/>
      <c r="IZ449" s="143"/>
      <c r="JA449" s="143"/>
      <c r="JB449" s="143"/>
      <c r="JC449" s="143"/>
      <c r="JD449" s="143"/>
      <c r="JE449" s="143"/>
      <c r="JF449" s="143"/>
      <c r="JG449" s="143"/>
      <c r="JH449" s="143"/>
      <c r="JI449" s="143"/>
    </row>
    <row r="450" spans="1:269" s="81" customFormat="1" outlineLevel="1">
      <c r="A450" s="92" t="s">
        <v>308</v>
      </c>
      <c r="C450" s="277"/>
      <c r="D450" s="277"/>
      <c r="E450" s="277"/>
      <c r="F450" s="82"/>
      <c r="G450" s="82"/>
      <c r="H450" s="82"/>
      <c r="I450" s="278">
        <v>270</v>
      </c>
      <c r="J450" s="277"/>
      <c r="K450" s="82"/>
      <c r="L450" s="82"/>
      <c r="M450" s="82"/>
      <c r="N450" s="278">
        <v>270</v>
      </c>
      <c r="O450" s="277">
        <v>270</v>
      </c>
      <c r="P450" s="278"/>
      <c r="Q450" s="278">
        <v>482</v>
      </c>
      <c r="R450" s="278">
        <v>1028</v>
      </c>
      <c r="S450" s="278">
        <v>330</v>
      </c>
      <c r="T450" s="277">
        <v>330</v>
      </c>
      <c r="U450" s="278">
        <v>330</v>
      </c>
      <c r="V450" s="278">
        <v>312</v>
      </c>
      <c r="W450" s="278">
        <v>268</v>
      </c>
      <c r="X450" s="278">
        <v>815</v>
      </c>
      <c r="Y450" s="277">
        <v>815</v>
      </c>
      <c r="Z450" s="278">
        <v>831</v>
      </c>
      <c r="AA450" s="278">
        <v>811</v>
      </c>
      <c r="AB450" s="278">
        <v>798</v>
      </c>
      <c r="AC450" s="502">
        <f>AB450</f>
        <v>798</v>
      </c>
      <c r="AD450" s="595">
        <f t="shared" si="967"/>
        <v>798</v>
      </c>
      <c r="AE450" s="502">
        <f t="shared" si="967"/>
        <v>798</v>
      </c>
      <c r="AF450" s="502">
        <f t="shared" si="967"/>
        <v>798</v>
      </c>
      <c r="AG450" s="502">
        <f t="shared" si="967"/>
        <v>798</v>
      </c>
      <c r="AH450" s="502">
        <f t="shared" si="967"/>
        <v>798</v>
      </c>
      <c r="AI450" s="595">
        <f t="shared" si="967"/>
        <v>798</v>
      </c>
      <c r="AJ450" s="502">
        <f t="shared" si="967"/>
        <v>798</v>
      </c>
      <c r="AK450" s="502">
        <f t="shared" si="967"/>
        <v>798</v>
      </c>
      <c r="AL450" s="502">
        <f t="shared" si="967"/>
        <v>798</v>
      </c>
      <c r="AM450" s="502">
        <f t="shared" si="967"/>
        <v>798</v>
      </c>
      <c r="AN450" s="595">
        <f t="shared" si="967"/>
        <v>798</v>
      </c>
      <c r="AO450" s="502">
        <f t="shared" si="967"/>
        <v>798</v>
      </c>
      <c r="AP450" s="502">
        <f t="shared" si="967"/>
        <v>798</v>
      </c>
      <c r="AQ450" s="502">
        <f t="shared" si="967"/>
        <v>798</v>
      </c>
      <c r="AR450" s="502">
        <f t="shared" si="967"/>
        <v>798</v>
      </c>
      <c r="AS450" s="595">
        <f t="shared" si="967"/>
        <v>798</v>
      </c>
      <c r="AT450" s="433"/>
      <c r="AU450" s="508"/>
    </row>
    <row r="451" spans="1:269" outlineLevel="1">
      <c r="A451" s="91" t="s">
        <v>309</v>
      </c>
      <c r="B451" s="143"/>
      <c r="C451" s="277"/>
      <c r="D451" s="277"/>
      <c r="E451" s="277"/>
      <c r="F451" s="143"/>
      <c r="G451" s="143"/>
      <c r="H451" s="143"/>
      <c r="I451" s="278">
        <v>4813</v>
      </c>
      <c r="J451" s="277"/>
      <c r="K451" s="143"/>
      <c r="L451" s="143"/>
      <c r="M451" s="143"/>
      <c r="N451" s="278">
        <v>4813</v>
      </c>
      <c r="O451" s="277">
        <v>4813</v>
      </c>
      <c r="P451" s="278"/>
      <c r="Q451" s="278">
        <v>2489</v>
      </c>
      <c r="R451" s="278">
        <v>4758</v>
      </c>
      <c r="S451" s="278">
        <v>6705</v>
      </c>
      <c r="T451" s="277">
        <v>6705</v>
      </c>
      <c r="U451" s="278">
        <v>8026</v>
      </c>
      <c r="V451" s="278">
        <v>9823</v>
      </c>
      <c r="W451" s="278">
        <v>10331</v>
      </c>
      <c r="X451" s="278">
        <v>14193</v>
      </c>
      <c r="Y451" s="277">
        <v>14193</v>
      </c>
      <c r="Z451" s="278">
        <v>15630</v>
      </c>
      <c r="AA451" s="278">
        <v>16053</v>
      </c>
      <c r="AB451" s="278">
        <v>15539</v>
      </c>
      <c r="AC451" s="502">
        <f>AB451</f>
        <v>15539</v>
      </c>
      <c r="AD451" s="595">
        <f t="shared" si="967"/>
        <v>15539</v>
      </c>
      <c r="AE451" s="502">
        <f t="shared" si="967"/>
        <v>15539</v>
      </c>
      <c r="AF451" s="502">
        <f t="shared" si="967"/>
        <v>15539</v>
      </c>
      <c r="AG451" s="502">
        <f t="shared" si="967"/>
        <v>15539</v>
      </c>
      <c r="AH451" s="502">
        <f t="shared" si="967"/>
        <v>15539</v>
      </c>
      <c r="AI451" s="595">
        <f t="shared" si="967"/>
        <v>15539</v>
      </c>
      <c r="AJ451" s="502">
        <f t="shared" si="967"/>
        <v>15539</v>
      </c>
      <c r="AK451" s="502">
        <f t="shared" si="967"/>
        <v>15539</v>
      </c>
      <c r="AL451" s="502">
        <f t="shared" si="967"/>
        <v>15539</v>
      </c>
      <c r="AM451" s="502">
        <f t="shared" si="967"/>
        <v>15539</v>
      </c>
      <c r="AN451" s="595">
        <f t="shared" si="967"/>
        <v>15539</v>
      </c>
      <c r="AO451" s="502">
        <f t="shared" si="967"/>
        <v>15539</v>
      </c>
      <c r="AP451" s="502">
        <f t="shared" si="967"/>
        <v>15539</v>
      </c>
      <c r="AQ451" s="502">
        <f t="shared" si="967"/>
        <v>15539</v>
      </c>
      <c r="AR451" s="502">
        <f t="shared" si="967"/>
        <v>15539</v>
      </c>
      <c r="AS451" s="595">
        <f t="shared" si="967"/>
        <v>15539</v>
      </c>
      <c r="AT451" s="315"/>
      <c r="AU451" s="508"/>
      <c r="AV451" s="143"/>
      <c r="AW451" s="143"/>
      <c r="AX451" s="143"/>
      <c r="AY451" s="143"/>
      <c r="AZ451" s="143"/>
      <c r="BA451" s="143"/>
      <c r="BB451" s="143"/>
      <c r="BC451" s="143"/>
      <c r="BD451" s="143"/>
      <c r="BE451" s="143"/>
      <c r="BF451" s="143"/>
      <c r="BG451" s="143"/>
      <c r="BH451" s="143"/>
      <c r="BI451" s="143"/>
      <c r="BJ451" s="143"/>
      <c r="BK451" s="143"/>
      <c r="BL451" s="143"/>
      <c r="BM451" s="143"/>
      <c r="BN451" s="143"/>
      <c r="BO451" s="143"/>
      <c r="BP451" s="143"/>
      <c r="BQ451" s="143"/>
      <c r="BR451" s="143"/>
      <c r="BS451" s="143"/>
      <c r="BT451" s="143"/>
      <c r="BU451" s="143"/>
      <c r="BV451" s="143"/>
      <c r="BW451" s="143"/>
      <c r="BX451" s="143"/>
      <c r="BY451" s="143"/>
      <c r="BZ451" s="143"/>
      <c r="CA451" s="143"/>
      <c r="CB451" s="143"/>
      <c r="CC451" s="143"/>
      <c r="CD451" s="143"/>
      <c r="CE451" s="143"/>
      <c r="CF451" s="143"/>
      <c r="CG451" s="143"/>
      <c r="CH451" s="143"/>
      <c r="CI451" s="143"/>
      <c r="CJ451" s="143"/>
      <c r="CK451" s="143"/>
      <c r="CL451" s="143"/>
      <c r="CM451" s="143"/>
      <c r="CN451" s="143"/>
      <c r="CO451" s="143"/>
      <c r="CP451" s="143"/>
      <c r="CQ451" s="143"/>
      <c r="CR451" s="143"/>
      <c r="CS451" s="143"/>
      <c r="CT451" s="143"/>
      <c r="CU451" s="143"/>
      <c r="CV451" s="143"/>
      <c r="CW451" s="143"/>
      <c r="CX451" s="143"/>
      <c r="CY451" s="143"/>
      <c r="CZ451" s="143"/>
      <c r="DA451" s="143"/>
      <c r="DB451" s="143"/>
      <c r="DC451" s="143"/>
      <c r="DD451" s="143"/>
      <c r="DE451" s="143"/>
      <c r="DF451" s="143"/>
      <c r="DG451" s="143"/>
      <c r="DH451" s="143"/>
      <c r="DI451" s="143"/>
      <c r="DJ451" s="143"/>
      <c r="DK451" s="143"/>
      <c r="DL451" s="143"/>
      <c r="DM451" s="143"/>
      <c r="DN451" s="143"/>
      <c r="DO451" s="143"/>
      <c r="DP451" s="143"/>
      <c r="DQ451" s="143"/>
      <c r="DR451" s="143"/>
      <c r="DS451" s="143"/>
      <c r="DT451" s="143"/>
      <c r="DU451" s="143"/>
      <c r="DV451" s="143"/>
      <c r="DW451" s="143"/>
      <c r="DX451" s="143"/>
      <c r="DY451" s="143"/>
      <c r="DZ451" s="143"/>
      <c r="EA451" s="143"/>
      <c r="EB451" s="143"/>
      <c r="EC451" s="143"/>
      <c r="ED451" s="143"/>
      <c r="EE451" s="143"/>
      <c r="EF451" s="143"/>
      <c r="EG451" s="143"/>
      <c r="EH451" s="143"/>
      <c r="EI451" s="143"/>
      <c r="EJ451" s="143"/>
      <c r="EK451" s="143"/>
      <c r="EL451" s="143"/>
      <c r="EM451" s="143"/>
      <c r="EN451" s="143"/>
      <c r="EO451" s="143"/>
      <c r="EP451" s="143"/>
      <c r="EQ451" s="143"/>
      <c r="ER451" s="143"/>
      <c r="ES451" s="143"/>
      <c r="ET451" s="143"/>
      <c r="EU451" s="143"/>
      <c r="EV451" s="143"/>
      <c r="EW451" s="143"/>
      <c r="EX451" s="143"/>
      <c r="EY451" s="143"/>
      <c r="EZ451" s="143"/>
      <c r="FA451" s="143"/>
      <c r="FB451" s="143"/>
      <c r="FC451" s="143"/>
      <c r="FD451" s="143"/>
      <c r="FE451" s="143"/>
      <c r="FF451" s="143"/>
      <c r="FG451" s="143"/>
      <c r="FH451" s="143"/>
      <c r="FI451" s="143"/>
      <c r="FJ451" s="143"/>
      <c r="FK451" s="143"/>
      <c r="FL451" s="143"/>
      <c r="FM451" s="143"/>
      <c r="FN451" s="143"/>
      <c r="FO451" s="143"/>
      <c r="FP451" s="143"/>
      <c r="FQ451" s="143"/>
      <c r="FR451" s="143"/>
      <c r="FS451" s="143"/>
      <c r="FT451" s="143"/>
      <c r="FU451" s="143"/>
      <c r="FV451" s="143"/>
      <c r="FW451" s="143"/>
      <c r="FX451" s="143"/>
      <c r="FY451" s="143"/>
      <c r="FZ451" s="143"/>
      <c r="GA451" s="143"/>
      <c r="GB451" s="143"/>
      <c r="GC451" s="143"/>
      <c r="GD451" s="143"/>
      <c r="GE451" s="143"/>
      <c r="GF451" s="143"/>
      <c r="GG451" s="143"/>
      <c r="GH451" s="143"/>
      <c r="GI451" s="143"/>
      <c r="GJ451" s="143"/>
      <c r="GK451" s="143"/>
      <c r="GL451" s="143"/>
      <c r="GM451" s="143"/>
      <c r="GN451" s="143"/>
      <c r="GO451" s="143"/>
      <c r="GP451" s="143"/>
      <c r="GQ451" s="143"/>
      <c r="GR451" s="143"/>
      <c r="GS451" s="143"/>
      <c r="GT451" s="143"/>
      <c r="GU451" s="143"/>
      <c r="GV451" s="143"/>
      <c r="GW451" s="143"/>
      <c r="GX451" s="143"/>
      <c r="GY451" s="143"/>
      <c r="GZ451" s="143"/>
      <c r="HA451" s="143"/>
      <c r="HB451" s="143"/>
      <c r="HC451" s="143"/>
      <c r="HD451" s="143"/>
      <c r="HE451" s="143"/>
      <c r="HF451" s="143"/>
      <c r="HG451" s="143"/>
      <c r="HH451" s="143"/>
      <c r="HI451" s="143"/>
      <c r="HJ451" s="143"/>
      <c r="HK451" s="143"/>
      <c r="HL451" s="143"/>
      <c r="HM451" s="143"/>
      <c r="HN451" s="143"/>
      <c r="HO451" s="143"/>
      <c r="HP451" s="143"/>
      <c r="HQ451" s="143"/>
      <c r="HR451" s="143"/>
      <c r="HS451" s="143"/>
      <c r="HT451" s="143"/>
      <c r="HU451" s="143"/>
      <c r="HV451" s="143"/>
      <c r="HW451" s="143"/>
      <c r="HX451" s="143"/>
      <c r="HY451" s="143"/>
      <c r="HZ451" s="143"/>
      <c r="IA451" s="143"/>
      <c r="IB451" s="143"/>
      <c r="IC451" s="143"/>
      <c r="ID451" s="143"/>
      <c r="IE451" s="143"/>
      <c r="IF451" s="143"/>
      <c r="IG451" s="143"/>
      <c r="IH451" s="143"/>
      <c r="II451" s="143"/>
      <c r="IJ451" s="143"/>
      <c r="IK451" s="143"/>
      <c r="IL451" s="143"/>
      <c r="IM451" s="143"/>
      <c r="IN451" s="143"/>
      <c r="IO451" s="143"/>
      <c r="IP451" s="143"/>
      <c r="IQ451" s="143"/>
      <c r="IR451" s="143"/>
      <c r="IS451" s="143"/>
      <c r="IT451" s="143"/>
      <c r="IU451" s="143"/>
      <c r="IV451" s="143"/>
      <c r="IW451" s="143"/>
      <c r="IX451" s="143"/>
      <c r="IY451" s="143"/>
      <c r="IZ451" s="143"/>
      <c r="JA451" s="143"/>
      <c r="JB451" s="143"/>
      <c r="JC451" s="143"/>
      <c r="JD451" s="143"/>
      <c r="JE451" s="143"/>
      <c r="JF451" s="143"/>
      <c r="JG451" s="143"/>
      <c r="JH451" s="143"/>
      <c r="JI451" s="143"/>
    </row>
    <row r="452" spans="1:269" s="81" customFormat="1" ht="15" outlineLevel="1" thickBot="1">
      <c r="A452" s="597" t="s">
        <v>310</v>
      </c>
      <c r="B452" s="60"/>
      <c r="C452" s="577"/>
      <c r="D452" s="577"/>
      <c r="E452" s="577"/>
      <c r="F452" s="314"/>
      <c r="G452" s="314"/>
      <c r="H452" s="314"/>
      <c r="I452" s="314">
        <v>222835</v>
      </c>
      <c r="J452" s="577"/>
      <c r="K452" s="314"/>
      <c r="L452" s="314"/>
      <c r="M452" s="314"/>
      <c r="N452" s="314">
        <v>222835</v>
      </c>
      <c r="O452" s="577">
        <v>222835</v>
      </c>
      <c r="P452" s="314"/>
      <c r="Q452" s="314">
        <v>342508</v>
      </c>
      <c r="R452" s="314">
        <v>997875</v>
      </c>
      <c r="S452" s="314">
        <v>1218806</v>
      </c>
      <c r="T452" s="577">
        <v>1218806</v>
      </c>
      <c r="U452" s="314">
        <v>1199178</v>
      </c>
      <c r="V452" s="314">
        <v>1214960</v>
      </c>
      <c r="W452" s="314">
        <v>1104795</v>
      </c>
      <c r="X452" s="314">
        <v>1003083</v>
      </c>
      <c r="Y452" s="577">
        <v>1003083</v>
      </c>
      <c r="Z452" s="314">
        <v>994953</v>
      </c>
      <c r="AA452" s="314">
        <v>1007474</v>
      </c>
      <c r="AB452" s="314">
        <v>973074</v>
      </c>
      <c r="AC452" s="579">
        <f>AC444+AC446+AC447+AC448+AC449+AC450+AC451</f>
        <v>951356.55117646081</v>
      </c>
      <c r="AD452" s="581">
        <f t="shared" ref="AD452:AS452" si="968">AD444+AD446+AD447+AD448+AD449+AD450+AD451</f>
        <v>951356.55117646081</v>
      </c>
      <c r="AE452" s="579">
        <f t="shared" si="968"/>
        <v>946202.71338016272</v>
      </c>
      <c r="AF452" s="579">
        <f t="shared" si="968"/>
        <v>942970.98814748949</v>
      </c>
      <c r="AG452" s="579">
        <f t="shared" si="968"/>
        <v>956402.84810700279</v>
      </c>
      <c r="AH452" s="579">
        <f t="shared" si="968"/>
        <v>983270.81555373082</v>
      </c>
      <c r="AI452" s="581">
        <f t="shared" si="968"/>
        <v>983270.81555373082</v>
      </c>
      <c r="AJ452" s="579">
        <f t="shared" si="968"/>
        <v>993906.07857340726</v>
      </c>
      <c r="AK452" s="579">
        <f t="shared" si="968"/>
        <v>1016862.125089673</v>
      </c>
      <c r="AL452" s="579">
        <f t="shared" si="968"/>
        <v>1034974.6206211558</v>
      </c>
      <c r="AM452" s="579">
        <f t="shared" si="968"/>
        <v>1065132.6557116986</v>
      </c>
      <c r="AN452" s="581">
        <f t="shared" si="968"/>
        <v>1065132.6557116986</v>
      </c>
      <c r="AO452" s="579">
        <f t="shared" si="968"/>
        <v>1078417.7280504787</v>
      </c>
      <c r="AP452" s="579">
        <f t="shared" si="968"/>
        <v>1107020.7381287077</v>
      </c>
      <c r="AQ452" s="579">
        <f t="shared" si="968"/>
        <v>1128993.1698276447</v>
      </c>
      <c r="AR452" s="579">
        <f t="shared" si="968"/>
        <v>1171047.1638766064</v>
      </c>
      <c r="AS452" s="581">
        <f t="shared" si="968"/>
        <v>1171047.1638766064</v>
      </c>
      <c r="AT452" s="433"/>
      <c r="AU452" s="508"/>
    </row>
    <row r="453" spans="1:269" ht="15" outlineLevel="1" thickTop="1">
      <c r="A453" s="435"/>
      <c r="B453" s="143"/>
      <c r="C453" s="277"/>
      <c r="D453" s="277"/>
      <c r="E453" s="277"/>
      <c r="F453" s="278"/>
      <c r="G453" s="278"/>
      <c r="H453" s="278"/>
      <c r="I453" s="278"/>
      <c r="J453" s="277"/>
      <c r="K453" s="278"/>
      <c r="L453" s="278"/>
      <c r="M453" s="278"/>
      <c r="N453" s="278"/>
      <c r="O453" s="277"/>
      <c r="P453" s="278"/>
      <c r="Q453" s="278"/>
      <c r="R453" s="278"/>
      <c r="S453" s="278"/>
      <c r="T453" s="277"/>
      <c r="U453" s="278"/>
      <c r="V453" s="278"/>
      <c r="W453" s="278"/>
      <c r="X453" s="278"/>
      <c r="Y453" s="277"/>
      <c r="Z453" s="278"/>
      <c r="AA453" s="278"/>
      <c r="AB453" s="278"/>
      <c r="AC453" s="278"/>
      <c r="AD453" s="536"/>
      <c r="AE453" s="278"/>
      <c r="AF453" s="278"/>
      <c r="AG453" s="287"/>
      <c r="AH453" s="287"/>
      <c r="AI453" s="499"/>
      <c r="AJ453" s="287"/>
      <c r="AK453" s="287"/>
      <c r="AL453" s="287"/>
      <c r="AM453" s="287"/>
      <c r="AN453" s="499"/>
      <c r="AO453" s="287"/>
      <c r="AP453" s="287"/>
      <c r="AQ453" s="287"/>
      <c r="AR453" s="287"/>
      <c r="AS453" s="499"/>
      <c r="AT453" s="315"/>
      <c r="AU453" s="508"/>
      <c r="AV453" s="143"/>
      <c r="AW453" s="143"/>
      <c r="AX453" s="143"/>
      <c r="AY453" s="143"/>
      <c r="AZ453" s="143"/>
      <c r="BA453" s="143"/>
      <c r="BB453" s="143"/>
      <c r="BC453" s="143"/>
      <c r="BD453" s="143"/>
      <c r="BE453" s="143"/>
      <c r="BF453" s="143"/>
      <c r="BG453" s="143"/>
      <c r="BH453" s="143"/>
      <c r="BI453" s="143"/>
      <c r="BJ453" s="143"/>
      <c r="BK453" s="143"/>
      <c r="BL453" s="143"/>
      <c r="BM453" s="143"/>
      <c r="BN453" s="143"/>
      <c r="BO453" s="143"/>
      <c r="BP453" s="143"/>
      <c r="BQ453" s="143"/>
      <c r="BR453" s="143"/>
      <c r="BS453" s="143"/>
      <c r="BT453" s="143"/>
      <c r="BU453" s="143"/>
      <c r="BV453" s="143"/>
      <c r="BW453" s="143"/>
      <c r="BX453" s="143"/>
      <c r="BY453" s="143"/>
      <c r="BZ453" s="143"/>
      <c r="CA453" s="143"/>
      <c r="CB453" s="143"/>
      <c r="CC453" s="143"/>
      <c r="CD453" s="143"/>
      <c r="CE453" s="143"/>
      <c r="CF453" s="143"/>
      <c r="CG453" s="143"/>
      <c r="CH453" s="143"/>
      <c r="CI453" s="143"/>
      <c r="CJ453" s="143"/>
      <c r="CK453" s="143"/>
      <c r="CL453" s="143"/>
      <c r="CM453" s="143"/>
      <c r="CN453" s="143"/>
      <c r="CO453" s="143"/>
      <c r="CP453" s="143"/>
      <c r="CQ453" s="143"/>
      <c r="CR453" s="143"/>
      <c r="CS453" s="143"/>
      <c r="CT453" s="143"/>
      <c r="CU453" s="143"/>
      <c r="CV453" s="143"/>
      <c r="CW453" s="143"/>
      <c r="CX453" s="143"/>
      <c r="CY453" s="143"/>
      <c r="CZ453" s="143"/>
      <c r="DA453" s="143"/>
      <c r="DB453" s="143"/>
      <c r="DC453" s="143"/>
      <c r="DD453" s="143"/>
      <c r="DE453" s="143"/>
      <c r="DF453" s="143"/>
      <c r="DG453" s="143"/>
      <c r="DH453" s="143"/>
      <c r="DI453" s="143"/>
      <c r="DJ453" s="143"/>
      <c r="DK453" s="143"/>
      <c r="DL453" s="143"/>
      <c r="DM453" s="143"/>
      <c r="DN453" s="143"/>
      <c r="DO453" s="143"/>
      <c r="DP453" s="143"/>
      <c r="DQ453" s="143"/>
      <c r="DR453" s="143"/>
      <c r="DS453" s="143"/>
      <c r="DT453" s="143"/>
      <c r="DU453" s="143"/>
      <c r="DV453" s="143"/>
      <c r="DW453" s="143"/>
      <c r="DX453" s="143"/>
      <c r="DY453" s="143"/>
      <c r="DZ453" s="143"/>
      <c r="EA453" s="143"/>
      <c r="EB453" s="143"/>
      <c r="EC453" s="143"/>
      <c r="ED453" s="143"/>
      <c r="EE453" s="143"/>
      <c r="EF453" s="143"/>
      <c r="EG453" s="143"/>
      <c r="EH453" s="143"/>
      <c r="EI453" s="143"/>
      <c r="EJ453" s="143"/>
      <c r="EK453" s="143"/>
      <c r="EL453" s="143"/>
      <c r="EM453" s="143"/>
      <c r="EN453" s="143"/>
      <c r="EO453" s="143"/>
      <c r="EP453" s="143"/>
      <c r="EQ453" s="143"/>
      <c r="ER453" s="143"/>
      <c r="ES453" s="143"/>
      <c r="ET453" s="143"/>
      <c r="EU453" s="143"/>
      <c r="EV453" s="143"/>
      <c r="EW453" s="143"/>
      <c r="EX453" s="143"/>
      <c r="EY453" s="143"/>
      <c r="EZ453" s="143"/>
      <c r="FA453" s="143"/>
      <c r="FB453" s="143"/>
      <c r="FC453" s="143"/>
      <c r="FD453" s="143"/>
      <c r="FE453" s="143"/>
      <c r="FF453" s="143"/>
      <c r="FG453" s="143"/>
      <c r="FH453" s="143"/>
      <c r="FI453" s="143"/>
      <c r="FJ453" s="143"/>
      <c r="FK453" s="143"/>
      <c r="FL453" s="143"/>
      <c r="FM453" s="143"/>
      <c r="FN453" s="143"/>
      <c r="FO453" s="143"/>
      <c r="FP453" s="143"/>
      <c r="FQ453" s="143"/>
      <c r="FR453" s="143"/>
      <c r="FS453" s="143"/>
      <c r="FT453" s="143"/>
      <c r="FU453" s="143"/>
      <c r="FV453" s="143"/>
      <c r="FW453" s="143"/>
      <c r="FX453" s="143"/>
      <c r="FY453" s="143"/>
      <c r="FZ453" s="143"/>
      <c r="GA453" s="143"/>
      <c r="GB453" s="143"/>
      <c r="GC453" s="143"/>
      <c r="GD453" s="143"/>
      <c r="GE453" s="143"/>
      <c r="GF453" s="143"/>
      <c r="GG453" s="143"/>
      <c r="GH453" s="143"/>
      <c r="GI453" s="143"/>
      <c r="GJ453" s="143"/>
      <c r="GK453" s="143"/>
      <c r="GL453" s="143"/>
      <c r="GM453" s="143"/>
      <c r="GN453" s="143"/>
      <c r="GO453" s="143"/>
      <c r="GP453" s="143"/>
      <c r="GQ453" s="143"/>
      <c r="GR453" s="143"/>
      <c r="GS453" s="143"/>
      <c r="GT453" s="143"/>
      <c r="GU453" s="143"/>
      <c r="GV453" s="143"/>
      <c r="GW453" s="143"/>
      <c r="GX453" s="143"/>
      <c r="GY453" s="143"/>
      <c r="GZ453" s="143"/>
      <c r="HA453" s="143"/>
      <c r="HB453" s="143"/>
      <c r="HC453" s="143"/>
      <c r="HD453" s="143"/>
      <c r="HE453" s="143"/>
      <c r="HF453" s="143"/>
      <c r="HG453" s="143"/>
      <c r="HH453" s="143"/>
      <c r="HI453" s="143"/>
      <c r="HJ453" s="143"/>
      <c r="HK453" s="143"/>
      <c r="HL453" s="143"/>
      <c r="HM453" s="143"/>
      <c r="HN453" s="143"/>
      <c r="HO453" s="143"/>
      <c r="HP453" s="143"/>
      <c r="HQ453" s="143"/>
      <c r="HR453" s="143"/>
      <c r="HS453" s="143"/>
      <c r="HT453" s="143"/>
      <c r="HU453" s="143"/>
      <c r="HV453" s="143"/>
      <c r="HW453" s="143"/>
      <c r="HX453" s="143"/>
      <c r="HY453" s="143"/>
      <c r="HZ453" s="143"/>
      <c r="IA453" s="143"/>
      <c r="IB453" s="143"/>
      <c r="IC453" s="143"/>
      <c r="ID453" s="143"/>
      <c r="IE453" s="143"/>
      <c r="IF453" s="143"/>
      <c r="IG453" s="143"/>
      <c r="IH453" s="143"/>
      <c r="II453" s="143"/>
      <c r="IJ453" s="143"/>
      <c r="IK453" s="143"/>
      <c r="IL453" s="143"/>
      <c r="IM453" s="143"/>
      <c r="IN453" s="143"/>
      <c r="IO453" s="143"/>
      <c r="IP453" s="143"/>
      <c r="IQ453" s="143"/>
      <c r="IR453" s="143"/>
      <c r="IS453" s="143"/>
      <c r="IT453" s="143"/>
      <c r="IU453" s="143"/>
      <c r="IV453" s="143"/>
      <c r="IW453" s="143"/>
      <c r="IX453" s="143"/>
      <c r="IY453" s="143"/>
      <c r="IZ453" s="143"/>
      <c r="JA453" s="143"/>
      <c r="JB453" s="143"/>
      <c r="JC453" s="143"/>
      <c r="JD453" s="143"/>
      <c r="JE453" s="143"/>
      <c r="JF453" s="143"/>
      <c r="JG453" s="143"/>
      <c r="JH453" s="143"/>
      <c r="JI453" s="143"/>
    </row>
    <row r="454" spans="1:269" outlineLevel="1">
      <c r="A454" s="435"/>
      <c r="B454" s="143"/>
      <c r="C454" s="277"/>
      <c r="D454" s="277"/>
      <c r="E454" s="277"/>
      <c r="F454" s="278"/>
      <c r="G454" s="278"/>
      <c r="H454" s="278"/>
      <c r="I454" s="278"/>
      <c r="J454" s="277"/>
      <c r="K454" s="278"/>
      <c r="L454" s="278"/>
      <c r="M454" s="278"/>
      <c r="N454" s="278"/>
      <c r="O454" s="277"/>
      <c r="P454" s="278"/>
      <c r="Q454" s="278"/>
      <c r="R454" s="278"/>
      <c r="S454" s="278"/>
      <c r="T454" s="277"/>
      <c r="U454" s="278"/>
      <c r="V454" s="278"/>
      <c r="W454" s="278"/>
      <c r="X454" s="278"/>
      <c r="Y454" s="277"/>
      <c r="Z454" s="278"/>
      <c r="AA454" s="278"/>
      <c r="AB454" s="278"/>
      <c r="AC454" s="278"/>
      <c r="AD454" s="536"/>
      <c r="AE454" s="278"/>
      <c r="AF454" s="278"/>
      <c r="AG454" s="287"/>
      <c r="AH454" s="287"/>
      <c r="AI454" s="499"/>
      <c r="AJ454" s="287"/>
      <c r="AK454" s="287"/>
      <c r="AL454" s="287"/>
      <c r="AM454" s="287"/>
      <c r="AN454" s="499"/>
      <c r="AO454" s="287"/>
      <c r="AP454" s="287"/>
      <c r="AQ454" s="287"/>
      <c r="AR454" s="287"/>
      <c r="AS454" s="499"/>
      <c r="AT454" s="315"/>
      <c r="AU454" s="508"/>
      <c r="AV454" s="143"/>
      <c r="AW454" s="143"/>
      <c r="AX454" s="143"/>
      <c r="AY454" s="143"/>
      <c r="AZ454" s="143"/>
      <c r="BA454" s="143"/>
      <c r="BB454" s="143"/>
      <c r="BC454" s="143"/>
      <c r="BD454" s="143"/>
      <c r="BE454" s="143"/>
      <c r="BF454" s="143"/>
      <c r="BG454" s="143"/>
      <c r="BH454" s="143"/>
      <c r="BI454" s="143"/>
      <c r="BJ454" s="143"/>
      <c r="BK454" s="143"/>
      <c r="BL454" s="143"/>
      <c r="BM454" s="143"/>
      <c r="BN454" s="143"/>
      <c r="BO454" s="143"/>
      <c r="BP454" s="143"/>
      <c r="BQ454" s="143"/>
      <c r="BR454" s="143"/>
      <c r="BS454" s="143"/>
      <c r="BT454" s="143"/>
      <c r="BU454" s="143"/>
      <c r="BV454" s="143"/>
      <c r="BW454" s="143"/>
      <c r="BX454" s="143"/>
      <c r="BY454" s="143"/>
      <c r="BZ454" s="143"/>
      <c r="CA454" s="143"/>
      <c r="CB454" s="143"/>
      <c r="CC454" s="143"/>
      <c r="CD454" s="143"/>
      <c r="CE454" s="143"/>
      <c r="CF454" s="143"/>
      <c r="CG454" s="143"/>
      <c r="CH454" s="143"/>
      <c r="CI454" s="143"/>
      <c r="CJ454" s="143"/>
      <c r="CK454" s="143"/>
      <c r="CL454" s="143"/>
      <c r="CM454" s="143"/>
      <c r="CN454" s="143"/>
      <c r="CO454" s="143"/>
      <c r="CP454" s="143"/>
      <c r="CQ454" s="143"/>
      <c r="CR454" s="143"/>
      <c r="CS454" s="143"/>
      <c r="CT454" s="143"/>
      <c r="CU454" s="143"/>
      <c r="CV454" s="143"/>
      <c r="CW454" s="143"/>
      <c r="CX454" s="143"/>
      <c r="CY454" s="143"/>
      <c r="CZ454" s="143"/>
      <c r="DA454" s="143"/>
      <c r="DB454" s="143"/>
      <c r="DC454" s="143"/>
      <c r="DD454" s="143"/>
      <c r="DE454" s="143"/>
      <c r="DF454" s="143"/>
      <c r="DG454" s="143"/>
      <c r="DH454" s="143"/>
      <c r="DI454" s="143"/>
      <c r="DJ454" s="143"/>
      <c r="DK454" s="143"/>
      <c r="DL454" s="143"/>
      <c r="DM454" s="143"/>
      <c r="DN454" s="143"/>
      <c r="DO454" s="143"/>
      <c r="DP454" s="143"/>
      <c r="DQ454" s="143"/>
      <c r="DR454" s="143"/>
      <c r="DS454" s="143"/>
      <c r="DT454" s="143"/>
      <c r="DU454" s="143"/>
      <c r="DV454" s="143"/>
      <c r="DW454" s="143"/>
      <c r="DX454" s="143"/>
      <c r="DY454" s="143"/>
      <c r="DZ454" s="143"/>
      <c r="EA454" s="143"/>
      <c r="EB454" s="143"/>
      <c r="EC454" s="143"/>
      <c r="ED454" s="143"/>
      <c r="EE454" s="143"/>
      <c r="EF454" s="143"/>
      <c r="EG454" s="143"/>
      <c r="EH454" s="143"/>
      <c r="EI454" s="143"/>
      <c r="EJ454" s="143"/>
      <c r="EK454" s="143"/>
      <c r="EL454" s="143"/>
      <c r="EM454" s="143"/>
      <c r="EN454" s="143"/>
      <c r="EO454" s="143"/>
      <c r="EP454" s="143"/>
      <c r="EQ454" s="143"/>
      <c r="ER454" s="143"/>
      <c r="ES454" s="143"/>
      <c r="ET454" s="143"/>
      <c r="EU454" s="143"/>
      <c r="EV454" s="143"/>
      <c r="EW454" s="143"/>
      <c r="EX454" s="143"/>
      <c r="EY454" s="143"/>
      <c r="EZ454" s="143"/>
      <c r="FA454" s="143"/>
      <c r="FB454" s="143"/>
      <c r="FC454" s="143"/>
      <c r="FD454" s="143"/>
      <c r="FE454" s="143"/>
      <c r="FF454" s="143"/>
      <c r="FG454" s="143"/>
      <c r="FH454" s="143"/>
      <c r="FI454" s="143"/>
      <c r="FJ454" s="143"/>
      <c r="FK454" s="143"/>
      <c r="FL454" s="143"/>
      <c r="FM454" s="143"/>
      <c r="FN454" s="143"/>
      <c r="FO454" s="143"/>
      <c r="FP454" s="143"/>
      <c r="FQ454" s="143"/>
      <c r="FR454" s="143"/>
      <c r="FS454" s="143"/>
      <c r="FT454" s="143"/>
      <c r="FU454" s="143"/>
      <c r="FV454" s="143"/>
      <c r="FW454" s="143"/>
      <c r="FX454" s="143"/>
      <c r="FY454" s="143"/>
      <c r="FZ454" s="143"/>
      <c r="GA454" s="143"/>
      <c r="GB454" s="143"/>
      <c r="GC454" s="143"/>
      <c r="GD454" s="143"/>
      <c r="GE454" s="143"/>
      <c r="GF454" s="143"/>
      <c r="GG454" s="143"/>
      <c r="GH454" s="143"/>
      <c r="GI454" s="143"/>
      <c r="GJ454" s="143"/>
      <c r="GK454" s="143"/>
      <c r="GL454" s="143"/>
      <c r="GM454" s="143"/>
      <c r="GN454" s="143"/>
      <c r="GO454" s="143"/>
      <c r="GP454" s="143"/>
      <c r="GQ454" s="143"/>
      <c r="GR454" s="143"/>
      <c r="GS454" s="143"/>
      <c r="GT454" s="143"/>
      <c r="GU454" s="143"/>
      <c r="GV454" s="143"/>
      <c r="GW454" s="143"/>
      <c r="GX454" s="143"/>
      <c r="GY454" s="143"/>
      <c r="GZ454" s="143"/>
      <c r="HA454" s="143"/>
      <c r="HB454" s="143"/>
      <c r="HC454" s="143"/>
      <c r="HD454" s="143"/>
      <c r="HE454" s="143"/>
      <c r="HF454" s="143"/>
      <c r="HG454" s="143"/>
      <c r="HH454" s="143"/>
      <c r="HI454" s="143"/>
      <c r="HJ454" s="143"/>
      <c r="HK454" s="143"/>
      <c r="HL454" s="143"/>
      <c r="HM454" s="143"/>
      <c r="HN454" s="143"/>
      <c r="HO454" s="143"/>
      <c r="HP454" s="143"/>
      <c r="HQ454" s="143"/>
      <c r="HR454" s="143"/>
      <c r="HS454" s="143"/>
      <c r="HT454" s="143"/>
      <c r="HU454" s="143"/>
      <c r="HV454" s="143"/>
      <c r="HW454" s="143"/>
      <c r="HX454" s="143"/>
      <c r="HY454" s="143"/>
      <c r="HZ454" s="143"/>
      <c r="IA454" s="143"/>
      <c r="IB454" s="143"/>
      <c r="IC454" s="143"/>
      <c r="ID454" s="143"/>
      <c r="IE454" s="143"/>
      <c r="IF454" s="143"/>
      <c r="IG454" s="143"/>
      <c r="IH454" s="143"/>
      <c r="II454" s="143"/>
      <c r="IJ454" s="143"/>
      <c r="IK454" s="143"/>
      <c r="IL454" s="143"/>
      <c r="IM454" s="143"/>
      <c r="IN454" s="143"/>
      <c r="IO454" s="143"/>
      <c r="IP454" s="143"/>
      <c r="IQ454" s="143"/>
      <c r="IR454" s="143"/>
      <c r="IS454" s="143"/>
      <c r="IT454" s="143"/>
      <c r="IU454" s="143"/>
      <c r="IV454" s="143"/>
      <c r="IW454" s="143"/>
      <c r="IX454" s="143"/>
      <c r="IY454" s="143"/>
      <c r="IZ454" s="143"/>
      <c r="JA454" s="143"/>
      <c r="JB454" s="143"/>
      <c r="JC454" s="143"/>
      <c r="JD454" s="143"/>
      <c r="JE454" s="143"/>
      <c r="JF454" s="143"/>
      <c r="JG454" s="143"/>
      <c r="JH454" s="143"/>
      <c r="JI454" s="143"/>
    </row>
    <row r="455" spans="1:269" outlineLevel="1">
      <c r="A455" s="525" t="s">
        <v>311</v>
      </c>
      <c r="B455" s="143"/>
      <c r="C455" s="277"/>
      <c r="D455" s="277"/>
      <c r="E455" s="277"/>
      <c r="F455" s="278"/>
      <c r="G455" s="278"/>
      <c r="H455" s="278"/>
      <c r="I455" s="278"/>
      <c r="J455" s="277"/>
      <c r="K455" s="278"/>
      <c r="L455" s="278"/>
      <c r="M455" s="278"/>
      <c r="N455" s="278"/>
      <c r="O455" s="277"/>
      <c r="P455" s="278"/>
      <c r="Q455" s="278"/>
      <c r="R455" s="278"/>
      <c r="S455" s="278"/>
      <c r="T455" s="277"/>
      <c r="U455" s="278"/>
      <c r="V455" s="278"/>
      <c r="W455" s="278"/>
      <c r="X455" s="278"/>
      <c r="Y455" s="277"/>
      <c r="Z455" s="278"/>
      <c r="AA455" s="278"/>
      <c r="AB455" s="278"/>
      <c r="AC455" s="278"/>
      <c r="AD455" s="536"/>
      <c r="AE455" s="278"/>
      <c r="AF455" s="278"/>
      <c r="AG455" s="287"/>
      <c r="AH455" s="287"/>
      <c r="AI455" s="499"/>
      <c r="AJ455" s="287"/>
      <c r="AK455" s="287"/>
      <c r="AL455" s="287"/>
      <c r="AM455" s="287"/>
      <c r="AN455" s="499"/>
      <c r="AO455" s="287"/>
      <c r="AP455" s="287"/>
      <c r="AQ455" s="287"/>
      <c r="AR455" s="287"/>
      <c r="AS455" s="499"/>
      <c r="AT455" s="315"/>
      <c r="AU455" s="508"/>
      <c r="AV455" s="143"/>
      <c r="AW455" s="143"/>
      <c r="AX455" s="143"/>
      <c r="AY455" s="143"/>
      <c r="AZ455" s="143"/>
      <c r="BA455" s="143"/>
      <c r="BB455" s="143"/>
      <c r="BC455" s="143"/>
      <c r="BD455" s="143"/>
      <c r="BE455" s="143"/>
      <c r="BF455" s="143"/>
      <c r="BG455" s="143"/>
      <c r="BH455" s="143"/>
      <c r="BI455" s="143"/>
      <c r="BJ455" s="143"/>
      <c r="BK455" s="143"/>
      <c r="BL455" s="143"/>
      <c r="BM455" s="143"/>
      <c r="BN455" s="143"/>
      <c r="BO455" s="143"/>
      <c r="BP455" s="143"/>
      <c r="BQ455" s="143"/>
      <c r="BR455" s="143"/>
      <c r="BS455" s="143"/>
      <c r="BT455" s="143"/>
      <c r="BU455" s="143"/>
      <c r="BV455" s="143"/>
      <c r="BW455" s="143"/>
      <c r="BX455" s="143"/>
      <c r="BY455" s="143"/>
      <c r="BZ455" s="143"/>
      <c r="CA455" s="143"/>
      <c r="CB455" s="143"/>
      <c r="CC455" s="143"/>
      <c r="CD455" s="143"/>
      <c r="CE455" s="143"/>
      <c r="CF455" s="143"/>
      <c r="CG455" s="143"/>
      <c r="CH455" s="143"/>
      <c r="CI455" s="143"/>
      <c r="CJ455" s="143"/>
      <c r="CK455" s="143"/>
      <c r="CL455" s="143"/>
      <c r="CM455" s="143"/>
      <c r="CN455" s="143"/>
      <c r="CO455" s="143"/>
      <c r="CP455" s="143"/>
      <c r="CQ455" s="143"/>
      <c r="CR455" s="143"/>
      <c r="CS455" s="143"/>
      <c r="CT455" s="143"/>
      <c r="CU455" s="143"/>
      <c r="CV455" s="143"/>
      <c r="CW455" s="143"/>
      <c r="CX455" s="143"/>
      <c r="CY455" s="143"/>
      <c r="CZ455" s="143"/>
      <c r="DA455" s="143"/>
      <c r="DB455" s="143"/>
      <c r="DC455" s="143"/>
      <c r="DD455" s="143"/>
      <c r="DE455" s="143"/>
      <c r="DF455" s="143"/>
      <c r="DG455" s="143"/>
      <c r="DH455" s="143"/>
      <c r="DI455" s="143"/>
      <c r="DJ455" s="143"/>
      <c r="DK455" s="143"/>
      <c r="DL455" s="143"/>
      <c r="DM455" s="143"/>
      <c r="DN455" s="143"/>
      <c r="DO455" s="143"/>
      <c r="DP455" s="143"/>
      <c r="DQ455" s="143"/>
      <c r="DR455" s="143"/>
      <c r="DS455" s="143"/>
      <c r="DT455" s="143"/>
      <c r="DU455" s="143"/>
      <c r="DV455" s="143"/>
      <c r="DW455" s="143"/>
      <c r="DX455" s="143"/>
      <c r="DY455" s="143"/>
      <c r="DZ455" s="143"/>
      <c r="EA455" s="143"/>
      <c r="EB455" s="143"/>
      <c r="EC455" s="143"/>
      <c r="ED455" s="143"/>
      <c r="EE455" s="143"/>
      <c r="EF455" s="143"/>
      <c r="EG455" s="143"/>
      <c r="EH455" s="143"/>
      <c r="EI455" s="143"/>
      <c r="EJ455" s="143"/>
      <c r="EK455" s="143"/>
      <c r="EL455" s="143"/>
      <c r="EM455" s="143"/>
      <c r="EN455" s="143"/>
      <c r="EO455" s="143"/>
      <c r="EP455" s="143"/>
      <c r="EQ455" s="143"/>
      <c r="ER455" s="143"/>
      <c r="ES455" s="143"/>
      <c r="ET455" s="143"/>
      <c r="EU455" s="143"/>
      <c r="EV455" s="143"/>
      <c r="EW455" s="143"/>
      <c r="EX455" s="143"/>
      <c r="EY455" s="143"/>
      <c r="EZ455" s="143"/>
      <c r="FA455" s="143"/>
      <c r="FB455" s="143"/>
      <c r="FC455" s="143"/>
      <c r="FD455" s="143"/>
      <c r="FE455" s="143"/>
      <c r="FF455" s="143"/>
      <c r="FG455" s="143"/>
      <c r="FH455" s="143"/>
      <c r="FI455" s="143"/>
      <c r="FJ455" s="143"/>
      <c r="FK455" s="143"/>
      <c r="FL455" s="143"/>
      <c r="FM455" s="143"/>
      <c r="FN455" s="143"/>
      <c r="FO455" s="143"/>
      <c r="FP455" s="143"/>
      <c r="FQ455" s="143"/>
      <c r="FR455" s="143"/>
      <c r="FS455" s="143"/>
      <c r="FT455" s="143"/>
      <c r="FU455" s="143"/>
      <c r="FV455" s="143"/>
      <c r="FW455" s="143"/>
      <c r="FX455" s="143"/>
      <c r="FY455" s="143"/>
      <c r="FZ455" s="143"/>
      <c r="GA455" s="143"/>
      <c r="GB455" s="143"/>
      <c r="GC455" s="143"/>
      <c r="GD455" s="143"/>
      <c r="GE455" s="143"/>
      <c r="GF455" s="143"/>
      <c r="GG455" s="143"/>
      <c r="GH455" s="143"/>
      <c r="GI455" s="143"/>
      <c r="GJ455" s="143"/>
      <c r="GK455" s="143"/>
      <c r="GL455" s="143"/>
      <c r="GM455" s="143"/>
      <c r="GN455" s="143"/>
      <c r="GO455" s="143"/>
      <c r="GP455" s="143"/>
      <c r="GQ455" s="143"/>
      <c r="GR455" s="143"/>
      <c r="GS455" s="143"/>
      <c r="GT455" s="143"/>
      <c r="GU455" s="143"/>
      <c r="GV455" s="143"/>
      <c r="GW455" s="143"/>
      <c r="GX455" s="143"/>
      <c r="GY455" s="143"/>
      <c r="GZ455" s="143"/>
      <c r="HA455" s="143"/>
      <c r="HB455" s="143"/>
      <c r="HC455" s="143"/>
      <c r="HD455" s="143"/>
      <c r="HE455" s="143"/>
      <c r="HF455" s="143"/>
      <c r="HG455" s="143"/>
      <c r="HH455" s="143"/>
      <c r="HI455" s="143"/>
      <c r="HJ455" s="143"/>
      <c r="HK455" s="143"/>
      <c r="HL455" s="143"/>
      <c r="HM455" s="143"/>
      <c r="HN455" s="143"/>
      <c r="HO455" s="143"/>
      <c r="HP455" s="143"/>
      <c r="HQ455" s="143"/>
      <c r="HR455" s="143"/>
      <c r="HS455" s="143"/>
      <c r="HT455" s="143"/>
      <c r="HU455" s="143"/>
      <c r="HV455" s="143"/>
      <c r="HW455" s="143"/>
      <c r="HX455" s="143"/>
      <c r="HY455" s="143"/>
      <c r="HZ455" s="143"/>
      <c r="IA455" s="143"/>
      <c r="IB455" s="143"/>
      <c r="IC455" s="143"/>
      <c r="ID455" s="143"/>
      <c r="IE455" s="143"/>
      <c r="IF455" s="143"/>
      <c r="IG455" s="143"/>
      <c r="IH455" s="143"/>
      <c r="II455" s="143"/>
      <c r="IJ455" s="143"/>
      <c r="IK455" s="143"/>
      <c r="IL455" s="143"/>
      <c r="IM455" s="143"/>
      <c r="IN455" s="143"/>
      <c r="IO455" s="143"/>
      <c r="IP455" s="143"/>
      <c r="IQ455" s="143"/>
      <c r="IR455" s="143"/>
      <c r="IS455" s="143"/>
      <c r="IT455" s="143"/>
      <c r="IU455" s="143"/>
      <c r="IV455" s="143"/>
      <c r="IW455" s="143"/>
      <c r="IX455" s="143"/>
      <c r="IY455" s="143"/>
      <c r="IZ455" s="143"/>
      <c r="JA455" s="143"/>
      <c r="JB455" s="143"/>
      <c r="JC455" s="143"/>
      <c r="JD455" s="143"/>
      <c r="JE455" s="143"/>
      <c r="JF455" s="143"/>
      <c r="JG455" s="143"/>
      <c r="JH455" s="143"/>
      <c r="JI455" s="143"/>
    </row>
    <row r="456" spans="1:269" outlineLevel="1">
      <c r="A456" s="92" t="s">
        <v>312</v>
      </c>
      <c r="B456" s="143"/>
      <c r="C456" s="277"/>
      <c r="D456" s="277"/>
      <c r="E456" s="277"/>
      <c r="F456" s="278"/>
      <c r="G456" s="278"/>
      <c r="H456" s="278"/>
      <c r="I456" s="278"/>
      <c r="J456" s="277"/>
      <c r="K456" s="278"/>
      <c r="L456" s="278"/>
      <c r="M456" s="278"/>
      <c r="N456" s="278"/>
      <c r="O456" s="277"/>
      <c r="P456" s="278"/>
      <c r="Q456" s="278"/>
      <c r="R456" s="278"/>
      <c r="S456" s="278"/>
      <c r="T456" s="277"/>
      <c r="U456" s="278"/>
      <c r="V456" s="278"/>
      <c r="W456" s="278"/>
      <c r="X456" s="278"/>
      <c r="Y456" s="277"/>
      <c r="Z456" s="278"/>
      <c r="AA456" s="278"/>
      <c r="AB456" s="278"/>
      <c r="AC456" s="278"/>
      <c r="AD456" s="536"/>
      <c r="AE456" s="278"/>
      <c r="AF456" s="278"/>
      <c r="AG456" s="287"/>
      <c r="AH456" s="287"/>
      <c r="AI456" s="499"/>
      <c r="AJ456" s="287"/>
      <c r="AK456" s="287"/>
      <c r="AL456" s="287"/>
      <c r="AM456" s="287"/>
      <c r="AN456" s="499"/>
      <c r="AO456" s="287"/>
      <c r="AP456" s="287"/>
      <c r="AQ456" s="287"/>
      <c r="AR456" s="287"/>
      <c r="AS456" s="499"/>
      <c r="AT456" s="315"/>
      <c r="AU456" s="508"/>
      <c r="AV456" s="143"/>
      <c r="AW456" s="143"/>
      <c r="AX456" s="143"/>
      <c r="AY456" s="143"/>
      <c r="AZ456" s="143"/>
      <c r="BA456" s="143"/>
      <c r="BB456" s="143"/>
      <c r="BC456" s="143"/>
      <c r="BD456" s="143"/>
      <c r="BE456" s="143"/>
      <c r="BF456" s="143"/>
      <c r="BG456" s="143"/>
      <c r="BH456" s="143"/>
      <c r="BI456" s="143"/>
      <c r="BJ456" s="143"/>
      <c r="BK456" s="143"/>
      <c r="BL456" s="143"/>
      <c r="BM456" s="143"/>
      <c r="BN456" s="143"/>
      <c r="BO456" s="143"/>
      <c r="BP456" s="143"/>
      <c r="BQ456" s="143"/>
      <c r="BR456" s="143"/>
      <c r="BS456" s="143"/>
      <c r="BT456" s="143"/>
      <c r="BU456" s="143"/>
      <c r="BV456" s="143"/>
      <c r="BW456" s="143"/>
      <c r="BX456" s="143"/>
      <c r="BY456" s="143"/>
      <c r="BZ456" s="143"/>
      <c r="CA456" s="143"/>
      <c r="CB456" s="143"/>
      <c r="CC456" s="143"/>
      <c r="CD456" s="143"/>
      <c r="CE456" s="143"/>
      <c r="CF456" s="143"/>
      <c r="CG456" s="143"/>
      <c r="CH456" s="143"/>
      <c r="CI456" s="143"/>
      <c r="CJ456" s="143"/>
      <c r="CK456" s="143"/>
      <c r="CL456" s="143"/>
      <c r="CM456" s="143"/>
      <c r="CN456" s="143"/>
      <c r="CO456" s="143"/>
      <c r="CP456" s="143"/>
      <c r="CQ456" s="143"/>
      <c r="CR456" s="143"/>
      <c r="CS456" s="143"/>
      <c r="CT456" s="143"/>
      <c r="CU456" s="143"/>
      <c r="CV456" s="143"/>
      <c r="CW456" s="143"/>
      <c r="CX456" s="143"/>
      <c r="CY456" s="143"/>
      <c r="CZ456" s="143"/>
      <c r="DA456" s="143"/>
      <c r="DB456" s="143"/>
      <c r="DC456" s="143"/>
      <c r="DD456" s="143"/>
      <c r="DE456" s="143"/>
      <c r="DF456" s="143"/>
      <c r="DG456" s="143"/>
      <c r="DH456" s="143"/>
      <c r="DI456" s="143"/>
      <c r="DJ456" s="143"/>
      <c r="DK456" s="143"/>
      <c r="DL456" s="143"/>
      <c r="DM456" s="143"/>
      <c r="DN456" s="143"/>
      <c r="DO456" s="143"/>
      <c r="DP456" s="143"/>
      <c r="DQ456" s="143"/>
      <c r="DR456" s="143"/>
      <c r="DS456" s="143"/>
      <c r="DT456" s="143"/>
      <c r="DU456" s="143"/>
      <c r="DV456" s="143"/>
      <c r="DW456" s="143"/>
      <c r="DX456" s="143"/>
      <c r="DY456" s="143"/>
      <c r="DZ456" s="143"/>
      <c r="EA456" s="143"/>
      <c r="EB456" s="143"/>
      <c r="EC456" s="143"/>
      <c r="ED456" s="143"/>
      <c r="EE456" s="143"/>
      <c r="EF456" s="143"/>
      <c r="EG456" s="143"/>
      <c r="EH456" s="143"/>
      <c r="EI456" s="143"/>
      <c r="EJ456" s="143"/>
      <c r="EK456" s="143"/>
      <c r="EL456" s="143"/>
      <c r="EM456" s="143"/>
      <c r="EN456" s="143"/>
      <c r="EO456" s="143"/>
      <c r="EP456" s="143"/>
      <c r="EQ456" s="143"/>
      <c r="ER456" s="143"/>
      <c r="ES456" s="143"/>
      <c r="ET456" s="143"/>
      <c r="EU456" s="143"/>
      <c r="EV456" s="143"/>
      <c r="EW456" s="143"/>
      <c r="EX456" s="143"/>
      <c r="EY456" s="143"/>
      <c r="EZ456" s="143"/>
      <c r="FA456" s="143"/>
      <c r="FB456" s="143"/>
      <c r="FC456" s="143"/>
      <c r="FD456" s="143"/>
      <c r="FE456" s="143"/>
      <c r="FF456" s="143"/>
      <c r="FG456" s="143"/>
      <c r="FH456" s="143"/>
      <c r="FI456" s="143"/>
      <c r="FJ456" s="143"/>
      <c r="FK456" s="143"/>
      <c r="FL456" s="143"/>
      <c r="FM456" s="143"/>
      <c r="FN456" s="143"/>
      <c r="FO456" s="143"/>
      <c r="FP456" s="143"/>
      <c r="FQ456" s="143"/>
      <c r="FR456" s="143"/>
      <c r="FS456" s="143"/>
      <c r="FT456" s="143"/>
      <c r="FU456" s="143"/>
      <c r="FV456" s="143"/>
      <c r="FW456" s="143"/>
      <c r="FX456" s="143"/>
      <c r="FY456" s="143"/>
      <c r="FZ456" s="143"/>
      <c r="GA456" s="143"/>
      <c r="GB456" s="143"/>
      <c r="GC456" s="143"/>
      <c r="GD456" s="143"/>
      <c r="GE456" s="143"/>
      <c r="GF456" s="143"/>
      <c r="GG456" s="143"/>
      <c r="GH456" s="143"/>
      <c r="GI456" s="143"/>
      <c r="GJ456" s="143"/>
      <c r="GK456" s="143"/>
      <c r="GL456" s="143"/>
      <c r="GM456" s="143"/>
      <c r="GN456" s="143"/>
      <c r="GO456" s="143"/>
      <c r="GP456" s="143"/>
      <c r="GQ456" s="143"/>
      <c r="GR456" s="143"/>
      <c r="GS456" s="143"/>
      <c r="GT456" s="143"/>
      <c r="GU456" s="143"/>
      <c r="GV456" s="143"/>
      <c r="GW456" s="143"/>
      <c r="GX456" s="143"/>
      <c r="GY456" s="143"/>
      <c r="GZ456" s="143"/>
      <c r="HA456" s="143"/>
      <c r="HB456" s="143"/>
      <c r="HC456" s="143"/>
      <c r="HD456" s="143"/>
      <c r="HE456" s="143"/>
      <c r="HF456" s="143"/>
      <c r="HG456" s="143"/>
      <c r="HH456" s="143"/>
      <c r="HI456" s="143"/>
      <c r="HJ456" s="143"/>
      <c r="HK456" s="143"/>
      <c r="HL456" s="143"/>
      <c r="HM456" s="143"/>
      <c r="HN456" s="143"/>
      <c r="HO456" s="143"/>
      <c r="HP456" s="143"/>
      <c r="HQ456" s="143"/>
      <c r="HR456" s="143"/>
      <c r="HS456" s="143"/>
      <c r="HT456" s="143"/>
      <c r="HU456" s="143"/>
      <c r="HV456" s="143"/>
      <c r="HW456" s="143"/>
      <c r="HX456" s="143"/>
      <c r="HY456" s="143"/>
      <c r="HZ456" s="143"/>
      <c r="IA456" s="143"/>
      <c r="IB456" s="143"/>
      <c r="IC456" s="143"/>
      <c r="ID456" s="143"/>
      <c r="IE456" s="143"/>
      <c r="IF456" s="143"/>
      <c r="IG456" s="143"/>
      <c r="IH456" s="143"/>
      <c r="II456" s="143"/>
      <c r="IJ456" s="143"/>
      <c r="IK456" s="143"/>
      <c r="IL456" s="143"/>
      <c r="IM456" s="143"/>
      <c r="IN456" s="143"/>
      <c r="IO456" s="143"/>
      <c r="IP456" s="143"/>
      <c r="IQ456" s="143"/>
      <c r="IR456" s="143"/>
      <c r="IS456" s="143"/>
      <c r="IT456" s="143"/>
      <c r="IU456" s="143"/>
      <c r="IV456" s="143"/>
      <c r="IW456" s="143"/>
      <c r="IX456" s="143"/>
      <c r="IY456" s="143"/>
      <c r="IZ456" s="143"/>
      <c r="JA456" s="143"/>
      <c r="JB456" s="143"/>
      <c r="JC456" s="143"/>
      <c r="JD456" s="143"/>
      <c r="JE456" s="143"/>
      <c r="JF456" s="143"/>
      <c r="JG456" s="143"/>
      <c r="JH456" s="143"/>
      <c r="JI456" s="143"/>
    </row>
    <row r="457" spans="1:269" s="313" customFormat="1" outlineLevel="1">
      <c r="A457" s="92" t="s">
        <v>281</v>
      </c>
      <c r="C457" s="277"/>
      <c r="D457" s="277"/>
      <c r="E457" s="277"/>
      <c r="F457" s="284"/>
      <c r="G457" s="284"/>
      <c r="H457" s="284"/>
      <c r="I457" s="278">
        <v>18485</v>
      </c>
      <c r="J457" s="277"/>
      <c r="K457" s="284"/>
      <c r="L457" s="284"/>
      <c r="M457" s="284"/>
      <c r="N457" s="278">
        <v>18485</v>
      </c>
      <c r="O457" s="277">
        <v>18485</v>
      </c>
      <c r="P457" s="278"/>
      <c r="Q457" s="278">
        <v>17328</v>
      </c>
      <c r="R457" s="278">
        <v>18118</v>
      </c>
      <c r="S457" s="278">
        <v>29049</v>
      </c>
      <c r="T457" s="277">
        <v>29049</v>
      </c>
      <c r="U457" s="278">
        <v>26962</v>
      </c>
      <c r="V457" s="278">
        <v>36830</v>
      </c>
      <c r="W457" s="278">
        <v>32576</v>
      </c>
      <c r="X457" s="278">
        <v>28467</v>
      </c>
      <c r="Y457" s="277">
        <v>28467</v>
      </c>
      <c r="Z457" s="278">
        <v>34330</v>
      </c>
      <c r="AA457" s="278">
        <v>29379</v>
      </c>
      <c r="AB457" s="278">
        <v>35883</v>
      </c>
      <c r="AC457" s="284">
        <f>(AC493/AC7)*AC161*1000</f>
        <v>9233.5579669864892</v>
      </c>
      <c r="AD457" s="285">
        <f>AC457</f>
        <v>9233.5579669864892</v>
      </c>
      <c r="AE457" s="284">
        <f>(AE493/AE7)*AE161*1000</f>
        <v>9207.2737104047756</v>
      </c>
      <c r="AF457" s="284">
        <f>(AF493/AF7)*AF161*1000</f>
        <v>11833.989271339793</v>
      </c>
      <c r="AG457" s="284">
        <f>(AG493/AG7)*AG161*1000</f>
        <v>17490.656289493159</v>
      </c>
      <c r="AH457" s="284">
        <f>(AH493/AH7)*AH161*1000</f>
        <v>21269.079707665893</v>
      </c>
      <c r="AI457" s="285">
        <f>AH457</f>
        <v>21269.079707665893</v>
      </c>
      <c r="AJ457" s="284">
        <f>(AJ493/AJ7)*AJ161*1000</f>
        <v>21831.574825419117</v>
      </c>
      <c r="AK457" s="284">
        <f>(AK493/AK7)*AK161*1000</f>
        <v>26093.17290344572</v>
      </c>
      <c r="AL457" s="284">
        <f>(AL493/AL7)*AL161*1000</f>
        <v>26460.619419200491</v>
      </c>
      <c r="AM457" s="284">
        <f>(AM493/AM7)*AM161*1000</f>
        <v>27911.640786259188</v>
      </c>
      <c r="AN457" s="285">
        <f>AM457</f>
        <v>27911.640786259188</v>
      </c>
      <c r="AO457" s="284">
        <f>(AO493/AO7)*AO161*1000</f>
        <v>26125.288465271136</v>
      </c>
      <c r="AP457" s="284">
        <f>(AP493/AP7)*AP161*1000</f>
        <v>29839.337246929757</v>
      </c>
      <c r="AQ457" s="284">
        <f>(AQ493/AQ7)*AQ161*1000</f>
        <v>28994.779981964057</v>
      </c>
      <c r="AR457" s="284">
        <f>(AR493/AR7)*AR161*1000</f>
        <v>33820.197409821521</v>
      </c>
      <c r="AS457" s="285">
        <f>AR457</f>
        <v>33820.197409821521</v>
      </c>
      <c r="AT457" s="596"/>
      <c r="AU457" s="547"/>
    </row>
    <row r="458" spans="1:269" outlineLevel="1">
      <c r="A458" s="91" t="s">
        <v>313</v>
      </c>
      <c r="B458" s="143"/>
      <c r="C458" s="277"/>
      <c r="D458" s="277"/>
      <c r="E458" s="277"/>
      <c r="F458" s="143"/>
      <c r="G458" s="143"/>
      <c r="H458" s="143"/>
      <c r="I458" s="278">
        <v>9475</v>
      </c>
      <c r="J458" s="277"/>
      <c r="K458" s="143"/>
      <c r="L458" s="143"/>
      <c r="M458" s="143"/>
      <c r="N458" s="278">
        <v>9475</v>
      </c>
      <c r="O458" s="277">
        <v>9475</v>
      </c>
      <c r="P458" s="278"/>
      <c r="Q458" s="278">
        <v>18327</v>
      </c>
      <c r="R458" s="278">
        <v>21274</v>
      </c>
      <c r="S458" s="278">
        <v>28662</v>
      </c>
      <c r="T458" s="277">
        <v>28662</v>
      </c>
      <c r="U458" s="278">
        <v>21383</v>
      </c>
      <c r="V458" s="278">
        <v>27786</v>
      </c>
      <c r="W458" s="278">
        <v>20650</v>
      </c>
      <c r="X458" s="278">
        <v>21677</v>
      </c>
      <c r="Y458" s="277">
        <v>21677</v>
      </c>
      <c r="Z458" s="278">
        <v>18722</v>
      </c>
      <c r="AA458" s="278">
        <v>26154</v>
      </c>
      <c r="AB458" s="278">
        <v>20752</v>
      </c>
      <c r="AC458" s="287">
        <f>AB458</f>
        <v>20752</v>
      </c>
      <c r="AD458" s="499">
        <f t="shared" ref="AD458:AS462" si="969">AC458</f>
        <v>20752</v>
      </c>
      <c r="AE458" s="287">
        <f t="shared" si="969"/>
        <v>20752</v>
      </c>
      <c r="AF458" s="287">
        <f t="shared" si="969"/>
        <v>20752</v>
      </c>
      <c r="AG458" s="287">
        <f t="shared" si="969"/>
        <v>20752</v>
      </c>
      <c r="AH458" s="287">
        <f t="shared" si="969"/>
        <v>20752</v>
      </c>
      <c r="AI458" s="499">
        <f t="shared" si="969"/>
        <v>20752</v>
      </c>
      <c r="AJ458" s="287">
        <f t="shared" si="969"/>
        <v>20752</v>
      </c>
      <c r="AK458" s="287">
        <f t="shared" si="969"/>
        <v>20752</v>
      </c>
      <c r="AL458" s="287">
        <f t="shared" si="969"/>
        <v>20752</v>
      </c>
      <c r="AM458" s="287">
        <f t="shared" si="969"/>
        <v>20752</v>
      </c>
      <c r="AN458" s="499">
        <f t="shared" si="969"/>
        <v>20752</v>
      </c>
      <c r="AO458" s="287">
        <f t="shared" si="969"/>
        <v>20752</v>
      </c>
      <c r="AP458" s="287">
        <f t="shared" si="969"/>
        <v>20752</v>
      </c>
      <c r="AQ458" s="287">
        <f t="shared" si="969"/>
        <v>20752</v>
      </c>
      <c r="AR458" s="287">
        <f t="shared" si="969"/>
        <v>20752</v>
      </c>
      <c r="AS458" s="499">
        <f t="shared" si="969"/>
        <v>20752</v>
      </c>
      <c r="AT458" s="315"/>
      <c r="AU458" s="508"/>
      <c r="AV458" s="143"/>
      <c r="AW458" s="143"/>
      <c r="AX458" s="143"/>
      <c r="AY458" s="143"/>
      <c r="AZ458" s="143"/>
      <c r="BA458" s="143"/>
      <c r="BB458" s="143"/>
      <c r="BC458" s="143"/>
      <c r="BD458" s="143"/>
      <c r="BE458" s="143"/>
      <c r="BF458" s="143"/>
      <c r="BG458" s="143"/>
      <c r="BH458" s="143"/>
      <c r="BI458" s="143"/>
      <c r="BJ458" s="143"/>
      <c r="BK458" s="143"/>
      <c r="BL458" s="143"/>
      <c r="BM458" s="143"/>
      <c r="BN458" s="143"/>
      <c r="BO458" s="143"/>
      <c r="BP458" s="143"/>
      <c r="BQ458" s="143"/>
      <c r="BR458" s="143"/>
      <c r="BS458" s="143"/>
      <c r="BT458" s="143"/>
      <c r="BU458" s="143"/>
      <c r="BV458" s="143"/>
      <c r="BW458" s="143"/>
      <c r="BX458" s="143"/>
      <c r="BY458" s="143"/>
      <c r="BZ458" s="143"/>
      <c r="CA458" s="143"/>
      <c r="CB458" s="143"/>
      <c r="CC458" s="143"/>
      <c r="CD458" s="143"/>
      <c r="CE458" s="143"/>
      <c r="CF458" s="143"/>
      <c r="CG458" s="143"/>
      <c r="CH458" s="143"/>
      <c r="CI458" s="143"/>
      <c r="CJ458" s="143"/>
      <c r="CK458" s="143"/>
      <c r="CL458" s="143"/>
      <c r="CM458" s="143"/>
      <c r="CN458" s="143"/>
      <c r="CO458" s="143"/>
      <c r="CP458" s="143"/>
      <c r="CQ458" s="143"/>
      <c r="CR458" s="143"/>
      <c r="CS458" s="143"/>
      <c r="CT458" s="143"/>
      <c r="CU458" s="143"/>
      <c r="CV458" s="143"/>
      <c r="CW458" s="143"/>
      <c r="CX458" s="143"/>
      <c r="CY458" s="143"/>
      <c r="CZ458" s="143"/>
      <c r="DA458" s="143"/>
      <c r="DB458" s="143"/>
      <c r="DC458" s="143"/>
      <c r="DD458" s="143"/>
      <c r="DE458" s="143"/>
      <c r="DF458" s="143"/>
      <c r="DG458" s="143"/>
      <c r="DH458" s="143"/>
      <c r="DI458" s="143"/>
      <c r="DJ458" s="143"/>
      <c r="DK458" s="143"/>
      <c r="DL458" s="143"/>
      <c r="DM458" s="143"/>
      <c r="DN458" s="143"/>
      <c r="DO458" s="143"/>
      <c r="DP458" s="143"/>
      <c r="DQ458" s="143"/>
      <c r="DR458" s="143"/>
      <c r="DS458" s="143"/>
      <c r="DT458" s="143"/>
      <c r="DU458" s="143"/>
      <c r="DV458" s="143"/>
      <c r="DW458" s="143"/>
      <c r="DX458" s="143"/>
      <c r="DY458" s="143"/>
      <c r="DZ458" s="143"/>
      <c r="EA458" s="143"/>
      <c r="EB458" s="143"/>
      <c r="EC458" s="143"/>
      <c r="ED458" s="143"/>
      <c r="EE458" s="143"/>
      <c r="EF458" s="143"/>
      <c r="EG458" s="143"/>
      <c r="EH458" s="143"/>
      <c r="EI458" s="143"/>
      <c r="EJ458" s="143"/>
      <c r="EK458" s="143"/>
      <c r="EL458" s="143"/>
      <c r="EM458" s="143"/>
      <c r="EN458" s="143"/>
      <c r="EO458" s="143"/>
      <c r="EP458" s="143"/>
      <c r="EQ458" s="143"/>
      <c r="ER458" s="143"/>
      <c r="ES458" s="143"/>
      <c r="ET458" s="143"/>
      <c r="EU458" s="143"/>
      <c r="EV458" s="143"/>
      <c r="EW458" s="143"/>
      <c r="EX458" s="143"/>
      <c r="EY458" s="143"/>
      <c r="EZ458" s="143"/>
      <c r="FA458" s="143"/>
      <c r="FB458" s="143"/>
      <c r="FC458" s="143"/>
      <c r="FD458" s="143"/>
      <c r="FE458" s="143"/>
      <c r="FF458" s="143"/>
      <c r="FG458" s="143"/>
      <c r="FH458" s="143"/>
      <c r="FI458" s="143"/>
      <c r="FJ458" s="143"/>
      <c r="FK458" s="143"/>
      <c r="FL458" s="143"/>
      <c r="FM458" s="143"/>
      <c r="FN458" s="143"/>
      <c r="FO458" s="143"/>
      <c r="FP458" s="143"/>
      <c r="FQ458" s="143"/>
      <c r="FR458" s="143"/>
      <c r="FS458" s="143"/>
      <c r="FT458" s="143"/>
      <c r="FU458" s="143"/>
      <c r="FV458" s="143"/>
      <c r="FW458" s="143"/>
      <c r="FX458" s="143"/>
      <c r="FY458" s="143"/>
      <c r="FZ458" s="143"/>
      <c r="GA458" s="143"/>
      <c r="GB458" s="143"/>
      <c r="GC458" s="143"/>
      <c r="GD458" s="143"/>
      <c r="GE458" s="143"/>
      <c r="GF458" s="143"/>
      <c r="GG458" s="143"/>
      <c r="GH458" s="143"/>
      <c r="GI458" s="143"/>
      <c r="GJ458" s="143"/>
      <c r="GK458" s="143"/>
      <c r="GL458" s="143"/>
      <c r="GM458" s="143"/>
      <c r="GN458" s="143"/>
      <c r="GO458" s="143"/>
      <c r="GP458" s="143"/>
      <c r="GQ458" s="143"/>
      <c r="GR458" s="143"/>
      <c r="GS458" s="143"/>
      <c r="GT458" s="143"/>
      <c r="GU458" s="143"/>
      <c r="GV458" s="143"/>
      <c r="GW458" s="143"/>
      <c r="GX458" s="143"/>
      <c r="GY458" s="143"/>
      <c r="GZ458" s="143"/>
      <c r="HA458" s="143"/>
      <c r="HB458" s="143"/>
      <c r="HC458" s="143"/>
      <c r="HD458" s="143"/>
      <c r="HE458" s="143"/>
      <c r="HF458" s="143"/>
      <c r="HG458" s="143"/>
      <c r="HH458" s="143"/>
      <c r="HI458" s="143"/>
      <c r="HJ458" s="143"/>
      <c r="HK458" s="143"/>
      <c r="HL458" s="143"/>
      <c r="HM458" s="143"/>
      <c r="HN458" s="143"/>
      <c r="HO458" s="143"/>
      <c r="HP458" s="143"/>
      <c r="HQ458" s="143"/>
      <c r="HR458" s="143"/>
      <c r="HS458" s="143"/>
      <c r="HT458" s="143"/>
      <c r="HU458" s="143"/>
      <c r="HV458" s="143"/>
      <c r="HW458" s="143"/>
      <c r="HX458" s="143"/>
      <c r="HY458" s="143"/>
      <c r="HZ458" s="143"/>
      <c r="IA458" s="143"/>
      <c r="IB458" s="143"/>
      <c r="IC458" s="143"/>
      <c r="ID458" s="143"/>
      <c r="IE458" s="143"/>
      <c r="IF458" s="143"/>
      <c r="IG458" s="143"/>
      <c r="IH458" s="143"/>
      <c r="II458" s="143"/>
      <c r="IJ458" s="143"/>
      <c r="IK458" s="143"/>
      <c r="IL458" s="143"/>
      <c r="IM458" s="143"/>
      <c r="IN458" s="143"/>
      <c r="IO458" s="143"/>
      <c r="IP458" s="143"/>
      <c r="IQ458" s="143"/>
      <c r="IR458" s="143"/>
      <c r="IS458" s="143"/>
      <c r="IT458" s="143"/>
      <c r="IU458" s="143"/>
      <c r="IV458" s="143"/>
      <c r="IW458" s="143"/>
      <c r="IX458" s="143"/>
      <c r="IY458" s="143"/>
      <c r="IZ458" s="143"/>
      <c r="JA458" s="143"/>
      <c r="JB458" s="143"/>
      <c r="JC458" s="143"/>
      <c r="JD458" s="143"/>
      <c r="JE458" s="143"/>
      <c r="JF458" s="143"/>
      <c r="JG458" s="143"/>
      <c r="JH458" s="143"/>
      <c r="JI458" s="143"/>
    </row>
    <row r="459" spans="1:269" outlineLevel="1">
      <c r="A459" s="435" t="s">
        <v>314</v>
      </c>
      <c r="B459" s="143"/>
      <c r="C459" s="277"/>
      <c r="D459" s="277"/>
      <c r="E459" s="277"/>
      <c r="F459" s="278"/>
      <c r="G459" s="278"/>
      <c r="H459" s="278"/>
      <c r="I459" s="278"/>
      <c r="J459" s="277"/>
      <c r="K459" s="278"/>
      <c r="L459" s="278"/>
      <c r="M459" s="278"/>
      <c r="N459" s="278"/>
      <c r="O459" s="277"/>
      <c r="P459" s="278"/>
      <c r="Q459" s="278"/>
      <c r="R459" s="278"/>
      <c r="S459" s="278"/>
      <c r="T459" s="277"/>
      <c r="U459" s="278"/>
      <c r="V459" s="278"/>
      <c r="W459" s="278"/>
      <c r="X459" s="278">
        <v>0</v>
      </c>
      <c r="Y459" s="277">
        <v>0</v>
      </c>
      <c r="Z459" s="278"/>
      <c r="AA459" s="278"/>
      <c r="AB459" s="278">
        <v>32052</v>
      </c>
      <c r="AC459" s="287">
        <f>AB459</f>
        <v>32052</v>
      </c>
      <c r="AD459" s="499">
        <f t="shared" si="969"/>
        <v>32052</v>
      </c>
      <c r="AE459" s="287">
        <f t="shared" si="969"/>
        <v>32052</v>
      </c>
      <c r="AF459" s="287">
        <f t="shared" si="969"/>
        <v>32052</v>
      </c>
      <c r="AG459" s="287">
        <f t="shared" si="969"/>
        <v>32052</v>
      </c>
      <c r="AH459" s="287">
        <f t="shared" si="969"/>
        <v>32052</v>
      </c>
      <c r="AI459" s="499">
        <f t="shared" si="969"/>
        <v>32052</v>
      </c>
      <c r="AJ459" s="287">
        <f t="shared" si="969"/>
        <v>32052</v>
      </c>
      <c r="AK459" s="287">
        <f t="shared" si="969"/>
        <v>32052</v>
      </c>
      <c r="AL459" s="287">
        <f t="shared" si="969"/>
        <v>32052</v>
      </c>
      <c r="AM459" s="287">
        <f t="shared" si="969"/>
        <v>32052</v>
      </c>
      <c r="AN459" s="499">
        <f t="shared" si="969"/>
        <v>32052</v>
      </c>
      <c r="AO459" s="287">
        <f t="shared" si="969"/>
        <v>32052</v>
      </c>
      <c r="AP459" s="287">
        <f t="shared" si="969"/>
        <v>32052</v>
      </c>
      <c r="AQ459" s="287">
        <f t="shared" si="969"/>
        <v>32052</v>
      </c>
      <c r="AR459" s="287">
        <f t="shared" si="969"/>
        <v>32052</v>
      </c>
      <c r="AS459" s="499">
        <f t="shared" si="969"/>
        <v>32052</v>
      </c>
      <c r="AT459" s="315"/>
      <c r="AU459" s="508"/>
      <c r="AV459" s="143"/>
      <c r="AW459" s="143"/>
      <c r="AX459" s="143"/>
      <c r="AY459" s="143"/>
      <c r="AZ459" s="143"/>
      <c r="BA459" s="143"/>
      <c r="BB459" s="143"/>
      <c r="BC459" s="143"/>
      <c r="BD459" s="143"/>
      <c r="BE459" s="143"/>
      <c r="BF459" s="143"/>
      <c r="BG459" s="143"/>
      <c r="BH459" s="143"/>
      <c r="BI459" s="143"/>
      <c r="BJ459" s="143"/>
      <c r="BK459" s="143"/>
      <c r="BL459" s="143"/>
      <c r="BM459" s="143"/>
      <c r="BN459" s="143"/>
      <c r="BO459" s="143"/>
      <c r="BP459" s="143"/>
      <c r="BQ459" s="143"/>
      <c r="BR459" s="143"/>
      <c r="BS459" s="143"/>
      <c r="BT459" s="143"/>
      <c r="BU459" s="143"/>
      <c r="BV459" s="143"/>
      <c r="BW459" s="143"/>
      <c r="BX459" s="143"/>
      <c r="BY459" s="143"/>
      <c r="BZ459" s="143"/>
      <c r="CA459" s="143"/>
      <c r="CB459" s="143"/>
      <c r="CC459" s="143"/>
      <c r="CD459" s="143"/>
      <c r="CE459" s="143"/>
      <c r="CF459" s="143"/>
      <c r="CG459" s="143"/>
      <c r="CH459" s="143"/>
      <c r="CI459" s="143"/>
      <c r="CJ459" s="143"/>
      <c r="CK459" s="143"/>
      <c r="CL459" s="143"/>
      <c r="CM459" s="143"/>
      <c r="CN459" s="143"/>
      <c r="CO459" s="143"/>
      <c r="CP459" s="143"/>
      <c r="CQ459" s="143"/>
      <c r="CR459" s="143"/>
      <c r="CS459" s="143"/>
      <c r="CT459" s="143"/>
      <c r="CU459" s="143"/>
      <c r="CV459" s="143"/>
      <c r="CW459" s="143"/>
      <c r="CX459" s="143"/>
      <c r="CY459" s="143"/>
      <c r="CZ459" s="143"/>
      <c r="DA459" s="143"/>
      <c r="DB459" s="143"/>
      <c r="DC459" s="143"/>
      <c r="DD459" s="143"/>
      <c r="DE459" s="143"/>
      <c r="DF459" s="143"/>
      <c r="DG459" s="143"/>
      <c r="DH459" s="143"/>
      <c r="DI459" s="143"/>
      <c r="DJ459" s="143"/>
      <c r="DK459" s="143"/>
      <c r="DL459" s="143"/>
      <c r="DM459" s="143"/>
      <c r="DN459" s="143"/>
      <c r="DO459" s="143"/>
      <c r="DP459" s="143"/>
      <c r="DQ459" s="143"/>
      <c r="DR459" s="143"/>
      <c r="DS459" s="143"/>
      <c r="DT459" s="143"/>
      <c r="DU459" s="143"/>
      <c r="DV459" s="143"/>
      <c r="DW459" s="143"/>
      <c r="DX459" s="143"/>
      <c r="DY459" s="143"/>
      <c r="DZ459" s="143"/>
      <c r="EA459" s="143"/>
      <c r="EB459" s="143"/>
      <c r="EC459" s="143"/>
      <c r="ED459" s="143"/>
      <c r="EE459" s="143"/>
      <c r="EF459" s="143"/>
      <c r="EG459" s="143"/>
      <c r="EH459" s="143"/>
      <c r="EI459" s="143"/>
      <c r="EJ459" s="143"/>
      <c r="EK459" s="143"/>
      <c r="EL459" s="143"/>
      <c r="EM459" s="143"/>
      <c r="EN459" s="143"/>
      <c r="EO459" s="143"/>
      <c r="EP459" s="143"/>
      <c r="EQ459" s="143"/>
      <c r="ER459" s="143"/>
      <c r="ES459" s="143"/>
      <c r="ET459" s="143"/>
      <c r="EU459" s="143"/>
      <c r="EV459" s="143"/>
      <c r="EW459" s="143"/>
      <c r="EX459" s="143"/>
      <c r="EY459" s="143"/>
      <c r="EZ459" s="143"/>
      <c r="FA459" s="143"/>
      <c r="FB459" s="143"/>
      <c r="FC459" s="143"/>
      <c r="FD459" s="143"/>
      <c r="FE459" s="143"/>
      <c r="FF459" s="143"/>
      <c r="FG459" s="143"/>
      <c r="FH459" s="143"/>
      <c r="FI459" s="143"/>
      <c r="FJ459" s="143"/>
      <c r="FK459" s="143"/>
      <c r="FL459" s="143"/>
      <c r="FM459" s="143"/>
      <c r="FN459" s="143"/>
      <c r="FO459" s="143"/>
      <c r="FP459" s="143"/>
      <c r="FQ459" s="143"/>
      <c r="FR459" s="143"/>
      <c r="FS459" s="143"/>
      <c r="FT459" s="143"/>
      <c r="FU459" s="143"/>
      <c r="FV459" s="143"/>
      <c r="FW459" s="143"/>
      <c r="FX459" s="143"/>
      <c r="FY459" s="143"/>
      <c r="FZ459" s="143"/>
      <c r="GA459" s="143"/>
      <c r="GB459" s="143"/>
      <c r="GC459" s="143"/>
      <c r="GD459" s="143"/>
      <c r="GE459" s="143"/>
      <c r="GF459" s="143"/>
      <c r="GG459" s="143"/>
      <c r="GH459" s="143"/>
      <c r="GI459" s="143"/>
      <c r="GJ459" s="143"/>
      <c r="GK459" s="143"/>
      <c r="GL459" s="143"/>
      <c r="GM459" s="143"/>
      <c r="GN459" s="143"/>
      <c r="GO459" s="143"/>
      <c r="GP459" s="143"/>
      <c r="GQ459" s="143"/>
      <c r="GR459" s="143"/>
      <c r="GS459" s="143"/>
      <c r="GT459" s="143"/>
      <c r="GU459" s="143"/>
      <c r="GV459" s="143"/>
      <c r="GW459" s="143"/>
      <c r="GX459" s="143"/>
      <c r="GY459" s="143"/>
      <c r="GZ459" s="143"/>
      <c r="HA459" s="143"/>
      <c r="HB459" s="143"/>
      <c r="HC459" s="143"/>
      <c r="HD459" s="143"/>
      <c r="HE459" s="143"/>
      <c r="HF459" s="143"/>
      <c r="HG459" s="143"/>
      <c r="HH459" s="143"/>
      <c r="HI459" s="143"/>
      <c r="HJ459" s="143"/>
      <c r="HK459" s="143"/>
      <c r="HL459" s="143"/>
      <c r="HM459" s="143"/>
      <c r="HN459" s="143"/>
      <c r="HO459" s="143"/>
      <c r="HP459" s="143"/>
      <c r="HQ459" s="143"/>
      <c r="HR459" s="143"/>
      <c r="HS459" s="143"/>
      <c r="HT459" s="143"/>
      <c r="HU459" s="143"/>
      <c r="HV459" s="143"/>
      <c r="HW459" s="143"/>
      <c r="HX459" s="143"/>
      <c r="HY459" s="143"/>
      <c r="HZ459" s="143"/>
      <c r="IA459" s="143"/>
      <c r="IB459" s="143"/>
      <c r="IC459" s="143"/>
      <c r="ID459" s="143"/>
      <c r="IE459" s="143"/>
      <c r="IF459" s="143"/>
      <c r="IG459" s="143"/>
      <c r="IH459" s="143"/>
      <c r="II459" s="143"/>
      <c r="IJ459" s="143"/>
      <c r="IK459" s="143"/>
      <c r="IL459" s="143"/>
      <c r="IM459" s="143"/>
      <c r="IN459" s="143"/>
      <c r="IO459" s="143"/>
      <c r="IP459" s="143"/>
      <c r="IQ459" s="143"/>
      <c r="IR459" s="143"/>
      <c r="IS459" s="143"/>
      <c r="IT459" s="143"/>
      <c r="IU459" s="143"/>
      <c r="IV459" s="143"/>
      <c r="IW459" s="143"/>
      <c r="IX459" s="143"/>
      <c r="IY459" s="143"/>
      <c r="IZ459" s="143"/>
      <c r="JA459" s="143"/>
      <c r="JB459" s="143"/>
      <c r="JC459" s="143"/>
      <c r="JD459" s="143"/>
      <c r="JE459" s="143"/>
      <c r="JF459" s="143"/>
      <c r="JG459" s="143"/>
      <c r="JH459" s="143"/>
      <c r="JI459" s="143"/>
    </row>
    <row r="460" spans="1:269" outlineLevel="1">
      <c r="A460" s="435" t="s">
        <v>315</v>
      </c>
      <c r="B460" s="143"/>
      <c r="C460" s="277"/>
      <c r="D460" s="277"/>
      <c r="E460" s="277"/>
      <c r="F460" s="278"/>
      <c r="G460" s="278"/>
      <c r="H460" s="278"/>
      <c r="I460" s="278">
        <v>2458</v>
      </c>
      <c r="J460" s="277"/>
      <c r="K460" s="278"/>
      <c r="L460" s="278"/>
      <c r="M460" s="278"/>
      <c r="N460" s="278">
        <v>2458</v>
      </c>
      <c r="O460" s="277">
        <v>2458</v>
      </c>
      <c r="P460" s="278"/>
      <c r="Q460" s="278">
        <v>3073</v>
      </c>
      <c r="R460" s="278">
        <v>7896</v>
      </c>
      <c r="S460" s="278">
        <v>14722</v>
      </c>
      <c r="T460" s="277">
        <v>14722</v>
      </c>
      <c r="U460" s="278">
        <v>12419</v>
      </c>
      <c r="V460" s="278">
        <v>15385</v>
      </c>
      <c r="W460" s="278">
        <v>17111</v>
      </c>
      <c r="X460" s="278">
        <v>15183</v>
      </c>
      <c r="Y460" s="277">
        <v>15183</v>
      </c>
      <c r="Z460" s="278">
        <v>13149</v>
      </c>
      <c r="AA460" s="278">
        <v>19145</v>
      </c>
      <c r="AB460" s="278">
        <v>30491</v>
      </c>
      <c r="AC460" s="287">
        <f>AB460</f>
        <v>30491</v>
      </c>
      <c r="AD460" s="499">
        <f t="shared" si="969"/>
        <v>30491</v>
      </c>
      <c r="AE460" s="287">
        <f t="shared" si="969"/>
        <v>30491</v>
      </c>
      <c r="AF460" s="287">
        <f t="shared" si="969"/>
        <v>30491</v>
      </c>
      <c r="AG460" s="287">
        <f t="shared" si="969"/>
        <v>30491</v>
      </c>
      <c r="AH460" s="287">
        <f t="shared" si="969"/>
        <v>30491</v>
      </c>
      <c r="AI460" s="499">
        <f t="shared" si="969"/>
        <v>30491</v>
      </c>
      <c r="AJ460" s="287">
        <f t="shared" si="969"/>
        <v>30491</v>
      </c>
      <c r="AK460" s="287">
        <f t="shared" si="969"/>
        <v>30491</v>
      </c>
      <c r="AL460" s="287">
        <f t="shared" si="969"/>
        <v>30491</v>
      </c>
      <c r="AM460" s="287">
        <f t="shared" si="969"/>
        <v>30491</v>
      </c>
      <c r="AN460" s="499">
        <f t="shared" si="969"/>
        <v>30491</v>
      </c>
      <c r="AO460" s="287">
        <f t="shared" si="969"/>
        <v>30491</v>
      </c>
      <c r="AP460" s="287">
        <f t="shared" si="969"/>
        <v>30491</v>
      </c>
      <c r="AQ460" s="287">
        <f t="shared" si="969"/>
        <v>30491</v>
      </c>
      <c r="AR460" s="287">
        <f t="shared" si="969"/>
        <v>30491</v>
      </c>
      <c r="AS460" s="499">
        <f t="shared" si="969"/>
        <v>30491</v>
      </c>
      <c r="AT460" s="315"/>
      <c r="AU460" s="508"/>
      <c r="AV460" s="143"/>
      <c r="AW460" s="143"/>
      <c r="AX460" s="143"/>
      <c r="AY460" s="143"/>
      <c r="AZ460" s="143"/>
      <c r="BA460" s="143"/>
      <c r="BB460" s="143"/>
      <c r="BC460" s="143"/>
      <c r="BD460" s="143"/>
      <c r="BE460" s="143"/>
      <c r="BF460" s="143"/>
      <c r="BG460" s="143"/>
      <c r="BH460" s="143"/>
      <c r="BI460" s="143"/>
      <c r="BJ460" s="143"/>
      <c r="BK460" s="143"/>
      <c r="BL460" s="143"/>
      <c r="BM460" s="143"/>
      <c r="BN460" s="143"/>
      <c r="BO460" s="143"/>
      <c r="BP460" s="143"/>
      <c r="BQ460" s="143"/>
      <c r="BR460" s="143"/>
      <c r="BS460" s="143"/>
      <c r="BT460" s="143"/>
      <c r="BU460" s="143"/>
      <c r="BV460" s="143"/>
      <c r="BW460" s="143"/>
      <c r="BX460" s="143"/>
      <c r="BY460" s="143"/>
      <c r="BZ460" s="143"/>
      <c r="CA460" s="143"/>
      <c r="CB460" s="143"/>
      <c r="CC460" s="143"/>
      <c r="CD460" s="143"/>
      <c r="CE460" s="143"/>
      <c r="CF460" s="143"/>
      <c r="CG460" s="143"/>
      <c r="CH460" s="143"/>
      <c r="CI460" s="143"/>
      <c r="CJ460" s="143"/>
      <c r="CK460" s="143"/>
      <c r="CL460" s="143"/>
      <c r="CM460" s="143"/>
      <c r="CN460" s="143"/>
      <c r="CO460" s="143"/>
      <c r="CP460" s="143"/>
      <c r="CQ460" s="143"/>
      <c r="CR460" s="143"/>
      <c r="CS460" s="143"/>
      <c r="CT460" s="143"/>
      <c r="CU460" s="143"/>
      <c r="CV460" s="143"/>
      <c r="CW460" s="143"/>
      <c r="CX460" s="143"/>
      <c r="CY460" s="143"/>
      <c r="CZ460" s="143"/>
      <c r="DA460" s="143"/>
      <c r="DB460" s="143"/>
      <c r="DC460" s="143"/>
      <c r="DD460" s="143"/>
      <c r="DE460" s="143"/>
      <c r="DF460" s="143"/>
      <c r="DG460" s="143"/>
      <c r="DH460" s="143"/>
      <c r="DI460" s="143"/>
      <c r="DJ460" s="143"/>
      <c r="DK460" s="143"/>
      <c r="DL460" s="143"/>
      <c r="DM460" s="143"/>
      <c r="DN460" s="143"/>
      <c r="DO460" s="143"/>
      <c r="DP460" s="143"/>
      <c r="DQ460" s="143"/>
      <c r="DR460" s="143"/>
      <c r="DS460" s="143"/>
      <c r="DT460" s="143"/>
      <c r="DU460" s="143"/>
      <c r="DV460" s="143"/>
      <c r="DW460" s="143"/>
      <c r="DX460" s="143"/>
      <c r="DY460" s="143"/>
      <c r="DZ460" s="143"/>
      <c r="EA460" s="143"/>
      <c r="EB460" s="143"/>
      <c r="EC460" s="143"/>
      <c r="ED460" s="143"/>
      <c r="EE460" s="143"/>
      <c r="EF460" s="143"/>
      <c r="EG460" s="143"/>
      <c r="EH460" s="143"/>
      <c r="EI460" s="143"/>
      <c r="EJ460" s="143"/>
      <c r="EK460" s="143"/>
      <c r="EL460" s="143"/>
      <c r="EM460" s="143"/>
      <c r="EN460" s="143"/>
      <c r="EO460" s="143"/>
      <c r="EP460" s="143"/>
      <c r="EQ460" s="143"/>
      <c r="ER460" s="143"/>
      <c r="ES460" s="143"/>
      <c r="ET460" s="143"/>
      <c r="EU460" s="143"/>
      <c r="EV460" s="143"/>
      <c r="EW460" s="143"/>
      <c r="EX460" s="143"/>
      <c r="EY460" s="143"/>
      <c r="EZ460" s="143"/>
      <c r="FA460" s="143"/>
      <c r="FB460" s="143"/>
      <c r="FC460" s="143"/>
      <c r="FD460" s="143"/>
      <c r="FE460" s="143"/>
      <c r="FF460" s="143"/>
      <c r="FG460" s="143"/>
      <c r="FH460" s="143"/>
      <c r="FI460" s="143"/>
      <c r="FJ460" s="143"/>
      <c r="FK460" s="143"/>
      <c r="FL460" s="143"/>
      <c r="FM460" s="143"/>
      <c r="FN460" s="143"/>
      <c r="FO460" s="143"/>
      <c r="FP460" s="143"/>
      <c r="FQ460" s="143"/>
      <c r="FR460" s="143"/>
      <c r="FS460" s="143"/>
      <c r="FT460" s="143"/>
      <c r="FU460" s="143"/>
      <c r="FV460" s="143"/>
      <c r="FW460" s="143"/>
      <c r="FX460" s="143"/>
      <c r="FY460" s="143"/>
      <c r="FZ460" s="143"/>
      <c r="GA460" s="143"/>
      <c r="GB460" s="143"/>
      <c r="GC460" s="143"/>
      <c r="GD460" s="143"/>
      <c r="GE460" s="143"/>
      <c r="GF460" s="143"/>
      <c r="GG460" s="143"/>
      <c r="GH460" s="143"/>
      <c r="GI460" s="143"/>
      <c r="GJ460" s="143"/>
      <c r="GK460" s="143"/>
      <c r="GL460" s="143"/>
      <c r="GM460" s="143"/>
      <c r="GN460" s="143"/>
      <c r="GO460" s="143"/>
      <c r="GP460" s="143"/>
      <c r="GQ460" s="143"/>
      <c r="GR460" s="143"/>
      <c r="GS460" s="143"/>
      <c r="GT460" s="143"/>
      <c r="GU460" s="143"/>
      <c r="GV460" s="143"/>
      <c r="GW460" s="143"/>
      <c r="GX460" s="143"/>
      <c r="GY460" s="143"/>
      <c r="GZ460" s="143"/>
      <c r="HA460" s="143"/>
      <c r="HB460" s="143"/>
      <c r="HC460" s="143"/>
      <c r="HD460" s="143"/>
      <c r="HE460" s="143"/>
      <c r="HF460" s="143"/>
      <c r="HG460" s="143"/>
      <c r="HH460" s="143"/>
      <c r="HI460" s="143"/>
      <c r="HJ460" s="143"/>
      <c r="HK460" s="143"/>
      <c r="HL460" s="143"/>
      <c r="HM460" s="143"/>
      <c r="HN460" s="143"/>
      <c r="HO460" s="143"/>
      <c r="HP460" s="143"/>
      <c r="HQ460" s="143"/>
      <c r="HR460" s="143"/>
      <c r="HS460" s="143"/>
      <c r="HT460" s="143"/>
      <c r="HU460" s="143"/>
      <c r="HV460" s="143"/>
      <c r="HW460" s="143"/>
      <c r="HX460" s="143"/>
      <c r="HY460" s="143"/>
      <c r="HZ460" s="143"/>
      <c r="IA460" s="143"/>
      <c r="IB460" s="143"/>
      <c r="IC460" s="143"/>
      <c r="ID460" s="143"/>
      <c r="IE460" s="143"/>
      <c r="IF460" s="143"/>
      <c r="IG460" s="143"/>
      <c r="IH460" s="143"/>
      <c r="II460" s="143"/>
      <c r="IJ460" s="143"/>
      <c r="IK460" s="143"/>
      <c r="IL460" s="143"/>
      <c r="IM460" s="143"/>
      <c r="IN460" s="143"/>
      <c r="IO460" s="143"/>
      <c r="IP460" s="143"/>
      <c r="IQ460" s="143"/>
      <c r="IR460" s="143"/>
      <c r="IS460" s="143"/>
      <c r="IT460" s="143"/>
      <c r="IU460" s="143"/>
      <c r="IV460" s="143"/>
      <c r="IW460" s="143"/>
      <c r="IX460" s="143"/>
      <c r="IY460" s="143"/>
      <c r="IZ460" s="143"/>
      <c r="JA460" s="143"/>
      <c r="JB460" s="143"/>
      <c r="JC460" s="143"/>
      <c r="JD460" s="143"/>
      <c r="JE460" s="143"/>
      <c r="JF460" s="143"/>
      <c r="JG460" s="143"/>
      <c r="JH460" s="143"/>
      <c r="JI460" s="143"/>
    </row>
    <row r="461" spans="1:269" outlineLevel="1">
      <c r="A461" s="435" t="s">
        <v>316</v>
      </c>
      <c r="B461" s="143"/>
      <c r="C461" s="277"/>
      <c r="D461" s="277"/>
      <c r="E461" s="277"/>
      <c r="F461" s="278"/>
      <c r="G461" s="278"/>
      <c r="H461" s="278"/>
      <c r="I461" s="278"/>
      <c r="J461" s="277"/>
      <c r="K461" s="278"/>
      <c r="L461" s="278"/>
      <c r="M461" s="278"/>
      <c r="N461" s="278"/>
      <c r="O461" s="277">
        <v>0</v>
      </c>
      <c r="P461" s="278"/>
      <c r="Q461" s="278"/>
      <c r="R461" s="278"/>
      <c r="S461" s="278">
        <v>3712</v>
      </c>
      <c r="T461" s="277">
        <v>3712</v>
      </c>
      <c r="U461" s="278">
        <v>3969</v>
      </c>
      <c r="V461" s="278">
        <v>4547</v>
      </c>
      <c r="W461" s="278">
        <v>4970</v>
      </c>
      <c r="X461" s="278">
        <v>4958</v>
      </c>
      <c r="Y461" s="277">
        <v>4958</v>
      </c>
      <c r="Z461" s="278">
        <v>4910</v>
      </c>
      <c r="AA461" s="278">
        <v>4901</v>
      </c>
      <c r="AB461" s="278">
        <v>4711</v>
      </c>
      <c r="AC461" s="287">
        <f>AB461</f>
        <v>4711</v>
      </c>
      <c r="AD461" s="499">
        <f t="shared" si="969"/>
        <v>4711</v>
      </c>
      <c r="AE461" s="287">
        <f t="shared" si="969"/>
        <v>4711</v>
      </c>
      <c r="AF461" s="287">
        <f t="shared" si="969"/>
        <v>4711</v>
      </c>
      <c r="AG461" s="287">
        <f t="shared" si="969"/>
        <v>4711</v>
      </c>
      <c r="AH461" s="287">
        <f t="shared" si="969"/>
        <v>4711</v>
      </c>
      <c r="AI461" s="499">
        <f t="shared" si="969"/>
        <v>4711</v>
      </c>
      <c r="AJ461" s="287">
        <f t="shared" si="969"/>
        <v>4711</v>
      </c>
      <c r="AK461" s="287">
        <f t="shared" si="969"/>
        <v>4711</v>
      </c>
      <c r="AL461" s="287">
        <f t="shared" si="969"/>
        <v>4711</v>
      </c>
      <c r="AM461" s="287">
        <f t="shared" si="969"/>
        <v>4711</v>
      </c>
      <c r="AN461" s="499">
        <f t="shared" si="969"/>
        <v>4711</v>
      </c>
      <c r="AO461" s="287">
        <f t="shared" si="969"/>
        <v>4711</v>
      </c>
      <c r="AP461" s="287">
        <f t="shared" si="969"/>
        <v>4711</v>
      </c>
      <c r="AQ461" s="287">
        <f t="shared" si="969"/>
        <v>4711</v>
      </c>
      <c r="AR461" s="287">
        <f t="shared" si="969"/>
        <v>4711</v>
      </c>
      <c r="AS461" s="499">
        <f t="shared" si="969"/>
        <v>4711</v>
      </c>
      <c r="AT461" s="315"/>
      <c r="AU461" s="508"/>
      <c r="AV461" s="143"/>
      <c r="AW461" s="143"/>
      <c r="AX461" s="143"/>
      <c r="AY461" s="143"/>
      <c r="AZ461" s="143"/>
      <c r="BA461" s="143"/>
      <c r="BB461" s="143"/>
      <c r="BC461" s="143"/>
      <c r="BD461" s="143"/>
      <c r="BE461" s="143"/>
      <c r="BF461" s="143"/>
      <c r="BG461" s="143"/>
      <c r="BH461" s="143"/>
      <c r="BI461" s="143"/>
      <c r="BJ461" s="143"/>
      <c r="BK461" s="143"/>
      <c r="BL461" s="143"/>
      <c r="BM461" s="143"/>
      <c r="BN461" s="143"/>
      <c r="BO461" s="143"/>
      <c r="BP461" s="143"/>
      <c r="BQ461" s="143"/>
      <c r="BR461" s="143"/>
      <c r="BS461" s="143"/>
      <c r="BT461" s="143"/>
      <c r="BU461" s="143"/>
      <c r="BV461" s="143"/>
      <c r="BW461" s="143"/>
      <c r="BX461" s="143"/>
      <c r="BY461" s="143"/>
      <c r="BZ461" s="143"/>
      <c r="CA461" s="143"/>
      <c r="CB461" s="143"/>
      <c r="CC461" s="143"/>
      <c r="CD461" s="143"/>
      <c r="CE461" s="143"/>
      <c r="CF461" s="143"/>
      <c r="CG461" s="143"/>
      <c r="CH461" s="143"/>
      <c r="CI461" s="143"/>
      <c r="CJ461" s="143"/>
      <c r="CK461" s="143"/>
      <c r="CL461" s="143"/>
      <c r="CM461" s="143"/>
      <c r="CN461" s="143"/>
      <c r="CO461" s="143"/>
      <c r="CP461" s="143"/>
      <c r="CQ461" s="143"/>
      <c r="CR461" s="143"/>
      <c r="CS461" s="143"/>
      <c r="CT461" s="143"/>
      <c r="CU461" s="143"/>
      <c r="CV461" s="143"/>
      <c r="CW461" s="143"/>
      <c r="CX461" s="143"/>
      <c r="CY461" s="143"/>
      <c r="CZ461" s="143"/>
      <c r="DA461" s="143"/>
      <c r="DB461" s="143"/>
      <c r="DC461" s="143"/>
      <c r="DD461" s="143"/>
      <c r="DE461" s="143"/>
      <c r="DF461" s="143"/>
      <c r="DG461" s="143"/>
      <c r="DH461" s="143"/>
      <c r="DI461" s="143"/>
      <c r="DJ461" s="143"/>
      <c r="DK461" s="143"/>
      <c r="DL461" s="143"/>
      <c r="DM461" s="143"/>
      <c r="DN461" s="143"/>
      <c r="DO461" s="143"/>
      <c r="DP461" s="143"/>
      <c r="DQ461" s="143"/>
      <c r="DR461" s="143"/>
      <c r="DS461" s="143"/>
      <c r="DT461" s="143"/>
      <c r="DU461" s="143"/>
      <c r="DV461" s="143"/>
      <c r="DW461" s="143"/>
      <c r="DX461" s="143"/>
      <c r="DY461" s="143"/>
      <c r="DZ461" s="143"/>
      <c r="EA461" s="143"/>
      <c r="EB461" s="143"/>
      <c r="EC461" s="143"/>
      <c r="ED461" s="143"/>
      <c r="EE461" s="143"/>
      <c r="EF461" s="143"/>
      <c r="EG461" s="143"/>
      <c r="EH461" s="143"/>
      <c r="EI461" s="143"/>
      <c r="EJ461" s="143"/>
      <c r="EK461" s="143"/>
      <c r="EL461" s="143"/>
      <c r="EM461" s="143"/>
      <c r="EN461" s="143"/>
      <c r="EO461" s="143"/>
      <c r="EP461" s="143"/>
      <c r="EQ461" s="143"/>
      <c r="ER461" s="143"/>
      <c r="ES461" s="143"/>
      <c r="ET461" s="143"/>
      <c r="EU461" s="143"/>
      <c r="EV461" s="143"/>
      <c r="EW461" s="143"/>
      <c r="EX461" s="143"/>
      <c r="EY461" s="143"/>
      <c r="EZ461" s="143"/>
      <c r="FA461" s="143"/>
      <c r="FB461" s="143"/>
      <c r="FC461" s="143"/>
      <c r="FD461" s="143"/>
      <c r="FE461" s="143"/>
      <c r="FF461" s="143"/>
      <c r="FG461" s="143"/>
      <c r="FH461" s="143"/>
      <c r="FI461" s="143"/>
      <c r="FJ461" s="143"/>
      <c r="FK461" s="143"/>
      <c r="FL461" s="143"/>
      <c r="FM461" s="143"/>
      <c r="FN461" s="143"/>
      <c r="FO461" s="143"/>
      <c r="FP461" s="143"/>
      <c r="FQ461" s="143"/>
      <c r="FR461" s="143"/>
      <c r="FS461" s="143"/>
      <c r="FT461" s="143"/>
      <c r="FU461" s="143"/>
      <c r="FV461" s="143"/>
      <c r="FW461" s="143"/>
      <c r="FX461" s="143"/>
      <c r="FY461" s="143"/>
      <c r="FZ461" s="143"/>
      <c r="GA461" s="143"/>
      <c r="GB461" s="143"/>
      <c r="GC461" s="143"/>
      <c r="GD461" s="143"/>
      <c r="GE461" s="143"/>
      <c r="GF461" s="143"/>
      <c r="GG461" s="143"/>
      <c r="GH461" s="143"/>
      <c r="GI461" s="143"/>
      <c r="GJ461" s="143"/>
      <c r="GK461" s="143"/>
      <c r="GL461" s="143"/>
      <c r="GM461" s="143"/>
      <c r="GN461" s="143"/>
      <c r="GO461" s="143"/>
      <c r="GP461" s="143"/>
      <c r="GQ461" s="143"/>
      <c r="GR461" s="143"/>
      <c r="GS461" s="143"/>
      <c r="GT461" s="143"/>
      <c r="GU461" s="143"/>
      <c r="GV461" s="143"/>
      <c r="GW461" s="143"/>
      <c r="GX461" s="143"/>
      <c r="GY461" s="143"/>
      <c r="GZ461" s="143"/>
      <c r="HA461" s="143"/>
      <c r="HB461" s="143"/>
      <c r="HC461" s="143"/>
      <c r="HD461" s="143"/>
      <c r="HE461" s="143"/>
      <c r="HF461" s="143"/>
      <c r="HG461" s="143"/>
      <c r="HH461" s="143"/>
      <c r="HI461" s="143"/>
      <c r="HJ461" s="143"/>
      <c r="HK461" s="143"/>
      <c r="HL461" s="143"/>
      <c r="HM461" s="143"/>
      <c r="HN461" s="143"/>
      <c r="HO461" s="143"/>
      <c r="HP461" s="143"/>
      <c r="HQ461" s="143"/>
      <c r="HR461" s="143"/>
      <c r="HS461" s="143"/>
      <c r="HT461" s="143"/>
      <c r="HU461" s="143"/>
      <c r="HV461" s="143"/>
      <c r="HW461" s="143"/>
      <c r="HX461" s="143"/>
      <c r="HY461" s="143"/>
      <c r="HZ461" s="143"/>
      <c r="IA461" s="143"/>
      <c r="IB461" s="143"/>
      <c r="IC461" s="143"/>
      <c r="ID461" s="143"/>
      <c r="IE461" s="143"/>
      <c r="IF461" s="143"/>
      <c r="IG461" s="143"/>
      <c r="IH461" s="143"/>
      <c r="II461" s="143"/>
      <c r="IJ461" s="143"/>
      <c r="IK461" s="143"/>
      <c r="IL461" s="143"/>
      <c r="IM461" s="143"/>
      <c r="IN461" s="143"/>
      <c r="IO461" s="143"/>
      <c r="IP461" s="143"/>
      <c r="IQ461" s="143"/>
      <c r="IR461" s="143"/>
      <c r="IS461" s="143"/>
      <c r="IT461" s="143"/>
      <c r="IU461" s="143"/>
      <c r="IV461" s="143"/>
      <c r="IW461" s="143"/>
      <c r="IX461" s="143"/>
      <c r="IY461" s="143"/>
      <c r="IZ461" s="143"/>
      <c r="JA461" s="143"/>
      <c r="JB461" s="143"/>
      <c r="JC461" s="143"/>
      <c r="JD461" s="143"/>
      <c r="JE461" s="143"/>
      <c r="JF461" s="143"/>
      <c r="JG461" s="143"/>
      <c r="JH461" s="143"/>
      <c r="JI461" s="143"/>
    </row>
    <row r="462" spans="1:269" outlineLevel="1">
      <c r="A462" s="435" t="s">
        <v>317</v>
      </c>
      <c r="B462" s="143"/>
      <c r="C462" s="277"/>
      <c r="D462" s="277"/>
      <c r="E462" s="277"/>
      <c r="F462" s="278"/>
      <c r="G462" s="278"/>
      <c r="H462" s="278"/>
      <c r="I462" s="278">
        <v>0</v>
      </c>
      <c r="J462" s="277"/>
      <c r="K462" s="278"/>
      <c r="L462" s="278"/>
      <c r="M462" s="278"/>
      <c r="N462" s="278">
        <v>0</v>
      </c>
      <c r="O462" s="277">
        <v>0</v>
      </c>
      <c r="P462" s="278"/>
      <c r="Q462" s="278">
        <v>764</v>
      </c>
      <c r="R462" s="278">
        <v>2180</v>
      </c>
      <c r="S462" s="278">
        <v>292</v>
      </c>
      <c r="T462" s="277">
        <v>292</v>
      </c>
      <c r="U462" s="278">
        <v>4197</v>
      </c>
      <c r="V462" s="278">
        <v>2510</v>
      </c>
      <c r="W462" s="278">
        <v>1131</v>
      </c>
      <c r="X462" s="278">
        <v>1429</v>
      </c>
      <c r="Y462" s="277">
        <v>1429</v>
      </c>
      <c r="Z462" s="278">
        <v>1219</v>
      </c>
      <c r="AA462" s="278">
        <v>3210</v>
      </c>
      <c r="AB462" s="278">
        <v>1990</v>
      </c>
      <c r="AC462" s="287">
        <f>AB462</f>
        <v>1990</v>
      </c>
      <c r="AD462" s="499">
        <f t="shared" si="969"/>
        <v>1990</v>
      </c>
      <c r="AE462" s="287">
        <f t="shared" si="969"/>
        <v>1990</v>
      </c>
      <c r="AF462" s="287">
        <f t="shared" si="969"/>
        <v>1990</v>
      </c>
      <c r="AG462" s="287">
        <f t="shared" si="969"/>
        <v>1990</v>
      </c>
      <c r="AH462" s="287">
        <f t="shared" si="969"/>
        <v>1990</v>
      </c>
      <c r="AI462" s="499">
        <f t="shared" si="969"/>
        <v>1990</v>
      </c>
      <c r="AJ462" s="287">
        <f t="shared" si="969"/>
        <v>1990</v>
      </c>
      <c r="AK462" s="287">
        <f t="shared" si="969"/>
        <v>1990</v>
      </c>
      <c r="AL462" s="287">
        <f t="shared" si="969"/>
        <v>1990</v>
      </c>
      <c r="AM462" s="287">
        <f t="shared" si="969"/>
        <v>1990</v>
      </c>
      <c r="AN462" s="499">
        <f t="shared" si="969"/>
        <v>1990</v>
      </c>
      <c r="AO462" s="287">
        <f t="shared" si="969"/>
        <v>1990</v>
      </c>
      <c r="AP462" s="287">
        <f t="shared" si="969"/>
        <v>1990</v>
      </c>
      <c r="AQ462" s="287">
        <f t="shared" si="969"/>
        <v>1990</v>
      </c>
      <c r="AR462" s="287">
        <f t="shared" si="969"/>
        <v>1990</v>
      </c>
      <c r="AS462" s="499">
        <f t="shared" si="969"/>
        <v>1990</v>
      </c>
      <c r="AT462" s="315"/>
      <c r="AU462" s="508"/>
      <c r="AV462" s="143"/>
      <c r="AW462" s="143"/>
      <c r="AX462" s="143"/>
      <c r="AY462" s="143"/>
      <c r="AZ462" s="143"/>
      <c r="BA462" s="143"/>
      <c r="BB462" s="143"/>
      <c r="BC462" s="143"/>
      <c r="BD462" s="143"/>
      <c r="BE462" s="143"/>
      <c r="BF462" s="143"/>
      <c r="BG462" s="143"/>
      <c r="BH462" s="143"/>
      <c r="BI462" s="143"/>
      <c r="BJ462" s="143"/>
      <c r="BK462" s="143"/>
      <c r="BL462" s="143"/>
      <c r="BM462" s="143"/>
      <c r="BN462" s="143"/>
      <c r="BO462" s="143"/>
      <c r="BP462" s="143"/>
      <c r="BQ462" s="143"/>
      <c r="BR462" s="143"/>
      <c r="BS462" s="143"/>
      <c r="BT462" s="143"/>
      <c r="BU462" s="143"/>
      <c r="BV462" s="143"/>
      <c r="BW462" s="143"/>
      <c r="BX462" s="143"/>
      <c r="BY462" s="143"/>
      <c r="BZ462" s="143"/>
      <c r="CA462" s="143"/>
      <c r="CB462" s="143"/>
      <c r="CC462" s="143"/>
      <c r="CD462" s="143"/>
      <c r="CE462" s="143"/>
      <c r="CF462" s="143"/>
      <c r="CG462" s="143"/>
      <c r="CH462" s="143"/>
      <c r="CI462" s="143"/>
      <c r="CJ462" s="143"/>
      <c r="CK462" s="143"/>
      <c r="CL462" s="143"/>
      <c r="CM462" s="143"/>
      <c r="CN462" s="143"/>
      <c r="CO462" s="143"/>
      <c r="CP462" s="143"/>
      <c r="CQ462" s="143"/>
      <c r="CR462" s="143"/>
      <c r="CS462" s="143"/>
      <c r="CT462" s="143"/>
      <c r="CU462" s="143"/>
      <c r="CV462" s="143"/>
      <c r="CW462" s="143"/>
      <c r="CX462" s="143"/>
      <c r="CY462" s="143"/>
      <c r="CZ462" s="143"/>
      <c r="DA462" s="143"/>
      <c r="DB462" s="143"/>
      <c r="DC462" s="143"/>
      <c r="DD462" s="143"/>
      <c r="DE462" s="143"/>
      <c r="DF462" s="143"/>
      <c r="DG462" s="143"/>
      <c r="DH462" s="143"/>
      <c r="DI462" s="143"/>
      <c r="DJ462" s="143"/>
      <c r="DK462" s="143"/>
      <c r="DL462" s="143"/>
      <c r="DM462" s="143"/>
      <c r="DN462" s="143"/>
      <c r="DO462" s="143"/>
      <c r="DP462" s="143"/>
      <c r="DQ462" s="143"/>
      <c r="DR462" s="143"/>
      <c r="DS462" s="143"/>
      <c r="DT462" s="143"/>
      <c r="DU462" s="143"/>
      <c r="DV462" s="143"/>
      <c r="DW462" s="143"/>
      <c r="DX462" s="143"/>
      <c r="DY462" s="143"/>
      <c r="DZ462" s="143"/>
      <c r="EA462" s="143"/>
      <c r="EB462" s="143"/>
      <c r="EC462" s="143"/>
      <c r="ED462" s="143"/>
      <c r="EE462" s="143"/>
      <c r="EF462" s="143"/>
      <c r="EG462" s="143"/>
      <c r="EH462" s="143"/>
      <c r="EI462" s="143"/>
      <c r="EJ462" s="143"/>
      <c r="EK462" s="143"/>
      <c r="EL462" s="143"/>
      <c r="EM462" s="143"/>
      <c r="EN462" s="143"/>
      <c r="EO462" s="143"/>
      <c r="EP462" s="143"/>
      <c r="EQ462" s="143"/>
      <c r="ER462" s="143"/>
      <c r="ES462" s="143"/>
      <c r="ET462" s="143"/>
      <c r="EU462" s="143"/>
      <c r="EV462" s="143"/>
      <c r="EW462" s="143"/>
      <c r="EX462" s="143"/>
      <c r="EY462" s="143"/>
      <c r="EZ462" s="143"/>
      <c r="FA462" s="143"/>
      <c r="FB462" s="143"/>
      <c r="FC462" s="143"/>
      <c r="FD462" s="143"/>
      <c r="FE462" s="143"/>
      <c r="FF462" s="143"/>
      <c r="FG462" s="143"/>
      <c r="FH462" s="143"/>
      <c r="FI462" s="143"/>
      <c r="FJ462" s="143"/>
      <c r="FK462" s="143"/>
      <c r="FL462" s="143"/>
      <c r="FM462" s="143"/>
      <c r="FN462" s="143"/>
      <c r="FO462" s="143"/>
      <c r="FP462" s="143"/>
      <c r="FQ462" s="143"/>
      <c r="FR462" s="143"/>
      <c r="FS462" s="143"/>
      <c r="FT462" s="143"/>
      <c r="FU462" s="143"/>
      <c r="FV462" s="143"/>
      <c r="FW462" s="143"/>
      <c r="FX462" s="143"/>
      <c r="FY462" s="143"/>
      <c r="FZ462" s="143"/>
      <c r="GA462" s="143"/>
      <c r="GB462" s="143"/>
      <c r="GC462" s="143"/>
      <c r="GD462" s="143"/>
      <c r="GE462" s="143"/>
      <c r="GF462" s="143"/>
      <c r="GG462" s="143"/>
      <c r="GH462" s="143"/>
      <c r="GI462" s="143"/>
      <c r="GJ462" s="143"/>
      <c r="GK462" s="143"/>
      <c r="GL462" s="143"/>
      <c r="GM462" s="143"/>
      <c r="GN462" s="143"/>
      <c r="GO462" s="143"/>
      <c r="GP462" s="143"/>
      <c r="GQ462" s="143"/>
      <c r="GR462" s="143"/>
      <c r="GS462" s="143"/>
      <c r="GT462" s="143"/>
      <c r="GU462" s="143"/>
      <c r="GV462" s="143"/>
      <c r="GW462" s="143"/>
      <c r="GX462" s="143"/>
      <c r="GY462" s="143"/>
      <c r="GZ462" s="143"/>
      <c r="HA462" s="143"/>
      <c r="HB462" s="143"/>
      <c r="HC462" s="143"/>
      <c r="HD462" s="143"/>
      <c r="HE462" s="143"/>
      <c r="HF462" s="143"/>
      <c r="HG462" s="143"/>
      <c r="HH462" s="143"/>
      <c r="HI462" s="143"/>
      <c r="HJ462" s="143"/>
      <c r="HK462" s="143"/>
      <c r="HL462" s="143"/>
      <c r="HM462" s="143"/>
      <c r="HN462" s="143"/>
      <c r="HO462" s="143"/>
      <c r="HP462" s="143"/>
      <c r="HQ462" s="143"/>
      <c r="HR462" s="143"/>
      <c r="HS462" s="143"/>
      <c r="HT462" s="143"/>
      <c r="HU462" s="143"/>
      <c r="HV462" s="143"/>
      <c r="HW462" s="143"/>
      <c r="HX462" s="143"/>
      <c r="HY462" s="143"/>
      <c r="HZ462" s="143"/>
      <c r="IA462" s="143"/>
      <c r="IB462" s="143"/>
      <c r="IC462" s="143"/>
      <c r="ID462" s="143"/>
      <c r="IE462" s="143"/>
      <c r="IF462" s="143"/>
      <c r="IG462" s="143"/>
      <c r="IH462" s="143"/>
      <c r="II462" s="143"/>
      <c r="IJ462" s="143"/>
      <c r="IK462" s="143"/>
      <c r="IL462" s="143"/>
      <c r="IM462" s="143"/>
      <c r="IN462" s="143"/>
      <c r="IO462" s="143"/>
      <c r="IP462" s="143"/>
      <c r="IQ462" s="143"/>
      <c r="IR462" s="143"/>
      <c r="IS462" s="143"/>
      <c r="IT462" s="143"/>
      <c r="IU462" s="143"/>
      <c r="IV462" s="143"/>
      <c r="IW462" s="143"/>
      <c r="IX462" s="143"/>
      <c r="IY462" s="143"/>
      <c r="IZ462" s="143"/>
      <c r="JA462" s="143"/>
      <c r="JB462" s="143"/>
      <c r="JC462" s="143"/>
      <c r="JD462" s="143"/>
      <c r="JE462" s="143"/>
      <c r="JF462" s="143"/>
      <c r="JG462" s="143"/>
      <c r="JH462" s="143"/>
      <c r="JI462" s="143"/>
    </row>
    <row r="463" spans="1:269" outlineLevel="1">
      <c r="A463" s="435" t="s">
        <v>318</v>
      </c>
      <c r="B463" s="143"/>
      <c r="C463" s="277"/>
      <c r="D463" s="277"/>
      <c r="E463" s="277"/>
      <c r="F463" s="278"/>
      <c r="G463" s="278"/>
      <c r="H463" s="278"/>
      <c r="I463" s="278">
        <v>512</v>
      </c>
      <c r="J463" s="277"/>
      <c r="K463" s="278"/>
      <c r="L463" s="278"/>
      <c r="M463" s="278"/>
      <c r="N463" s="278">
        <v>512</v>
      </c>
      <c r="O463" s="277">
        <v>512</v>
      </c>
      <c r="P463" s="278"/>
      <c r="Q463" s="278">
        <v>0</v>
      </c>
      <c r="R463" s="278">
        <v>0</v>
      </c>
      <c r="S463" s="278">
        <v>0</v>
      </c>
      <c r="T463" s="277">
        <v>0</v>
      </c>
      <c r="U463" s="278"/>
      <c r="V463" s="278"/>
      <c r="W463" s="278"/>
      <c r="X463" s="278"/>
      <c r="Y463" s="277"/>
      <c r="Z463" s="278"/>
      <c r="AA463" s="278"/>
      <c r="AB463" s="278"/>
      <c r="AC463" s="278"/>
      <c r="AD463" s="536"/>
      <c r="AE463" s="278"/>
      <c r="AF463" s="278"/>
      <c r="AG463" s="287"/>
      <c r="AH463" s="287"/>
      <c r="AI463" s="499"/>
      <c r="AJ463" s="287"/>
      <c r="AK463" s="287"/>
      <c r="AL463" s="287"/>
      <c r="AM463" s="287"/>
      <c r="AN463" s="499"/>
      <c r="AO463" s="287"/>
      <c r="AP463" s="287"/>
      <c r="AQ463" s="287"/>
      <c r="AR463" s="287"/>
      <c r="AS463" s="499"/>
      <c r="AT463" s="315"/>
      <c r="AU463" s="508"/>
      <c r="AV463" s="143"/>
      <c r="AW463" s="143"/>
      <c r="AX463" s="143"/>
      <c r="AY463" s="143"/>
      <c r="AZ463" s="143"/>
      <c r="BA463" s="143"/>
      <c r="BB463" s="143"/>
      <c r="BC463" s="143"/>
      <c r="BD463" s="143"/>
      <c r="BE463" s="143"/>
      <c r="BF463" s="143"/>
      <c r="BG463" s="143"/>
      <c r="BH463" s="143"/>
      <c r="BI463" s="143"/>
      <c r="BJ463" s="143"/>
      <c r="BK463" s="143"/>
      <c r="BL463" s="143"/>
      <c r="BM463" s="143"/>
      <c r="BN463" s="143"/>
      <c r="BO463" s="143"/>
      <c r="BP463" s="143"/>
      <c r="BQ463" s="143"/>
      <c r="BR463" s="143"/>
      <c r="BS463" s="143"/>
      <c r="BT463" s="143"/>
      <c r="BU463" s="143"/>
      <c r="BV463" s="143"/>
      <c r="BW463" s="143"/>
      <c r="BX463" s="143"/>
      <c r="BY463" s="143"/>
      <c r="BZ463" s="143"/>
      <c r="CA463" s="143"/>
      <c r="CB463" s="143"/>
      <c r="CC463" s="143"/>
      <c r="CD463" s="143"/>
      <c r="CE463" s="143"/>
      <c r="CF463" s="143"/>
      <c r="CG463" s="143"/>
      <c r="CH463" s="143"/>
      <c r="CI463" s="143"/>
      <c r="CJ463" s="143"/>
      <c r="CK463" s="143"/>
      <c r="CL463" s="143"/>
      <c r="CM463" s="143"/>
      <c r="CN463" s="143"/>
      <c r="CO463" s="143"/>
      <c r="CP463" s="143"/>
      <c r="CQ463" s="143"/>
      <c r="CR463" s="143"/>
      <c r="CS463" s="143"/>
      <c r="CT463" s="143"/>
      <c r="CU463" s="143"/>
      <c r="CV463" s="143"/>
      <c r="CW463" s="143"/>
      <c r="CX463" s="143"/>
      <c r="CY463" s="143"/>
      <c r="CZ463" s="143"/>
      <c r="DA463" s="143"/>
      <c r="DB463" s="143"/>
      <c r="DC463" s="143"/>
      <c r="DD463" s="143"/>
      <c r="DE463" s="143"/>
      <c r="DF463" s="143"/>
      <c r="DG463" s="143"/>
      <c r="DH463" s="143"/>
      <c r="DI463" s="143"/>
      <c r="DJ463" s="143"/>
      <c r="DK463" s="143"/>
      <c r="DL463" s="143"/>
      <c r="DM463" s="143"/>
      <c r="DN463" s="143"/>
      <c r="DO463" s="143"/>
      <c r="DP463" s="143"/>
      <c r="DQ463" s="143"/>
      <c r="DR463" s="143"/>
      <c r="DS463" s="143"/>
      <c r="DT463" s="143"/>
      <c r="DU463" s="143"/>
      <c r="DV463" s="143"/>
      <c r="DW463" s="143"/>
      <c r="DX463" s="143"/>
      <c r="DY463" s="143"/>
      <c r="DZ463" s="143"/>
      <c r="EA463" s="143"/>
      <c r="EB463" s="143"/>
      <c r="EC463" s="143"/>
      <c r="ED463" s="143"/>
      <c r="EE463" s="143"/>
      <c r="EF463" s="143"/>
      <c r="EG463" s="143"/>
      <c r="EH463" s="143"/>
      <c r="EI463" s="143"/>
      <c r="EJ463" s="143"/>
      <c r="EK463" s="143"/>
      <c r="EL463" s="143"/>
      <c r="EM463" s="143"/>
      <c r="EN463" s="143"/>
      <c r="EO463" s="143"/>
      <c r="EP463" s="143"/>
      <c r="EQ463" s="143"/>
      <c r="ER463" s="143"/>
      <c r="ES463" s="143"/>
      <c r="ET463" s="143"/>
      <c r="EU463" s="143"/>
      <c r="EV463" s="143"/>
      <c r="EW463" s="143"/>
      <c r="EX463" s="143"/>
      <c r="EY463" s="143"/>
      <c r="EZ463" s="143"/>
      <c r="FA463" s="143"/>
      <c r="FB463" s="143"/>
      <c r="FC463" s="143"/>
      <c r="FD463" s="143"/>
      <c r="FE463" s="143"/>
      <c r="FF463" s="143"/>
      <c r="FG463" s="143"/>
      <c r="FH463" s="143"/>
      <c r="FI463" s="143"/>
      <c r="FJ463" s="143"/>
      <c r="FK463" s="143"/>
      <c r="FL463" s="143"/>
      <c r="FM463" s="143"/>
      <c r="FN463" s="143"/>
      <c r="FO463" s="143"/>
      <c r="FP463" s="143"/>
      <c r="FQ463" s="143"/>
      <c r="FR463" s="143"/>
      <c r="FS463" s="143"/>
      <c r="FT463" s="143"/>
      <c r="FU463" s="143"/>
      <c r="FV463" s="143"/>
      <c r="FW463" s="143"/>
      <c r="FX463" s="143"/>
      <c r="FY463" s="143"/>
      <c r="FZ463" s="143"/>
      <c r="GA463" s="143"/>
      <c r="GB463" s="143"/>
      <c r="GC463" s="143"/>
      <c r="GD463" s="143"/>
      <c r="GE463" s="143"/>
      <c r="GF463" s="143"/>
      <c r="GG463" s="143"/>
      <c r="GH463" s="143"/>
      <c r="GI463" s="143"/>
      <c r="GJ463" s="143"/>
      <c r="GK463" s="143"/>
      <c r="GL463" s="143"/>
      <c r="GM463" s="143"/>
      <c r="GN463" s="143"/>
      <c r="GO463" s="143"/>
      <c r="GP463" s="143"/>
      <c r="GQ463" s="143"/>
      <c r="GR463" s="143"/>
      <c r="GS463" s="143"/>
      <c r="GT463" s="143"/>
      <c r="GU463" s="143"/>
      <c r="GV463" s="143"/>
      <c r="GW463" s="143"/>
      <c r="GX463" s="143"/>
      <c r="GY463" s="143"/>
      <c r="GZ463" s="143"/>
      <c r="HA463" s="143"/>
      <c r="HB463" s="143"/>
      <c r="HC463" s="143"/>
      <c r="HD463" s="143"/>
      <c r="HE463" s="143"/>
      <c r="HF463" s="143"/>
      <c r="HG463" s="143"/>
      <c r="HH463" s="143"/>
      <c r="HI463" s="143"/>
      <c r="HJ463" s="143"/>
      <c r="HK463" s="143"/>
      <c r="HL463" s="143"/>
      <c r="HM463" s="143"/>
      <c r="HN463" s="143"/>
      <c r="HO463" s="143"/>
      <c r="HP463" s="143"/>
      <c r="HQ463" s="143"/>
      <c r="HR463" s="143"/>
      <c r="HS463" s="143"/>
      <c r="HT463" s="143"/>
      <c r="HU463" s="143"/>
      <c r="HV463" s="143"/>
      <c r="HW463" s="143"/>
      <c r="HX463" s="143"/>
      <c r="HY463" s="143"/>
      <c r="HZ463" s="143"/>
      <c r="IA463" s="143"/>
      <c r="IB463" s="143"/>
      <c r="IC463" s="143"/>
      <c r="ID463" s="143"/>
      <c r="IE463" s="143"/>
      <c r="IF463" s="143"/>
      <c r="IG463" s="143"/>
      <c r="IH463" s="143"/>
      <c r="II463" s="143"/>
      <c r="IJ463" s="143"/>
      <c r="IK463" s="143"/>
      <c r="IL463" s="143"/>
      <c r="IM463" s="143"/>
      <c r="IN463" s="143"/>
      <c r="IO463" s="143"/>
      <c r="IP463" s="143"/>
      <c r="IQ463" s="143"/>
      <c r="IR463" s="143"/>
      <c r="IS463" s="143"/>
      <c r="IT463" s="143"/>
      <c r="IU463" s="143"/>
      <c r="IV463" s="143"/>
      <c r="IW463" s="143"/>
      <c r="IX463" s="143"/>
      <c r="IY463" s="143"/>
      <c r="IZ463" s="143"/>
      <c r="JA463" s="143"/>
      <c r="JB463" s="143"/>
      <c r="JC463" s="143"/>
      <c r="JD463" s="143"/>
      <c r="JE463" s="143"/>
      <c r="JF463" s="143"/>
      <c r="JG463" s="143"/>
      <c r="JH463" s="143"/>
      <c r="JI463" s="143"/>
    </row>
    <row r="464" spans="1:269" s="81" customFormat="1" outlineLevel="1">
      <c r="A464" s="524" t="s">
        <v>319</v>
      </c>
      <c r="C464" s="310"/>
      <c r="D464" s="310"/>
      <c r="E464" s="310"/>
      <c r="F464" s="312"/>
      <c r="G464" s="312"/>
      <c r="H464" s="312"/>
      <c r="I464" s="312">
        <v>30930</v>
      </c>
      <c r="J464" s="310"/>
      <c r="K464" s="312"/>
      <c r="L464" s="312"/>
      <c r="M464" s="312"/>
      <c r="N464" s="312">
        <v>30930</v>
      </c>
      <c r="O464" s="310">
        <v>30930</v>
      </c>
      <c r="P464" s="312"/>
      <c r="Q464" s="312">
        <v>39492</v>
      </c>
      <c r="R464" s="312">
        <v>49468</v>
      </c>
      <c r="S464" s="312">
        <v>76437</v>
      </c>
      <c r="T464" s="310">
        <v>76437</v>
      </c>
      <c r="U464" s="312">
        <v>68930</v>
      </c>
      <c r="V464" s="312">
        <v>87058</v>
      </c>
      <c r="W464" s="312">
        <v>76438</v>
      </c>
      <c r="X464" s="312">
        <v>71714</v>
      </c>
      <c r="Y464" s="310">
        <v>71714</v>
      </c>
      <c r="Z464" s="312">
        <v>72330</v>
      </c>
      <c r="AA464" s="312">
        <v>82789</v>
      </c>
      <c r="AB464" s="312">
        <v>125879</v>
      </c>
      <c r="AC464" s="311">
        <f>AC457+AC458+AC459+AC460+AC461+AC462+AC463</f>
        <v>99229.557966986496</v>
      </c>
      <c r="AD464" s="321">
        <f t="shared" ref="AD464:AS464" si="970">AD457+AD458+AD459+AD460+AD461+AD462+AD463</f>
        <v>99229.557966986496</v>
      </c>
      <c r="AE464" s="311">
        <f t="shared" si="970"/>
        <v>99203.273710404785</v>
      </c>
      <c r="AF464" s="311">
        <f t="shared" si="970"/>
        <v>101829.98927133979</v>
      </c>
      <c r="AG464" s="311">
        <f t="shared" si="970"/>
        <v>107486.65628949316</v>
      </c>
      <c r="AH464" s="311">
        <f t="shared" si="970"/>
        <v>111265.07970766589</v>
      </c>
      <c r="AI464" s="321">
        <f t="shared" si="970"/>
        <v>111265.07970766589</v>
      </c>
      <c r="AJ464" s="311">
        <f t="shared" si="970"/>
        <v>111827.57482541911</v>
      </c>
      <c r="AK464" s="311">
        <f t="shared" si="970"/>
        <v>116089.17290344572</v>
      </c>
      <c r="AL464" s="311">
        <f t="shared" si="970"/>
        <v>116456.61941920049</v>
      </c>
      <c r="AM464" s="311">
        <f t="shared" si="970"/>
        <v>117907.64078625919</v>
      </c>
      <c r="AN464" s="321">
        <f t="shared" si="970"/>
        <v>117907.64078625919</v>
      </c>
      <c r="AO464" s="311">
        <f t="shared" si="970"/>
        <v>116121.28846527114</v>
      </c>
      <c r="AP464" s="311">
        <f t="shared" si="970"/>
        <v>119835.33724692976</v>
      </c>
      <c r="AQ464" s="311">
        <f t="shared" si="970"/>
        <v>118990.77998196406</v>
      </c>
      <c r="AR464" s="311">
        <f t="shared" si="970"/>
        <v>123816.19740982153</v>
      </c>
      <c r="AS464" s="321">
        <f t="shared" si="970"/>
        <v>123816.19740982153</v>
      </c>
      <c r="AT464" s="433"/>
      <c r="AU464" s="508"/>
    </row>
    <row r="465" spans="1:269" outlineLevel="1">
      <c r="A465" s="435"/>
      <c r="B465" s="143"/>
      <c r="C465" s="277"/>
      <c r="D465" s="277"/>
      <c r="E465" s="277"/>
      <c r="F465" s="278"/>
      <c r="G465" s="278"/>
      <c r="H465" s="278"/>
      <c r="I465" s="278"/>
      <c r="J465" s="277"/>
      <c r="K465" s="278"/>
      <c r="L465" s="278"/>
      <c r="M465" s="278"/>
      <c r="N465" s="278"/>
      <c r="O465" s="277"/>
      <c r="P465" s="278"/>
      <c r="Q465" s="278"/>
      <c r="R465" s="278"/>
      <c r="S465" s="278"/>
      <c r="T465" s="277"/>
      <c r="U465" s="278"/>
      <c r="V465" s="278"/>
      <c r="W465" s="278"/>
      <c r="X465" s="278"/>
      <c r="Y465" s="277"/>
      <c r="Z465" s="278"/>
      <c r="AA465" s="278"/>
      <c r="AB465" s="278"/>
      <c r="AC465" s="278"/>
      <c r="AD465" s="536"/>
      <c r="AE465" s="278"/>
      <c r="AF465" s="278"/>
      <c r="AG465" s="287"/>
      <c r="AH465" s="287"/>
      <c r="AI465" s="499"/>
      <c r="AJ465" s="287"/>
      <c r="AK465" s="287"/>
      <c r="AL465" s="287"/>
      <c r="AM465" s="287"/>
      <c r="AN465" s="499"/>
      <c r="AO465" s="287"/>
      <c r="AP465" s="287"/>
      <c r="AQ465" s="287"/>
      <c r="AR465" s="287"/>
      <c r="AS465" s="499"/>
      <c r="AT465" s="315"/>
      <c r="AU465" s="508"/>
      <c r="AV465" s="143"/>
      <c r="AW465" s="143"/>
      <c r="AX465" s="143"/>
      <c r="AY465" s="143"/>
      <c r="AZ465" s="143"/>
      <c r="BA465" s="143"/>
      <c r="BB465" s="143"/>
      <c r="BC465" s="143"/>
      <c r="BD465" s="143"/>
      <c r="BE465" s="143"/>
      <c r="BF465" s="143"/>
      <c r="BG465" s="143"/>
      <c r="BH465" s="143"/>
      <c r="BI465" s="143"/>
      <c r="BJ465" s="143"/>
      <c r="BK465" s="143"/>
      <c r="BL465" s="143"/>
      <c r="BM465" s="143"/>
      <c r="BN465" s="143"/>
      <c r="BO465" s="143"/>
      <c r="BP465" s="143"/>
      <c r="BQ465" s="143"/>
      <c r="BR465" s="143"/>
      <c r="BS465" s="143"/>
      <c r="BT465" s="143"/>
      <c r="BU465" s="143"/>
      <c r="BV465" s="143"/>
      <c r="BW465" s="143"/>
      <c r="BX465" s="143"/>
      <c r="BY465" s="143"/>
      <c r="BZ465" s="143"/>
      <c r="CA465" s="143"/>
      <c r="CB465" s="143"/>
      <c r="CC465" s="143"/>
      <c r="CD465" s="143"/>
      <c r="CE465" s="143"/>
      <c r="CF465" s="143"/>
      <c r="CG465" s="143"/>
      <c r="CH465" s="143"/>
      <c r="CI465" s="143"/>
      <c r="CJ465" s="143"/>
      <c r="CK465" s="143"/>
      <c r="CL465" s="143"/>
      <c r="CM465" s="143"/>
      <c r="CN465" s="143"/>
      <c r="CO465" s="143"/>
      <c r="CP465" s="143"/>
      <c r="CQ465" s="143"/>
      <c r="CR465" s="143"/>
      <c r="CS465" s="143"/>
      <c r="CT465" s="143"/>
      <c r="CU465" s="143"/>
      <c r="CV465" s="143"/>
      <c r="CW465" s="143"/>
      <c r="CX465" s="143"/>
      <c r="CY465" s="143"/>
      <c r="CZ465" s="143"/>
      <c r="DA465" s="143"/>
      <c r="DB465" s="143"/>
      <c r="DC465" s="143"/>
      <c r="DD465" s="143"/>
      <c r="DE465" s="143"/>
      <c r="DF465" s="143"/>
      <c r="DG465" s="143"/>
      <c r="DH465" s="143"/>
      <c r="DI465" s="143"/>
      <c r="DJ465" s="143"/>
      <c r="DK465" s="143"/>
      <c r="DL465" s="143"/>
      <c r="DM465" s="143"/>
      <c r="DN465" s="143"/>
      <c r="DO465" s="143"/>
      <c r="DP465" s="143"/>
      <c r="DQ465" s="143"/>
      <c r="DR465" s="143"/>
      <c r="DS465" s="143"/>
      <c r="DT465" s="143"/>
      <c r="DU465" s="143"/>
      <c r="DV465" s="143"/>
      <c r="DW465" s="143"/>
      <c r="DX465" s="143"/>
      <c r="DY465" s="143"/>
      <c r="DZ465" s="143"/>
      <c r="EA465" s="143"/>
      <c r="EB465" s="143"/>
      <c r="EC465" s="143"/>
      <c r="ED465" s="143"/>
      <c r="EE465" s="143"/>
      <c r="EF465" s="143"/>
      <c r="EG465" s="143"/>
      <c r="EH465" s="143"/>
      <c r="EI465" s="143"/>
      <c r="EJ465" s="143"/>
      <c r="EK465" s="143"/>
      <c r="EL465" s="143"/>
      <c r="EM465" s="143"/>
      <c r="EN465" s="143"/>
      <c r="EO465" s="143"/>
      <c r="EP465" s="143"/>
      <c r="EQ465" s="143"/>
      <c r="ER465" s="143"/>
      <c r="ES465" s="143"/>
      <c r="ET465" s="143"/>
      <c r="EU465" s="143"/>
      <c r="EV465" s="143"/>
      <c r="EW465" s="143"/>
      <c r="EX465" s="143"/>
      <c r="EY465" s="143"/>
      <c r="EZ465" s="143"/>
      <c r="FA465" s="143"/>
      <c r="FB465" s="143"/>
      <c r="FC465" s="143"/>
      <c r="FD465" s="143"/>
      <c r="FE465" s="143"/>
      <c r="FF465" s="143"/>
      <c r="FG465" s="143"/>
      <c r="FH465" s="143"/>
      <c r="FI465" s="143"/>
      <c r="FJ465" s="143"/>
      <c r="FK465" s="143"/>
      <c r="FL465" s="143"/>
      <c r="FM465" s="143"/>
      <c r="FN465" s="143"/>
      <c r="FO465" s="143"/>
      <c r="FP465" s="143"/>
      <c r="FQ465" s="143"/>
      <c r="FR465" s="143"/>
      <c r="FS465" s="143"/>
      <c r="FT465" s="143"/>
      <c r="FU465" s="143"/>
      <c r="FV465" s="143"/>
      <c r="FW465" s="143"/>
      <c r="FX465" s="143"/>
      <c r="FY465" s="143"/>
      <c r="FZ465" s="143"/>
      <c r="GA465" s="143"/>
      <c r="GB465" s="143"/>
      <c r="GC465" s="143"/>
      <c r="GD465" s="143"/>
      <c r="GE465" s="143"/>
      <c r="GF465" s="143"/>
      <c r="GG465" s="143"/>
      <c r="GH465" s="143"/>
      <c r="GI465" s="143"/>
      <c r="GJ465" s="143"/>
      <c r="GK465" s="143"/>
      <c r="GL465" s="143"/>
      <c r="GM465" s="143"/>
      <c r="GN465" s="143"/>
      <c r="GO465" s="143"/>
      <c r="GP465" s="143"/>
      <c r="GQ465" s="143"/>
      <c r="GR465" s="143"/>
      <c r="GS465" s="143"/>
      <c r="GT465" s="143"/>
      <c r="GU465" s="143"/>
      <c r="GV465" s="143"/>
      <c r="GW465" s="143"/>
      <c r="GX465" s="143"/>
      <c r="GY465" s="143"/>
      <c r="GZ465" s="143"/>
      <c r="HA465" s="143"/>
      <c r="HB465" s="143"/>
      <c r="HC465" s="143"/>
      <c r="HD465" s="143"/>
      <c r="HE465" s="143"/>
      <c r="HF465" s="143"/>
      <c r="HG465" s="143"/>
      <c r="HH465" s="143"/>
      <c r="HI465" s="143"/>
      <c r="HJ465" s="143"/>
      <c r="HK465" s="143"/>
      <c r="HL465" s="143"/>
      <c r="HM465" s="143"/>
      <c r="HN465" s="143"/>
      <c r="HO465" s="143"/>
      <c r="HP465" s="143"/>
      <c r="HQ465" s="143"/>
      <c r="HR465" s="143"/>
      <c r="HS465" s="143"/>
      <c r="HT465" s="143"/>
      <c r="HU465" s="143"/>
      <c r="HV465" s="143"/>
      <c r="HW465" s="143"/>
      <c r="HX465" s="143"/>
      <c r="HY465" s="143"/>
      <c r="HZ465" s="143"/>
      <c r="IA465" s="143"/>
      <c r="IB465" s="143"/>
      <c r="IC465" s="143"/>
      <c r="ID465" s="143"/>
      <c r="IE465" s="143"/>
      <c r="IF465" s="143"/>
      <c r="IG465" s="143"/>
      <c r="IH465" s="143"/>
      <c r="II465" s="143"/>
      <c r="IJ465" s="143"/>
      <c r="IK465" s="143"/>
      <c r="IL465" s="143"/>
      <c r="IM465" s="143"/>
      <c r="IN465" s="143"/>
      <c r="IO465" s="143"/>
      <c r="IP465" s="143"/>
      <c r="IQ465" s="143"/>
      <c r="IR465" s="143"/>
      <c r="IS465" s="143"/>
      <c r="IT465" s="143"/>
      <c r="IU465" s="143"/>
      <c r="IV465" s="143"/>
      <c r="IW465" s="143"/>
      <c r="IX465" s="143"/>
      <c r="IY465" s="143"/>
      <c r="IZ465" s="143"/>
      <c r="JA465" s="143"/>
      <c r="JB465" s="143"/>
      <c r="JC465" s="143"/>
      <c r="JD465" s="143"/>
      <c r="JE465" s="143"/>
      <c r="JF465" s="143"/>
      <c r="JG465" s="143"/>
      <c r="JH465" s="143"/>
      <c r="JI465" s="143"/>
    </row>
    <row r="466" spans="1:269" outlineLevel="1">
      <c r="A466" s="435" t="s">
        <v>320</v>
      </c>
      <c r="B466" s="143"/>
      <c r="C466" s="277"/>
      <c r="D466" s="277"/>
      <c r="E466" s="277"/>
      <c r="F466" s="278"/>
      <c r="G466" s="278"/>
      <c r="H466" s="278"/>
      <c r="I466" s="278">
        <v>0</v>
      </c>
      <c r="J466" s="277"/>
      <c r="K466" s="278"/>
      <c r="L466" s="278"/>
      <c r="M466" s="278"/>
      <c r="N466" s="278">
        <v>0</v>
      </c>
      <c r="O466" s="277"/>
      <c r="P466" s="278"/>
      <c r="Q466" s="278">
        <v>126000</v>
      </c>
      <c r="R466" s="278"/>
      <c r="S466" s="278"/>
      <c r="T466" s="277"/>
      <c r="U466" s="278"/>
      <c r="V466" s="278"/>
      <c r="W466" s="278"/>
      <c r="X466" s="278"/>
      <c r="Y466" s="277"/>
      <c r="Z466" s="278"/>
      <c r="AA466" s="278"/>
      <c r="AB466" s="278"/>
      <c r="AC466" s="287"/>
      <c r="AD466" s="499"/>
      <c r="AE466" s="287"/>
      <c r="AF466" s="287"/>
      <c r="AG466" s="287"/>
      <c r="AH466" s="287"/>
      <c r="AI466" s="499"/>
      <c r="AJ466" s="287"/>
      <c r="AK466" s="287"/>
      <c r="AL466" s="287"/>
      <c r="AM466" s="287"/>
      <c r="AN466" s="499"/>
      <c r="AO466" s="287"/>
      <c r="AP466" s="287"/>
      <c r="AQ466" s="287"/>
      <c r="AR466" s="287"/>
      <c r="AS466" s="499"/>
      <c r="AT466" s="315"/>
      <c r="AU466" s="508"/>
      <c r="AV466" s="143"/>
      <c r="AW466" s="143"/>
      <c r="AX466" s="143"/>
      <c r="AY466" s="143"/>
      <c r="AZ466" s="143"/>
      <c r="BA466" s="143"/>
      <c r="BB466" s="143"/>
      <c r="BC466" s="143"/>
      <c r="BD466" s="143"/>
      <c r="BE466" s="143"/>
      <c r="BF466" s="143"/>
      <c r="BG466" s="143"/>
      <c r="BH466" s="143"/>
      <c r="BI466" s="143"/>
      <c r="BJ466" s="143"/>
      <c r="BK466" s="143"/>
      <c r="BL466" s="143"/>
      <c r="BM466" s="143"/>
      <c r="BN466" s="143"/>
      <c r="BO466" s="143"/>
      <c r="BP466" s="143"/>
      <c r="BQ466" s="143"/>
      <c r="BR466" s="143"/>
      <c r="BS466" s="143"/>
      <c r="BT466" s="143"/>
      <c r="BU466" s="143"/>
      <c r="BV466" s="143"/>
      <c r="BW466" s="143"/>
      <c r="BX466" s="143"/>
      <c r="BY466" s="143"/>
      <c r="BZ466" s="143"/>
      <c r="CA466" s="143"/>
      <c r="CB466" s="143"/>
      <c r="CC466" s="143"/>
      <c r="CD466" s="143"/>
      <c r="CE466" s="143"/>
      <c r="CF466" s="143"/>
      <c r="CG466" s="143"/>
      <c r="CH466" s="143"/>
      <c r="CI466" s="143"/>
      <c r="CJ466" s="143"/>
      <c r="CK466" s="143"/>
      <c r="CL466" s="143"/>
      <c r="CM466" s="143"/>
      <c r="CN466" s="143"/>
      <c r="CO466" s="143"/>
      <c r="CP466" s="143"/>
      <c r="CQ466" s="143"/>
      <c r="CR466" s="143"/>
      <c r="CS466" s="143"/>
      <c r="CT466" s="143"/>
      <c r="CU466" s="143"/>
      <c r="CV466" s="143"/>
      <c r="CW466" s="143"/>
      <c r="CX466" s="143"/>
      <c r="CY466" s="143"/>
      <c r="CZ466" s="143"/>
      <c r="DA466" s="143"/>
      <c r="DB466" s="143"/>
      <c r="DC466" s="143"/>
      <c r="DD466" s="143"/>
      <c r="DE466" s="143"/>
      <c r="DF466" s="143"/>
      <c r="DG466" s="143"/>
      <c r="DH466" s="143"/>
      <c r="DI466" s="143"/>
      <c r="DJ466" s="143"/>
      <c r="DK466" s="143"/>
      <c r="DL466" s="143"/>
      <c r="DM466" s="143"/>
      <c r="DN466" s="143"/>
      <c r="DO466" s="143"/>
      <c r="DP466" s="143"/>
      <c r="DQ466" s="143"/>
      <c r="DR466" s="143"/>
      <c r="DS466" s="143"/>
      <c r="DT466" s="143"/>
      <c r="DU466" s="143"/>
      <c r="DV466" s="143"/>
      <c r="DW466" s="143"/>
      <c r="DX466" s="143"/>
      <c r="DY466" s="143"/>
      <c r="DZ466" s="143"/>
      <c r="EA466" s="143"/>
      <c r="EB466" s="143"/>
      <c r="EC466" s="143"/>
      <c r="ED466" s="143"/>
      <c r="EE466" s="143"/>
      <c r="EF466" s="143"/>
      <c r="EG466" s="143"/>
      <c r="EH466" s="143"/>
      <c r="EI466" s="143"/>
      <c r="EJ466" s="143"/>
      <c r="EK466" s="143"/>
      <c r="EL466" s="143"/>
      <c r="EM466" s="143"/>
      <c r="EN466" s="143"/>
      <c r="EO466" s="143"/>
      <c r="EP466" s="143"/>
      <c r="EQ466" s="143"/>
      <c r="ER466" s="143"/>
      <c r="ES466" s="143"/>
      <c r="ET466" s="143"/>
      <c r="EU466" s="143"/>
      <c r="EV466" s="143"/>
      <c r="EW466" s="143"/>
      <c r="EX466" s="143"/>
      <c r="EY466" s="143"/>
      <c r="EZ466" s="143"/>
      <c r="FA466" s="143"/>
      <c r="FB466" s="143"/>
      <c r="FC466" s="143"/>
      <c r="FD466" s="143"/>
      <c r="FE466" s="143"/>
      <c r="FF466" s="143"/>
      <c r="FG466" s="143"/>
      <c r="FH466" s="143"/>
      <c r="FI466" s="143"/>
      <c r="FJ466" s="143"/>
      <c r="FK466" s="143"/>
      <c r="FL466" s="143"/>
      <c r="FM466" s="143"/>
      <c r="FN466" s="143"/>
      <c r="FO466" s="143"/>
      <c r="FP466" s="143"/>
      <c r="FQ466" s="143"/>
      <c r="FR466" s="143"/>
      <c r="FS466" s="143"/>
      <c r="FT466" s="143"/>
      <c r="FU466" s="143"/>
      <c r="FV466" s="143"/>
      <c r="FW466" s="143"/>
      <c r="FX466" s="143"/>
      <c r="FY466" s="143"/>
      <c r="FZ466" s="143"/>
      <c r="GA466" s="143"/>
      <c r="GB466" s="143"/>
      <c r="GC466" s="143"/>
      <c r="GD466" s="143"/>
      <c r="GE466" s="143"/>
      <c r="GF466" s="143"/>
      <c r="GG466" s="143"/>
      <c r="GH466" s="143"/>
      <c r="GI466" s="143"/>
      <c r="GJ466" s="143"/>
      <c r="GK466" s="143"/>
      <c r="GL466" s="143"/>
      <c r="GM466" s="143"/>
      <c r="GN466" s="143"/>
      <c r="GO466" s="143"/>
      <c r="GP466" s="143"/>
      <c r="GQ466" s="143"/>
      <c r="GR466" s="143"/>
      <c r="GS466" s="143"/>
      <c r="GT466" s="143"/>
      <c r="GU466" s="143"/>
      <c r="GV466" s="143"/>
      <c r="GW466" s="143"/>
      <c r="GX466" s="143"/>
      <c r="GY466" s="143"/>
      <c r="GZ466" s="143"/>
      <c r="HA466" s="143"/>
      <c r="HB466" s="143"/>
      <c r="HC466" s="143"/>
      <c r="HD466" s="143"/>
      <c r="HE466" s="143"/>
      <c r="HF466" s="143"/>
      <c r="HG466" s="143"/>
      <c r="HH466" s="143"/>
      <c r="HI466" s="143"/>
      <c r="HJ466" s="143"/>
      <c r="HK466" s="143"/>
      <c r="HL466" s="143"/>
      <c r="HM466" s="143"/>
      <c r="HN466" s="143"/>
      <c r="HO466" s="143"/>
      <c r="HP466" s="143"/>
      <c r="HQ466" s="143"/>
      <c r="HR466" s="143"/>
      <c r="HS466" s="143"/>
      <c r="HT466" s="143"/>
      <c r="HU466" s="143"/>
      <c r="HV466" s="143"/>
      <c r="HW466" s="143"/>
      <c r="HX466" s="143"/>
      <c r="HY466" s="143"/>
      <c r="HZ466" s="143"/>
      <c r="IA466" s="143"/>
      <c r="IB466" s="143"/>
      <c r="IC466" s="143"/>
      <c r="ID466" s="143"/>
      <c r="IE466" s="143"/>
      <c r="IF466" s="143"/>
      <c r="IG466" s="143"/>
      <c r="IH466" s="143"/>
      <c r="II466" s="143"/>
      <c r="IJ466" s="143"/>
      <c r="IK466" s="143"/>
      <c r="IL466" s="143"/>
      <c r="IM466" s="143"/>
      <c r="IN466" s="143"/>
      <c r="IO466" s="143"/>
      <c r="IP466" s="143"/>
      <c r="IQ466" s="143"/>
      <c r="IR466" s="143"/>
      <c r="IS466" s="143"/>
      <c r="IT466" s="143"/>
      <c r="IU466" s="143"/>
      <c r="IV466" s="143"/>
      <c r="IW466" s="143"/>
      <c r="IX466" s="143"/>
      <c r="IY466" s="143"/>
      <c r="IZ466" s="143"/>
      <c r="JA466" s="143"/>
      <c r="JB466" s="143"/>
      <c r="JC466" s="143"/>
      <c r="JD466" s="143"/>
      <c r="JE466" s="143"/>
      <c r="JF466" s="143"/>
      <c r="JG466" s="143"/>
      <c r="JH466" s="143"/>
      <c r="JI466" s="143"/>
    </row>
    <row r="467" spans="1:269" outlineLevel="1">
      <c r="A467" s="435" t="s">
        <v>202</v>
      </c>
      <c r="B467" s="143"/>
      <c r="C467" s="277"/>
      <c r="D467" s="277"/>
      <c r="E467" s="277"/>
      <c r="F467" s="278"/>
      <c r="G467" s="278"/>
      <c r="H467" s="278"/>
      <c r="I467" s="278">
        <v>1854</v>
      </c>
      <c r="J467" s="277"/>
      <c r="K467" s="278"/>
      <c r="L467" s="278"/>
      <c r="M467" s="278"/>
      <c r="N467" s="278">
        <v>1854</v>
      </c>
      <c r="O467" s="277">
        <v>1854</v>
      </c>
      <c r="P467" s="278"/>
      <c r="Q467" s="278">
        <v>1767</v>
      </c>
      <c r="R467" s="278">
        <v>1755</v>
      </c>
      <c r="S467" s="278">
        <v>0</v>
      </c>
      <c r="T467" s="277">
        <v>0</v>
      </c>
      <c r="U467" s="278">
        <v>11</v>
      </c>
      <c r="V467" s="278"/>
      <c r="W467" s="278"/>
      <c r="X467" s="278">
        <v>0</v>
      </c>
      <c r="Y467" s="277">
        <v>0</v>
      </c>
      <c r="Z467" s="278"/>
      <c r="AA467" s="278">
        <v>979</v>
      </c>
      <c r="AB467" s="278">
        <v>410</v>
      </c>
      <c r="AC467" s="287">
        <f>AB467</f>
        <v>410</v>
      </c>
      <c r="AD467" s="499">
        <f t="shared" ref="AD467:AS468" si="971">AC467</f>
        <v>410</v>
      </c>
      <c r="AE467" s="287">
        <f t="shared" si="971"/>
        <v>410</v>
      </c>
      <c r="AF467" s="287">
        <f t="shared" si="971"/>
        <v>410</v>
      </c>
      <c r="AG467" s="287">
        <f t="shared" si="971"/>
        <v>410</v>
      </c>
      <c r="AH467" s="287">
        <f t="shared" si="971"/>
        <v>410</v>
      </c>
      <c r="AI467" s="499">
        <f t="shared" si="971"/>
        <v>410</v>
      </c>
      <c r="AJ467" s="287">
        <f t="shared" si="971"/>
        <v>410</v>
      </c>
      <c r="AK467" s="287">
        <f t="shared" si="971"/>
        <v>410</v>
      </c>
      <c r="AL467" s="287">
        <f t="shared" si="971"/>
        <v>410</v>
      </c>
      <c r="AM467" s="287">
        <f t="shared" si="971"/>
        <v>410</v>
      </c>
      <c r="AN467" s="499">
        <f t="shared" si="971"/>
        <v>410</v>
      </c>
      <c r="AO467" s="287">
        <f t="shared" si="971"/>
        <v>410</v>
      </c>
      <c r="AP467" s="287">
        <f t="shared" si="971"/>
        <v>410</v>
      </c>
      <c r="AQ467" s="287">
        <f t="shared" si="971"/>
        <v>410</v>
      </c>
      <c r="AR467" s="287">
        <f t="shared" si="971"/>
        <v>410</v>
      </c>
      <c r="AS467" s="499">
        <f t="shared" si="971"/>
        <v>410</v>
      </c>
      <c r="AT467" s="315"/>
      <c r="AU467" s="508"/>
      <c r="AV467" s="143"/>
      <c r="AW467" s="143"/>
      <c r="AX467" s="143"/>
      <c r="AY467" s="143"/>
      <c r="AZ467" s="143"/>
      <c r="BA467" s="143"/>
      <c r="BB467" s="143"/>
      <c r="BC467" s="143"/>
      <c r="BD467" s="143"/>
      <c r="BE467" s="143"/>
      <c r="BF467" s="143"/>
      <c r="BG467" s="143"/>
      <c r="BH467" s="143"/>
      <c r="BI467" s="143"/>
      <c r="BJ467" s="143"/>
      <c r="BK467" s="143"/>
      <c r="BL467" s="143"/>
      <c r="BM467" s="143"/>
      <c r="BN467" s="143"/>
      <c r="BO467" s="143"/>
      <c r="BP467" s="143"/>
      <c r="BQ467" s="143"/>
      <c r="BR467" s="143"/>
      <c r="BS467" s="143"/>
      <c r="BT467" s="143"/>
      <c r="BU467" s="143"/>
      <c r="BV467" s="143"/>
      <c r="BW467" s="143"/>
      <c r="BX467" s="143"/>
      <c r="BY467" s="143"/>
      <c r="BZ467" s="143"/>
      <c r="CA467" s="143"/>
      <c r="CB467" s="143"/>
      <c r="CC467" s="143"/>
      <c r="CD467" s="143"/>
      <c r="CE467" s="143"/>
      <c r="CF467" s="143"/>
      <c r="CG467" s="143"/>
      <c r="CH467" s="143"/>
      <c r="CI467" s="143"/>
      <c r="CJ467" s="143"/>
      <c r="CK467" s="143"/>
      <c r="CL467" s="143"/>
      <c r="CM467" s="143"/>
      <c r="CN467" s="143"/>
      <c r="CO467" s="143"/>
      <c r="CP467" s="143"/>
      <c r="CQ467" s="143"/>
      <c r="CR467" s="143"/>
      <c r="CS467" s="143"/>
      <c r="CT467" s="143"/>
      <c r="CU467" s="143"/>
      <c r="CV467" s="143"/>
      <c r="CW467" s="143"/>
      <c r="CX467" s="143"/>
      <c r="CY467" s="143"/>
      <c r="CZ467" s="143"/>
      <c r="DA467" s="143"/>
      <c r="DB467" s="143"/>
      <c r="DC467" s="143"/>
      <c r="DD467" s="143"/>
      <c r="DE467" s="143"/>
      <c r="DF467" s="143"/>
      <c r="DG467" s="143"/>
      <c r="DH467" s="143"/>
      <c r="DI467" s="143"/>
      <c r="DJ467" s="143"/>
      <c r="DK467" s="143"/>
      <c r="DL467" s="143"/>
      <c r="DM467" s="143"/>
      <c r="DN467" s="143"/>
      <c r="DO467" s="143"/>
      <c r="DP467" s="143"/>
      <c r="DQ467" s="143"/>
      <c r="DR467" s="143"/>
      <c r="DS467" s="143"/>
      <c r="DT467" s="143"/>
      <c r="DU467" s="143"/>
      <c r="DV467" s="143"/>
      <c r="DW467" s="143"/>
      <c r="DX467" s="143"/>
      <c r="DY467" s="143"/>
      <c r="DZ467" s="143"/>
      <c r="EA467" s="143"/>
      <c r="EB467" s="143"/>
      <c r="EC467" s="143"/>
      <c r="ED467" s="143"/>
      <c r="EE467" s="143"/>
      <c r="EF467" s="143"/>
      <c r="EG467" s="143"/>
      <c r="EH467" s="143"/>
      <c r="EI467" s="143"/>
      <c r="EJ467" s="143"/>
      <c r="EK467" s="143"/>
      <c r="EL467" s="143"/>
      <c r="EM467" s="143"/>
      <c r="EN467" s="143"/>
      <c r="EO467" s="143"/>
      <c r="EP467" s="143"/>
      <c r="EQ467" s="143"/>
      <c r="ER467" s="143"/>
      <c r="ES467" s="143"/>
      <c r="ET467" s="143"/>
      <c r="EU467" s="143"/>
      <c r="EV467" s="143"/>
      <c r="EW467" s="143"/>
      <c r="EX467" s="143"/>
      <c r="EY467" s="143"/>
      <c r="EZ467" s="143"/>
      <c r="FA467" s="143"/>
      <c r="FB467" s="143"/>
      <c r="FC467" s="143"/>
      <c r="FD467" s="143"/>
      <c r="FE467" s="143"/>
      <c r="FF467" s="143"/>
      <c r="FG467" s="143"/>
      <c r="FH467" s="143"/>
      <c r="FI467" s="143"/>
      <c r="FJ467" s="143"/>
      <c r="FK467" s="143"/>
      <c r="FL467" s="143"/>
      <c r="FM467" s="143"/>
      <c r="FN467" s="143"/>
      <c r="FO467" s="143"/>
      <c r="FP467" s="143"/>
      <c r="FQ467" s="143"/>
      <c r="FR467" s="143"/>
      <c r="FS467" s="143"/>
      <c r="FT467" s="143"/>
      <c r="FU467" s="143"/>
      <c r="FV467" s="143"/>
      <c r="FW467" s="143"/>
      <c r="FX467" s="143"/>
      <c r="FY467" s="143"/>
      <c r="FZ467" s="143"/>
      <c r="GA467" s="143"/>
      <c r="GB467" s="143"/>
      <c r="GC467" s="143"/>
      <c r="GD467" s="143"/>
      <c r="GE467" s="143"/>
      <c r="GF467" s="143"/>
      <c r="GG467" s="143"/>
      <c r="GH467" s="143"/>
      <c r="GI467" s="143"/>
      <c r="GJ467" s="143"/>
      <c r="GK467" s="143"/>
      <c r="GL467" s="143"/>
      <c r="GM467" s="143"/>
      <c r="GN467" s="143"/>
      <c r="GO467" s="143"/>
      <c r="GP467" s="143"/>
      <c r="GQ467" s="143"/>
      <c r="GR467" s="143"/>
      <c r="GS467" s="143"/>
      <c r="GT467" s="143"/>
      <c r="GU467" s="143"/>
      <c r="GV467" s="143"/>
      <c r="GW467" s="143"/>
      <c r="GX467" s="143"/>
      <c r="GY467" s="143"/>
      <c r="GZ467" s="143"/>
      <c r="HA467" s="143"/>
      <c r="HB467" s="143"/>
      <c r="HC467" s="143"/>
      <c r="HD467" s="143"/>
      <c r="HE467" s="143"/>
      <c r="HF467" s="143"/>
      <c r="HG467" s="143"/>
      <c r="HH467" s="143"/>
      <c r="HI467" s="143"/>
      <c r="HJ467" s="143"/>
      <c r="HK467" s="143"/>
      <c r="HL467" s="143"/>
      <c r="HM467" s="143"/>
      <c r="HN467" s="143"/>
      <c r="HO467" s="143"/>
      <c r="HP467" s="143"/>
      <c r="HQ467" s="143"/>
      <c r="HR467" s="143"/>
      <c r="HS467" s="143"/>
      <c r="HT467" s="143"/>
      <c r="HU467" s="143"/>
      <c r="HV467" s="143"/>
      <c r="HW467" s="143"/>
      <c r="HX467" s="143"/>
      <c r="HY467" s="143"/>
      <c r="HZ467" s="143"/>
      <c r="IA467" s="143"/>
      <c r="IB467" s="143"/>
      <c r="IC467" s="143"/>
      <c r="ID467" s="143"/>
      <c r="IE467" s="143"/>
      <c r="IF467" s="143"/>
      <c r="IG467" s="143"/>
      <c r="IH467" s="143"/>
      <c r="II467" s="143"/>
      <c r="IJ467" s="143"/>
      <c r="IK467" s="143"/>
      <c r="IL467" s="143"/>
      <c r="IM467" s="143"/>
      <c r="IN467" s="143"/>
      <c r="IO467" s="143"/>
      <c r="IP467" s="143"/>
      <c r="IQ467" s="143"/>
      <c r="IR467" s="143"/>
      <c r="IS467" s="143"/>
      <c r="IT467" s="143"/>
      <c r="IU467" s="143"/>
      <c r="IV467" s="143"/>
      <c r="IW467" s="143"/>
      <c r="IX467" s="143"/>
      <c r="IY467" s="143"/>
      <c r="IZ467" s="143"/>
      <c r="JA467" s="143"/>
      <c r="JB467" s="143"/>
      <c r="JC467" s="143"/>
      <c r="JD467" s="143"/>
      <c r="JE467" s="143"/>
      <c r="JF467" s="143"/>
      <c r="JG467" s="143"/>
      <c r="JH467" s="143"/>
      <c r="JI467" s="143"/>
    </row>
    <row r="468" spans="1:269" outlineLevel="1">
      <c r="A468" s="435" t="s">
        <v>321</v>
      </c>
      <c r="B468" s="143"/>
      <c r="C468" s="277"/>
      <c r="D468" s="277"/>
      <c r="E468" s="277"/>
      <c r="F468" s="278"/>
      <c r="G468" s="278"/>
      <c r="H468" s="278"/>
      <c r="I468" s="278"/>
      <c r="J468" s="277"/>
      <c r="K468" s="278"/>
      <c r="L468" s="278"/>
      <c r="M468" s="278"/>
      <c r="N468" s="278"/>
      <c r="O468" s="277">
        <v>0</v>
      </c>
      <c r="P468" s="278"/>
      <c r="Q468" s="278"/>
      <c r="R468" s="278"/>
      <c r="S468" s="278">
        <v>12781</v>
      </c>
      <c r="T468" s="277">
        <v>12781</v>
      </c>
      <c r="U468" s="278">
        <v>12032</v>
      </c>
      <c r="V468" s="278">
        <v>13116</v>
      </c>
      <c r="W468" s="278">
        <v>11389</v>
      </c>
      <c r="X468" s="278">
        <v>12689</v>
      </c>
      <c r="Y468" s="277">
        <v>12689</v>
      </c>
      <c r="Z468" s="278">
        <v>12267</v>
      </c>
      <c r="AA468" s="278">
        <v>10628</v>
      </c>
      <c r="AB468" s="278">
        <v>10105</v>
      </c>
      <c r="AC468" s="287">
        <f>AB468</f>
        <v>10105</v>
      </c>
      <c r="AD468" s="499">
        <f t="shared" si="971"/>
        <v>10105</v>
      </c>
      <c r="AE468" s="287">
        <f t="shared" si="971"/>
        <v>10105</v>
      </c>
      <c r="AF468" s="287">
        <f t="shared" si="971"/>
        <v>10105</v>
      </c>
      <c r="AG468" s="287">
        <f t="shared" si="971"/>
        <v>10105</v>
      </c>
      <c r="AH468" s="287">
        <f t="shared" si="971"/>
        <v>10105</v>
      </c>
      <c r="AI468" s="499">
        <f t="shared" si="971"/>
        <v>10105</v>
      </c>
      <c r="AJ468" s="287">
        <f t="shared" si="971"/>
        <v>10105</v>
      </c>
      <c r="AK468" s="287">
        <f t="shared" si="971"/>
        <v>10105</v>
      </c>
      <c r="AL468" s="287">
        <f t="shared" si="971"/>
        <v>10105</v>
      </c>
      <c r="AM468" s="287">
        <f t="shared" si="971"/>
        <v>10105</v>
      </c>
      <c r="AN468" s="499">
        <f t="shared" si="971"/>
        <v>10105</v>
      </c>
      <c r="AO468" s="287">
        <f t="shared" si="971"/>
        <v>10105</v>
      </c>
      <c r="AP468" s="287">
        <f t="shared" si="971"/>
        <v>10105</v>
      </c>
      <c r="AQ468" s="287">
        <f t="shared" si="971"/>
        <v>10105</v>
      </c>
      <c r="AR468" s="287">
        <f t="shared" si="971"/>
        <v>10105</v>
      </c>
      <c r="AS468" s="499">
        <f t="shared" si="971"/>
        <v>10105</v>
      </c>
      <c r="AT468" s="315"/>
      <c r="AU468" s="508"/>
      <c r="AV468" s="143"/>
      <c r="AW468" s="143"/>
      <c r="AX468" s="143"/>
      <c r="AY468" s="143"/>
      <c r="AZ468" s="143"/>
      <c r="BA468" s="143"/>
      <c r="BB468" s="143"/>
      <c r="BC468" s="143"/>
      <c r="BD468" s="143"/>
      <c r="BE468" s="143"/>
      <c r="BF468" s="143"/>
      <c r="BG468" s="143"/>
      <c r="BH468" s="143"/>
      <c r="BI468" s="143"/>
      <c r="BJ468" s="143"/>
      <c r="BK468" s="143"/>
      <c r="BL468" s="143"/>
      <c r="BM468" s="143"/>
      <c r="BN468" s="143"/>
      <c r="BO468" s="143"/>
      <c r="BP468" s="143"/>
      <c r="BQ468" s="143"/>
      <c r="BR468" s="143"/>
      <c r="BS468" s="143"/>
      <c r="BT468" s="143"/>
      <c r="BU468" s="143"/>
      <c r="BV468" s="143"/>
      <c r="BW468" s="143"/>
      <c r="BX468" s="143"/>
      <c r="BY468" s="143"/>
      <c r="BZ468" s="143"/>
      <c r="CA468" s="143"/>
      <c r="CB468" s="143"/>
      <c r="CC468" s="143"/>
      <c r="CD468" s="143"/>
      <c r="CE468" s="143"/>
      <c r="CF468" s="143"/>
      <c r="CG468" s="143"/>
      <c r="CH468" s="143"/>
      <c r="CI468" s="143"/>
      <c r="CJ468" s="143"/>
      <c r="CK468" s="143"/>
      <c r="CL468" s="143"/>
      <c r="CM468" s="143"/>
      <c r="CN468" s="143"/>
      <c r="CO468" s="143"/>
      <c r="CP468" s="143"/>
      <c r="CQ468" s="143"/>
      <c r="CR468" s="143"/>
      <c r="CS468" s="143"/>
      <c r="CT468" s="143"/>
      <c r="CU468" s="143"/>
      <c r="CV468" s="143"/>
      <c r="CW468" s="143"/>
      <c r="CX468" s="143"/>
      <c r="CY468" s="143"/>
      <c r="CZ468" s="143"/>
      <c r="DA468" s="143"/>
      <c r="DB468" s="143"/>
      <c r="DC468" s="143"/>
      <c r="DD468" s="143"/>
      <c r="DE468" s="143"/>
      <c r="DF468" s="143"/>
      <c r="DG468" s="143"/>
      <c r="DH468" s="143"/>
      <c r="DI468" s="143"/>
      <c r="DJ468" s="143"/>
      <c r="DK468" s="143"/>
      <c r="DL468" s="143"/>
      <c r="DM468" s="143"/>
      <c r="DN468" s="143"/>
      <c r="DO468" s="143"/>
      <c r="DP468" s="143"/>
      <c r="DQ468" s="143"/>
      <c r="DR468" s="143"/>
      <c r="DS468" s="143"/>
      <c r="DT468" s="143"/>
      <c r="DU468" s="143"/>
      <c r="DV468" s="143"/>
      <c r="DW468" s="143"/>
      <c r="DX468" s="143"/>
      <c r="DY468" s="143"/>
      <c r="DZ468" s="143"/>
      <c r="EA468" s="143"/>
      <c r="EB468" s="143"/>
      <c r="EC468" s="143"/>
      <c r="ED468" s="143"/>
      <c r="EE468" s="143"/>
      <c r="EF468" s="143"/>
      <c r="EG468" s="143"/>
      <c r="EH468" s="143"/>
      <c r="EI468" s="143"/>
      <c r="EJ468" s="143"/>
      <c r="EK468" s="143"/>
      <c r="EL468" s="143"/>
      <c r="EM468" s="143"/>
      <c r="EN468" s="143"/>
      <c r="EO468" s="143"/>
      <c r="EP468" s="143"/>
      <c r="EQ468" s="143"/>
      <c r="ER468" s="143"/>
      <c r="ES468" s="143"/>
      <c r="ET468" s="143"/>
      <c r="EU468" s="143"/>
      <c r="EV468" s="143"/>
      <c r="EW468" s="143"/>
      <c r="EX468" s="143"/>
      <c r="EY468" s="143"/>
      <c r="EZ468" s="143"/>
      <c r="FA468" s="143"/>
      <c r="FB468" s="143"/>
      <c r="FC468" s="143"/>
      <c r="FD468" s="143"/>
      <c r="FE468" s="143"/>
      <c r="FF468" s="143"/>
      <c r="FG468" s="143"/>
      <c r="FH468" s="143"/>
      <c r="FI468" s="143"/>
      <c r="FJ468" s="143"/>
      <c r="FK468" s="143"/>
      <c r="FL468" s="143"/>
      <c r="FM468" s="143"/>
      <c r="FN468" s="143"/>
      <c r="FO468" s="143"/>
      <c r="FP468" s="143"/>
      <c r="FQ468" s="143"/>
      <c r="FR468" s="143"/>
      <c r="FS468" s="143"/>
      <c r="FT468" s="143"/>
      <c r="FU468" s="143"/>
      <c r="FV468" s="143"/>
      <c r="FW468" s="143"/>
      <c r="FX468" s="143"/>
      <c r="FY468" s="143"/>
      <c r="FZ468" s="143"/>
      <c r="GA468" s="143"/>
      <c r="GB468" s="143"/>
      <c r="GC468" s="143"/>
      <c r="GD468" s="143"/>
      <c r="GE468" s="143"/>
      <c r="GF468" s="143"/>
      <c r="GG468" s="143"/>
      <c r="GH468" s="143"/>
      <c r="GI468" s="143"/>
      <c r="GJ468" s="143"/>
      <c r="GK468" s="143"/>
      <c r="GL468" s="143"/>
      <c r="GM468" s="143"/>
      <c r="GN468" s="143"/>
      <c r="GO468" s="143"/>
      <c r="GP468" s="143"/>
      <c r="GQ468" s="143"/>
      <c r="GR468" s="143"/>
      <c r="GS468" s="143"/>
      <c r="GT468" s="143"/>
      <c r="GU468" s="143"/>
      <c r="GV468" s="143"/>
      <c r="GW468" s="143"/>
      <c r="GX468" s="143"/>
      <c r="GY468" s="143"/>
      <c r="GZ468" s="143"/>
      <c r="HA468" s="143"/>
      <c r="HB468" s="143"/>
      <c r="HC468" s="143"/>
      <c r="HD468" s="143"/>
      <c r="HE468" s="143"/>
      <c r="HF468" s="143"/>
      <c r="HG468" s="143"/>
      <c r="HH468" s="143"/>
      <c r="HI468" s="143"/>
      <c r="HJ468" s="143"/>
      <c r="HK468" s="143"/>
      <c r="HL468" s="143"/>
      <c r="HM468" s="143"/>
      <c r="HN468" s="143"/>
      <c r="HO468" s="143"/>
      <c r="HP468" s="143"/>
      <c r="HQ468" s="143"/>
      <c r="HR468" s="143"/>
      <c r="HS468" s="143"/>
      <c r="HT468" s="143"/>
      <c r="HU468" s="143"/>
      <c r="HV468" s="143"/>
      <c r="HW468" s="143"/>
      <c r="HX468" s="143"/>
      <c r="HY468" s="143"/>
      <c r="HZ468" s="143"/>
      <c r="IA468" s="143"/>
      <c r="IB468" s="143"/>
      <c r="IC468" s="143"/>
      <c r="ID468" s="143"/>
      <c r="IE468" s="143"/>
      <c r="IF468" s="143"/>
      <c r="IG468" s="143"/>
      <c r="IH468" s="143"/>
      <c r="II468" s="143"/>
      <c r="IJ468" s="143"/>
      <c r="IK468" s="143"/>
      <c r="IL468" s="143"/>
      <c r="IM468" s="143"/>
      <c r="IN468" s="143"/>
      <c r="IO468" s="143"/>
      <c r="IP468" s="143"/>
      <c r="IQ468" s="143"/>
      <c r="IR468" s="143"/>
      <c r="IS468" s="143"/>
      <c r="IT468" s="143"/>
      <c r="IU468" s="143"/>
      <c r="IV468" s="143"/>
      <c r="IW468" s="143"/>
      <c r="IX468" s="143"/>
      <c r="IY468" s="143"/>
      <c r="IZ468" s="143"/>
      <c r="JA468" s="143"/>
      <c r="JB468" s="143"/>
      <c r="JC468" s="143"/>
      <c r="JD468" s="143"/>
      <c r="JE468" s="143"/>
      <c r="JF468" s="143"/>
      <c r="JG468" s="143"/>
      <c r="JH468" s="143"/>
      <c r="JI468" s="143"/>
    </row>
    <row r="469" spans="1:269" outlineLevel="1">
      <c r="A469" s="435" t="s">
        <v>322</v>
      </c>
      <c r="B469" s="143"/>
      <c r="C469" s="277"/>
      <c r="D469" s="277"/>
      <c r="E469" s="277"/>
      <c r="F469" s="278"/>
      <c r="G469" s="278"/>
      <c r="H469" s="278"/>
      <c r="I469" s="278">
        <v>216024</v>
      </c>
      <c r="J469" s="277"/>
      <c r="K469" s="278"/>
      <c r="L469" s="278"/>
      <c r="M469" s="278"/>
      <c r="N469" s="278">
        <v>216024</v>
      </c>
      <c r="O469" s="277">
        <v>216024</v>
      </c>
      <c r="P469" s="278"/>
      <c r="Q469" s="278">
        <v>0</v>
      </c>
      <c r="R469" s="278">
        <v>0</v>
      </c>
      <c r="S469" s="278">
        <v>0</v>
      </c>
      <c r="T469" s="277">
        <v>0</v>
      </c>
      <c r="U469" s="278"/>
      <c r="V469" s="278"/>
      <c r="W469" s="278"/>
      <c r="X469" s="278"/>
      <c r="Y469" s="277"/>
      <c r="Z469" s="278"/>
      <c r="AA469" s="278"/>
      <c r="AB469" s="278"/>
      <c r="AC469" s="278"/>
      <c r="AD469" s="536"/>
      <c r="AE469" s="278"/>
      <c r="AF469" s="278"/>
      <c r="AG469" s="287"/>
      <c r="AH469" s="287"/>
      <c r="AI469" s="499"/>
      <c r="AJ469" s="287"/>
      <c r="AK469" s="287"/>
      <c r="AL469" s="287"/>
      <c r="AM469" s="287"/>
      <c r="AN469" s="499"/>
      <c r="AO469" s="287"/>
      <c r="AP469" s="287"/>
      <c r="AQ469" s="287"/>
      <c r="AR469" s="287"/>
      <c r="AS469" s="499"/>
      <c r="AT469" s="315"/>
      <c r="AU469" s="508"/>
      <c r="AV469" s="143"/>
      <c r="AW469" s="143"/>
      <c r="AX469" s="143"/>
      <c r="AY469" s="143"/>
      <c r="AZ469" s="143"/>
      <c r="BA469" s="143"/>
      <c r="BB469" s="143"/>
      <c r="BC469" s="143"/>
      <c r="BD469" s="143"/>
      <c r="BE469" s="143"/>
      <c r="BF469" s="143"/>
      <c r="BG469" s="143"/>
      <c r="BH469" s="143"/>
      <c r="BI469" s="143"/>
      <c r="BJ469" s="143"/>
      <c r="BK469" s="143"/>
      <c r="BL469" s="143"/>
      <c r="BM469" s="143"/>
      <c r="BN469" s="143"/>
      <c r="BO469" s="143"/>
      <c r="BP469" s="143"/>
      <c r="BQ469" s="143"/>
      <c r="BR469" s="143"/>
      <c r="BS469" s="143"/>
      <c r="BT469" s="143"/>
      <c r="BU469" s="143"/>
      <c r="BV469" s="143"/>
      <c r="BW469" s="143"/>
      <c r="BX469" s="143"/>
      <c r="BY469" s="143"/>
      <c r="BZ469" s="143"/>
      <c r="CA469" s="143"/>
      <c r="CB469" s="143"/>
      <c r="CC469" s="143"/>
      <c r="CD469" s="143"/>
      <c r="CE469" s="143"/>
      <c r="CF469" s="143"/>
      <c r="CG469" s="143"/>
      <c r="CH469" s="143"/>
      <c r="CI469" s="143"/>
      <c r="CJ469" s="143"/>
      <c r="CK469" s="143"/>
      <c r="CL469" s="143"/>
      <c r="CM469" s="143"/>
      <c r="CN469" s="143"/>
      <c r="CO469" s="143"/>
      <c r="CP469" s="143"/>
      <c r="CQ469" s="143"/>
      <c r="CR469" s="143"/>
      <c r="CS469" s="143"/>
      <c r="CT469" s="143"/>
      <c r="CU469" s="143"/>
      <c r="CV469" s="143"/>
      <c r="CW469" s="143"/>
      <c r="CX469" s="143"/>
      <c r="CY469" s="143"/>
      <c r="CZ469" s="143"/>
      <c r="DA469" s="143"/>
      <c r="DB469" s="143"/>
      <c r="DC469" s="143"/>
      <c r="DD469" s="143"/>
      <c r="DE469" s="143"/>
      <c r="DF469" s="143"/>
      <c r="DG469" s="143"/>
      <c r="DH469" s="143"/>
      <c r="DI469" s="143"/>
      <c r="DJ469" s="143"/>
      <c r="DK469" s="143"/>
      <c r="DL469" s="143"/>
      <c r="DM469" s="143"/>
      <c r="DN469" s="143"/>
      <c r="DO469" s="143"/>
      <c r="DP469" s="143"/>
      <c r="DQ469" s="143"/>
      <c r="DR469" s="143"/>
      <c r="DS469" s="143"/>
      <c r="DT469" s="143"/>
      <c r="DU469" s="143"/>
      <c r="DV469" s="143"/>
      <c r="DW469" s="143"/>
      <c r="DX469" s="143"/>
      <c r="DY469" s="143"/>
      <c r="DZ469" s="143"/>
      <c r="EA469" s="143"/>
      <c r="EB469" s="143"/>
      <c r="EC469" s="143"/>
      <c r="ED469" s="143"/>
      <c r="EE469" s="143"/>
      <c r="EF469" s="143"/>
      <c r="EG469" s="143"/>
      <c r="EH469" s="143"/>
      <c r="EI469" s="143"/>
      <c r="EJ469" s="143"/>
      <c r="EK469" s="143"/>
      <c r="EL469" s="143"/>
      <c r="EM469" s="143"/>
      <c r="EN469" s="143"/>
      <c r="EO469" s="143"/>
      <c r="EP469" s="143"/>
      <c r="EQ469" s="143"/>
      <c r="ER469" s="143"/>
      <c r="ES469" s="143"/>
      <c r="ET469" s="143"/>
      <c r="EU469" s="143"/>
      <c r="EV469" s="143"/>
      <c r="EW469" s="143"/>
      <c r="EX469" s="143"/>
      <c r="EY469" s="143"/>
      <c r="EZ469" s="143"/>
      <c r="FA469" s="143"/>
      <c r="FB469" s="143"/>
      <c r="FC469" s="143"/>
      <c r="FD469" s="143"/>
      <c r="FE469" s="143"/>
      <c r="FF469" s="143"/>
      <c r="FG469" s="143"/>
      <c r="FH469" s="143"/>
      <c r="FI469" s="143"/>
      <c r="FJ469" s="143"/>
      <c r="FK469" s="143"/>
      <c r="FL469" s="143"/>
      <c r="FM469" s="143"/>
      <c r="FN469" s="143"/>
      <c r="FO469" s="143"/>
      <c r="FP469" s="143"/>
      <c r="FQ469" s="143"/>
      <c r="FR469" s="143"/>
      <c r="FS469" s="143"/>
      <c r="FT469" s="143"/>
      <c r="FU469" s="143"/>
      <c r="FV469" s="143"/>
      <c r="FW469" s="143"/>
      <c r="FX469" s="143"/>
      <c r="FY469" s="143"/>
      <c r="FZ469" s="143"/>
      <c r="GA469" s="143"/>
      <c r="GB469" s="143"/>
      <c r="GC469" s="143"/>
      <c r="GD469" s="143"/>
      <c r="GE469" s="143"/>
      <c r="GF469" s="143"/>
      <c r="GG469" s="143"/>
      <c r="GH469" s="143"/>
      <c r="GI469" s="143"/>
      <c r="GJ469" s="143"/>
      <c r="GK469" s="143"/>
      <c r="GL469" s="143"/>
      <c r="GM469" s="143"/>
      <c r="GN469" s="143"/>
      <c r="GO469" s="143"/>
      <c r="GP469" s="143"/>
      <c r="GQ469" s="143"/>
      <c r="GR469" s="143"/>
      <c r="GS469" s="143"/>
      <c r="GT469" s="143"/>
      <c r="GU469" s="143"/>
      <c r="GV469" s="143"/>
      <c r="GW469" s="143"/>
      <c r="GX469" s="143"/>
      <c r="GY469" s="143"/>
      <c r="GZ469" s="143"/>
      <c r="HA469" s="143"/>
      <c r="HB469" s="143"/>
      <c r="HC469" s="143"/>
      <c r="HD469" s="143"/>
      <c r="HE469" s="143"/>
      <c r="HF469" s="143"/>
      <c r="HG469" s="143"/>
      <c r="HH469" s="143"/>
      <c r="HI469" s="143"/>
      <c r="HJ469" s="143"/>
      <c r="HK469" s="143"/>
      <c r="HL469" s="143"/>
      <c r="HM469" s="143"/>
      <c r="HN469" s="143"/>
      <c r="HO469" s="143"/>
      <c r="HP469" s="143"/>
      <c r="HQ469" s="143"/>
      <c r="HR469" s="143"/>
      <c r="HS469" s="143"/>
      <c r="HT469" s="143"/>
      <c r="HU469" s="143"/>
      <c r="HV469" s="143"/>
      <c r="HW469" s="143"/>
      <c r="HX469" s="143"/>
      <c r="HY469" s="143"/>
      <c r="HZ469" s="143"/>
      <c r="IA469" s="143"/>
      <c r="IB469" s="143"/>
      <c r="IC469" s="143"/>
      <c r="ID469" s="143"/>
      <c r="IE469" s="143"/>
      <c r="IF469" s="143"/>
      <c r="IG469" s="143"/>
      <c r="IH469" s="143"/>
      <c r="II469" s="143"/>
      <c r="IJ469" s="143"/>
      <c r="IK469" s="143"/>
      <c r="IL469" s="143"/>
      <c r="IM469" s="143"/>
      <c r="IN469" s="143"/>
      <c r="IO469" s="143"/>
      <c r="IP469" s="143"/>
      <c r="IQ469" s="143"/>
      <c r="IR469" s="143"/>
      <c r="IS469" s="143"/>
      <c r="IT469" s="143"/>
      <c r="IU469" s="143"/>
      <c r="IV469" s="143"/>
      <c r="IW469" s="143"/>
      <c r="IX469" s="143"/>
      <c r="IY469" s="143"/>
      <c r="IZ469" s="143"/>
      <c r="JA469" s="143"/>
      <c r="JB469" s="143"/>
      <c r="JC469" s="143"/>
      <c r="JD469" s="143"/>
      <c r="JE469" s="143"/>
      <c r="JF469" s="143"/>
      <c r="JG469" s="143"/>
      <c r="JH469" s="143"/>
      <c r="JI469" s="143"/>
    </row>
    <row r="470" spans="1:269" outlineLevel="1">
      <c r="A470" s="435" t="s">
        <v>323</v>
      </c>
      <c r="B470" s="143"/>
      <c r="C470" s="277"/>
      <c r="D470" s="277"/>
      <c r="E470" s="277"/>
      <c r="F470" s="278"/>
      <c r="G470" s="278"/>
      <c r="H470" s="278"/>
      <c r="I470" s="278">
        <v>3987</v>
      </c>
      <c r="J470" s="277"/>
      <c r="K470" s="278"/>
      <c r="L470" s="278"/>
      <c r="M470" s="278"/>
      <c r="N470" s="278">
        <v>3987</v>
      </c>
      <c r="O470" s="277">
        <v>3987</v>
      </c>
      <c r="P470" s="278"/>
      <c r="Q470" s="278">
        <v>1313</v>
      </c>
      <c r="R470" s="278">
        <v>2676</v>
      </c>
      <c r="S470" s="278">
        <v>3561</v>
      </c>
      <c r="T470" s="277">
        <v>3561</v>
      </c>
      <c r="U470" s="278">
        <v>3761</v>
      </c>
      <c r="V470" s="278">
        <v>3844</v>
      </c>
      <c r="W470" s="278">
        <v>3678</v>
      </c>
      <c r="X470" s="278">
        <v>2011</v>
      </c>
      <c r="Y470" s="277">
        <v>2011</v>
      </c>
      <c r="Z470" s="278">
        <v>2941</v>
      </c>
      <c r="AA470" s="278">
        <v>2015</v>
      </c>
      <c r="AB470" s="278">
        <v>2299</v>
      </c>
      <c r="AC470" s="287">
        <f>AB470</f>
        <v>2299</v>
      </c>
      <c r="AD470" s="499">
        <f t="shared" ref="AD470:AS470" si="972">AC470</f>
        <v>2299</v>
      </c>
      <c r="AE470" s="287">
        <f t="shared" si="972"/>
        <v>2299</v>
      </c>
      <c r="AF470" s="287">
        <f t="shared" si="972"/>
        <v>2299</v>
      </c>
      <c r="AG470" s="287">
        <f t="shared" si="972"/>
        <v>2299</v>
      </c>
      <c r="AH470" s="287">
        <f t="shared" si="972"/>
        <v>2299</v>
      </c>
      <c r="AI470" s="499">
        <f t="shared" si="972"/>
        <v>2299</v>
      </c>
      <c r="AJ470" s="287">
        <f t="shared" si="972"/>
        <v>2299</v>
      </c>
      <c r="AK470" s="287">
        <f t="shared" si="972"/>
        <v>2299</v>
      </c>
      <c r="AL470" s="287">
        <f t="shared" si="972"/>
        <v>2299</v>
      </c>
      <c r="AM470" s="287">
        <f t="shared" si="972"/>
        <v>2299</v>
      </c>
      <c r="AN470" s="499">
        <f t="shared" si="972"/>
        <v>2299</v>
      </c>
      <c r="AO470" s="287">
        <f t="shared" si="972"/>
        <v>2299</v>
      </c>
      <c r="AP470" s="287">
        <f t="shared" si="972"/>
        <v>2299</v>
      </c>
      <c r="AQ470" s="287">
        <f t="shared" si="972"/>
        <v>2299</v>
      </c>
      <c r="AR470" s="287">
        <f t="shared" si="972"/>
        <v>2299</v>
      </c>
      <c r="AS470" s="499">
        <f t="shared" si="972"/>
        <v>2299</v>
      </c>
      <c r="AT470" s="315"/>
      <c r="AU470" s="508"/>
      <c r="AV470" s="143"/>
      <c r="AW470" s="143"/>
      <c r="AX470" s="143"/>
      <c r="AY470" s="143"/>
      <c r="AZ470" s="143"/>
      <c r="BA470" s="143"/>
      <c r="BB470" s="143"/>
      <c r="BC470" s="143"/>
      <c r="BD470" s="143"/>
      <c r="BE470" s="143"/>
      <c r="BF470" s="143"/>
      <c r="BG470" s="143"/>
      <c r="BH470" s="143"/>
      <c r="BI470" s="143"/>
      <c r="BJ470" s="143"/>
      <c r="BK470" s="143"/>
      <c r="BL470" s="143"/>
      <c r="BM470" s="143"/>
      <c r="BN470" s="143"/>
      <c r="BO470" s="143"/>
      <c r="BP470" s="143"/>
      <c r="BQ470" s="143"/>
      <c r="BR470" s="143"/>
      <c r="BS470" s="143"/>
      <c r="BT470" s="143"/>
      <c r="BU470" s="143"/>
      <c r="BV470" s="143"/>
      <c r="BW470" s="143"/>
      <c r="BX470" s="143"/>
      <c r="BY470" s="143"/>
      <c r="BZ470" s="143"/>
      <c r="CA470" s="143"/>
      <c r="CB470" s="143"/>
      <c r="CC470" s="143"/>
      <c r="CD470" s="143"/>
      <c r="CE470" s="143"/>
      <c r="CF470" s="143"/>
      <c r="CG470" s="143"/>
      <c r="CH470" s="143"/>
      <c r="CI470" s="143"/>
      <c r="CJ470" s="143"/>
      <c r="CK470" s="143"/>
      <c r="CL470" s="143"/>
      <c r="CM470" s="143"/>
      <c r="CN470" s="143"/>
      <c r="CO470" s="143"/>
      <c r="CP470" s="143"/>
      <c r="CQ470" s="143"/>
      <c r="CR470" s="143"/>
      <c r="CS470" s="143"/>
      <c r="CT470" s="143"/>
      <c r="CU470" s="143"/>
      <c r="CV470" s="143"/>
      <c r="CW470" s="143"/>
      <c r="CX470" s="143"/>
      <c r="CY470" s="143"/>
      <c r="CZ470" s="143"/>
      <c r="DA470" s="143"/>
      <c r="DB470" s="143"/>
      <c r="DC470" s="143"/>
      <c r="DD470" s="143"/>
      <c r="DE470" s="143"/>
      <c r="DF470" s="143"/>
      <c r="DG470" s="143"/>
      <c r="DH470" s="143"/>
      <c r="DI470" s="143"/>
      <c r="DJ470" s="143"/>
      <c r="DK470" s="143"/>
      <c r="DL470" s="143"/>
      <c r="DM470" s="143"/>
      <c r="DN470" s="143"/>
      <c r="DO470" s="143"/>
      <c r="DP470" s="143"/>
      <c r="DQ470" s="143"/>
      <c r="DR470" s="143"/>
      <c r="DS470" s="143"/>
      <c r="DT470" s="143"/>
      <c r="DU470" s="143"/>
      <c r="DV470" s="143"/>
      <c r="DW470" s="143"/>
      <c r="DX470" s="143"/>
      <c r="DY470" s="143"/>
      <c r="DZ470" s="143"/>
      <c r="EA470" s="143"/>
      <c r="EB470" s="143"/>
      <c r="EC470" s="143"/>
      <c r="ED470" s="143"/>
      <c r="EE470" s="143"/>
      <c r="EF470" s="143"/>
      <c r="EG470" s="143"/>
      <c r="EH470" s="143"/>
      <c r="EI470" s="143"/>
      <c r="EJ470" s="143"/>
      <c r="EK470" s="143"/>
      <c r="EL470" s="143"/>
      <c r="EM470" s="143"/>
      <c r="EN470" s="143"/>
      <c r="EO470" s="143"/>
      <c r="EP470" s="143"/>
      <c r="EQ470" s="143"/>
      <c r="ER470" s="143"/>
      <c r="ES470" s="143"/>
      <c r="ET470" s="143"/>
      <c r="EU470" s="143"/>
      <c r="EV470" s="143"/>
      <c r="EW470" s="143"/>
      <c r="EX470" s="143"/>
      <c r="EY470" s="143"/>
      <c r="EZ470" s="143"/>
      <c r="FA470" s="143"/>
      <c r="FB470" s="143"/>
      <c r="FC470" s="143"/>
      <c r="FD470" s="143"/>
      <c r="FE470" s="143"/>
      <c r="FF470" s="143"/>
      <c r="FG470" s="143"/>
      <c r="FH470" s="143"/>
      <c r="FI470" s="143"/>
      <c r="FJ470" s="143"/>
      <c r="FK470" s="143"/>
      <c r="FL470" s="143"/>
      <c r="FM470" s="143"/>
      <c r="FN470" s="143"/>
      <c r="FO470" s="143"/>
      <c r="FP470" s="143"/>
      <c r="FQ470" s="143"/>
      <c r="FR470" s="143"/>
      <c r="FS470" s="143"/>
      <c r="FT470" s="143"/>
      <c r="FU470" s="143"/>
      <c r="FV470" s="143"/>
      <c r="FW470" s="143"/>
      <c r="FX470" s="143"/>
      <c r="FY470" s="143"/>
      <c r="FZ470" s="143"/>
      <c r="GA470" s="143"/>
      <c r="GB470" s="143"/>
      <c r="GC470" s="143"/>
      <c r="GD470" s="143"/>
      <c r="GE470" s="143"/>
      <c r="GF470" s="143"/>
      <c r="GG470" s="143"/>
      <c r="GH470" s="143"/>
      <c r="GI470" s="143"/>
      <c r="GJ470" s="143"/>
      <c r="GK470" s="143"/>
      <c r="GL470" s="143"/>
      <c r="GM470" s="143"/>
      <c r="GN470" s="143"/>
      <c r="GO470" s="143"/>
      <c r="GP470" s="143"/>
      <c r="GQ470" s="143"/>
      <c r="GR470" s="143"/>
      <c r="GS470" s="143"/>
      <c r="GT470" s="143"/>
      <c r="GU470" s="143"/>
      <c r="GV470" s="143"/>
      <c r="GW470" s="143"/>
      <c r="GX470" s="143"/>
      <c r="GY470" s="143"/>
      <c r="GZ470" s="143"/>
      <c r="HA470" s="143"/>
      <c r="HB470" s="143"/>
      <c r="HC470" s="143"/>
      <c r="HD470" s="143"/>
      <c r="HE470" s="143"/>
      <c r="HF470" s="143"/>
      <c r="HG470" s="143"/>
      <c r="HH470" s="143"/>
      <c r="HI470" s="143"/>
      <c r="HJ470" s="143"/>
      <c r="HK470" s="143"/>
      <c r="HL470" s="143"/>
      <c r="HM470" s="143"/>
      <c r="HN470" s="143"/>
      <c r="HO470" s="143"/>
      <c r="HP470" s="143"/>
      <c r="HQ470" s="143"/>
      <c r="HR470" s="143"/>
      <c r="HS470" s="143"/>
      <c r="HT470" s="143"/>
      <c r="HU470" s="143"/>
      <c r="HV470" s="143"/>
      <c r="HW470" s="143"/>
      <c r="HX470" s="143"/>
      <c r="HY470" s="143"/>
      <c r="HZ470" s="143"/>
      <c r="IA470" s="143"/>
      <c r="IB470" s="143"/>
      <c r="IC470" s="143"/>
      <c r="ID470" s="143"/>
      <c r="IE470" s="143"/>
      <c r="IF470" s="143"/>
      <c r="IG470" s="143"/>
      <c r="IH470" s="143"/>
      <c r="II470" s="143"/>
      <c r="IJ470" s="143"/>
      <c r="IK470" s="143"/>
      <c r="IL470" s="143"/>
      <c r="IM470" s="143"/>
      <c r="IN470" s="143"/>
      <c r="IO470" s="143"/>
      <c r="IP470" s="143"/>
      <c r="IQ470" s="143"/>
      <c r="IR470" s="143"/>
      <c r="IS470" s="143"/>
      <c r="IT470" s="143"/>
      <c r="IU470" s="143"/>
      <c r="IV470" s="143"/>
      <c r="IW470" s="143"/>
      <c r="IX470" s="143"/>
      <c r="IY470" s="143"/>
      <c r="IZ470" s="143"/>
      <c r="JA470" s="143"/>
      <c r="JB470" s="143"/>
      <c r="JC470" s="143"/>
      <c r="JD470" s="143"/>
      <c r="JE470" s="143"/>
      <c r="JF470" s="143"/>
      <c r="JG470" s="143"/>
      <c r="JH470" s="143"/>
      <c r="JI470" s="143"/>
    </row>
    <row r="471" spans="1:269" outlineLevel="1">
      <c r="A471" s="435" t="s">
        <v>324</v>
      </c>
      <c r="B471" s="143"/>
      <c r="C471" s="277"/>
      <c r="D471" s="277"/>
      <c r="E471" s="277"/>
      <c r="F471" s="278"/>
      <c r="G471" s="278"/>
      <c r="H471" s="278"/>
      <c r="I471" s="278">
        <v>0</v>
      </c>
      <c r="J471" s="277"/>
      <c r="K471" s="278"/>
      <c r="L471" s="278"/>
      <c r="M471" s="278"/>
      <c r="N471" s="278">
        <v>0</v>
      </c>
      <c r="O471" s="277">
        <v>0</v>
      </c>
      <c r="P471" s="278"/>
      <c r="Q471" s="278">
        <v>157866</v>
      </c>
      <c r="R471" s="278">
        <v>357173</v>
      </c>
      <c r="S471" s="278">
        <v>93816</v>
      </c>
      <c r="T471" s="277">
        <v>93816</v>
      </c>
      <c r="U471" s="278">
        <v>41765</v>
      </c>
      <c r="V471" s="278">
        <v>26579</v>
      </c>
      <c r="W471" s="278">
        <v>22295</v>
      </c>
      <c r="X471" s="278">
        <v>15473</v>
      </c>
      <c r="Y471" s="277">
        <v>15473</v>
      </c>
      <c r="Z471" s="278">
        <v>24550</v>
      </c>
      <c r="AA471" s="278">
        <v>12964</v>
      </c>
      <c r="AB471" s="278">
        <v>7109</v>
      </c>
      <c r="AC471" s="287">
        <f>AB471</f>
        <v>7109</v>
      </c>
      <c r="AD471" s="499">
        <f t="shared" ref="AD471:AS472" si="973">AC471</f>
        <v>7109</v>
      </c>
      <c r="AE471" s="287">
        <f t="shared" si="973"/>
        <v>7109</v>
      </c>
      <c r="AF471" s="287">
        <f t="shared" si="973"/>
        <v>7109</v>
      </c>
      <c r="AG471" s="287">
        <f t="shared" si="973"/>
        <v>7109</v>
      </c>
      <c r="AH471" s="287">
        <f t="shared" si="973"/>
        <v>7109</v>
      </c>
      <c r="AI471" s="499">
        <f t="shared" si="973"/>
        <v>7109</v>
      </c>
      <c r="AJ471" s="287">
        <f t="shared" si="973"/>
        <v>7109</v>
      </c>
      <c r="AK471" s="287">
        <f t="shared" si="973"/>
        <v>7109</v>
      </c>
      <c r="AL471" s="287">
        <f t="shared" si="973"/>
        <v>7109</v>
      </c>
      <c r="AM471" s="287">
        <f t="shared" si="973"/>
        <v>7109</v>
      </c>
      <c r="AN471" s="499">
        <f t="shared" si="973"/>
        <v>7109</v>
      </c>
      <c r="AO471" s="287">
        <f t="shared" si="973"/>
        <v>7109</v>
      </c>
      <c r="AP471" s="287">
        <f t="shared" si="973"/>
        <v>7109</v>
      </c>
      <c r="AQ471" s="287">
        <f t="shared" si="973"/>
        <v>7109</v>
      </c>
      <c r="AR471" s="287">
        <f t="shared" si="973"/>
        <v>7109</v>
      </c>
      <c r="AS471" s="499">
        <f t="shared" si="973"/>
        <v>7109</v>
      </c>
      <c r="AT471" s="315"/>
      <c r="AU471" s="508"/>
      <c r="AV471" s="143"/>
      <c r="AW471" s="143"/>
      <c r="AX471" s="143"/>
      <c r="AY471" s="143"/>
      <c r="AZ471" s="143"/>
      <c r="BA471" s="143"/>
      <c r="BB471" s="143"/>
      <c r="BC471" s="143"/>
      <c r="BD471" s="143"/>
      <c r="BE471" s="143"/>
      <c r="BF471" s="143"/>
      <c r="BG471" s="143"/>
      <c r="BH471" s="143"/>
      <c r="BI471" s="143"/>
      <c r="BJ471" s="143"/>
      <c r="BK471" s="143"/>
      <c r="BL471" s="143"/>
      <c r="BM471" s="143"/>
      <c r="BN471" s="143"/>
      <c r="BO471" s="143"/>
      <c r="BP471" s="143"/>
      <c r="BQ471" s="143"/>
      <c r="BR471" s="143"/>
      <c r="BS471" s="143"/>
      <c r="BT471" s="143"/>
      <c r="BU471" s="143"/>
      <c r="BV471" s="143"/>
      <c r="BW471" s="143"/>
      <c r="BX471" s="143"/>
      <c r="BY471" s="143"/>
      <c r="BZ471" s="143"/>
      <c r="CA471" s="143"/>
      <c r="CB471" s="143"/>
      <c r="CC471" s="143"/>
      <c r="CD471" s="143"/>
      <c r="CE471" s="143"/>
      <c r="CF471" s="143"/>
      <c r="CG471" s="143"/>
      <c r="CH471" s="143"/>
      <c r="CI471" s="143"/>
      <c r="CJ471" s="143"/>
      <c r="CK471" s="143"/>
      <c r="CL471" s="143"/>
      <c r="CM471" s="143"/>
      <c r="CN471" s="143"/>
      <c r="CO471" s="143"/>
      <c r="CP471" s="143"/>
      <c r="CQ471" s="143"/>
      <c r="CR471" s="143"/>
      <c r="CS471" s="143"/>
      <c r="CT471" s="143"/>
      <c r="CU471" s="143"/>
      <c r="CV471" s="143"/>
      <c r="CW471" s="143"/>
      <c r="CX471" s="143"/>
      <c r="CY471" s="143"/>
      <c r="CZ471" s="143"/>
      <c r="DA471" s="143"/>
      <c r="DB471" s="143"/>
      <c r="DC471" s="143"/>
      <c r="DD471" s="143"/>
      <c r="DE471" s="143"/>
      <c r="DF471" s="143"/>
      <c r="DG471" s="143"/>
      <c r="DH471" s="143"/>
      <c r="DI471" s="143"/>
      <c r="DJ471" s="143"/>
      <c r="DK471" s="143"/>
      <c r="DL471" s="143"/>
      <c r="DM471" s="143"/>
      <c r="DN471" s="143"/>
      <c r="DO471" s="143"/>
      <c r="DP471" s="143"/>
      <c r="DQ471" s="143"/>
      <c r="DR471" s="143"/>
      <c r="DS471" s="143"/>
      <c r="DT471" s="143"/>
      <c r="DU471" s="143"/>
      <c r="DV471" s="143"/>
      <c r="DW471" s="143"/>
      <c r="DX471" s="143"/>
      <c r="DY471" s="143"/>
      <c r="DZ471" s="143"/>
      <c r="EA471" s="143"/>
      <c r="EB471" s="143"/>
      <c r="EC471" s="143"/>
      <c r="ED471" s="143"/>
      <c r="EE471" s="143"/>
      <c r="EF471" s="143"/>
      <c r="EG471" s="143"/>
      <c r="EH471" s="143"/>
      <c r="EI471" s="143"/>
      <c r="EJ471" s="143"/>
      <c r="EK471" s="143"/>
      <c r="EL471" s="143"/>
      <c r="EM471" s="143"/>
      <c r="EN471" s="143"/>
      <c r="EO471" s="143"/>
      <c r="EP471" s="143"/>
      <c r="EQ471" s="143"/>
      <c r="ER471" s="143"/>
      <c r="ES471" s="143"/>
      <c r="ET471" s="143"/>
      <c r="EU471" s="143"/>
      <c r="EV471" s="143"/>
      <c r="EW471" s="143"/>
      <c r="EX471" s="143"/>
      <c r="EY471" s="143"/>
      <c r="EZ471" s="143"/>
      <c r="FA471" s="143"/>
      <c r="FB471" s="143"/>
      <c r="FC471" s="143"/>
      <c r="FD471" s="143"/>
      <c r="FE471" s="143"/>
      <c r="FF471" s="143"/>
      <c r="FG471" s="143"/>
      <c r="FH471" s="143"/>
      <c r="FI471" s="143"/>
      <c r="FJ471" s="143"/>
      <c r="FK471" s="143"/>
      <c r="FL471" s="143"/>
      <c r="FM471" s="143"/>
      <c r="FN471" s="143"/>
      <c r="FO471" s="143"/>
      <c r="FP471" s="143"/>
      <c r="FQ471" s="143"/>
      <c r="FR471" s="143"/>
      <c r="FS471" s="143"/>
      <c r="FT471" s="143"/>
      <c r="FU471" s="143"/>
      <c r="FV471" s="143"/>
      <c r="FW471" s="143"/>
      <c r="FX471" s="143"/>
      <c r="FY471" s="143"/>
      <c r="FZ471" s="143"/>
      <c r="GA471" s="143"/>
      <c r="GB471" s="143"/>
      <c r="GC471" s="143"/>
      <c r="GD471" s="143"/>
      <c r="GE471" s="143"/>
      <c r="GF471" s="143"/>
      <c r="GG471" s="143"/>
      <c r="GH471" s="143"/>
      <c r="GI471" s="143"/>
      <c r="GJ471" s="143"/>
      <c r="GK471" s="143"/>
      <c r="GL471" s="143"/>
      <c r="GM471" s="143"/>
      <c r="GN471" s="143"/>
      <c r="GO471" s="143"/>
      <c r="GP471" s="143"/>
      <c r="GQ471" s="143"/>
      <c r="GR471" s="143"/>
      <c r="GS471" s="143"/>
      <c r="GT471" s="143"/>
      <c r="GU471" s="143"/>
      <c r="GV471" s="143"/>
      <c r="GW471" s="143"/>
      <c r="GX471" s="143"/>
      <c r="GY471" s="143"/>
      <c r="GZ471" s="143"/>
      <c r="HA471" s="143"/>
      <c r="HB471" s="143"/>
      <c r="HC471" s="143"/>
      <c r="HD471" s="143"/>
      <c r="HE471" s="143"/>
      <c r="HF471" s="143"/>
      <c r="HG471" s="143"/>
      <c r="HH471" s="143"/>
      <c r="HI471" s="143"/>
      <c r="HJ471" s="143"/>
      <c r="HK471" s="143"/>
      <c r="HL471" s="143"/>
      <c r="HM471" s="143"/>
      <c r="HN471" s="143"/>
      <c r="HO471" s="143"/>
      <c r="HP471" s="143"/>
      <c r="HQ471" s="143"/>
      <c r="HR471" s="143"/>
      <c r="HS471" s="143"/>
      <c r="HT471" s="143"/>
      <c r="HU471" s="143"/>
      <c r="HV471" s="143"/>
      <c r="HW471" s="143"/>
      <c r="HX471" s="143"/>
      <c r="HY471" s="143"/>
      <c r="HZ471" s="143"/>
      <c r="IA471" s="143"/>
      <c r="IB471" s="143"/>
      <c r="IC471" s="143"/>
      <c r="ID471" s="143"/>
      <c r="IE471" s="143"/>
      <c r="IF471" s="143"/>
      <c r="IG471" s="143"/>
      <c r="IH471" s="143"/>
      <c r="II471" s="143"/>
      <c r="IJ471" s="143"/>
      <c r="IK471" s="143"/>
      <c r="IL471" s="143"/>
      <c r="IM471" s="143"/>
      <c r="IN471" s="143"/>
      <c r="IO471" s="143"/>
      <c r="IP471" s="143"/>
      <c r="IQ471" s="143"/>
      <c r="IR471" s="143"/>
      <c r="IS471" s="143"/>
      <c r="IT471" s="143"/>
      <c r="IU471" s="143"/>
      <c r="IV471" s="143"/>
      <c r="IW471" s="143"/>
      <c r="IX471" s="143"/>
      <c r="IY471" s="143"/>
      <c r="IZ471" s="143"/>
      <c r="JA471" s="143"/>
      <c r="JB471" s="143"/>
      <c r="JC471" s="143"/>
      <c r="JD471" s="143"/>
      <c r="JE471" s="143"/>
      <c r="JF471" s="143"/>
      <c r="JG471" s="143"/>
      <c r="JH471" s="143"/>
      <c r="JI471" s="143"/>
    </row>
    <row r="472" spans="1:269" outlineLevel="1">
      <c r="A472" s="435" t="s">
        <v>325</v>
      </c>
      <c r="B472" s="143"/>
      <c r="C472" s="277"/>
      <c r="D472" s="277"/>
      <c r="E472" s="277"/>
      <c r="F472" s="278"/>
      <c r="G472" s="278"/>
      <c r="H472" s="278"/>
      <c r="I472" s="278"/>
      <c r="J472" s="277"/>
      <c r="K472" s="278"/>
      <c r="L472" s="278"/>
      <c r="M472" s="278"/>
      <c r="N472" s="278"/>
      <c r="O472" s="277">
        <v>0</v>
      </c>
      <c r="P472" s="278"/>
      <c r="Q472" s="278"/>
      <c r="R472" s="278">
        <v>728858</v>
      </c>
      <c r="S472" s="278">
        <v>729914</v>
      </c>
      <c r="T472" s="277">
        <v>729914</v>
      </c>
      <c r="U472" s="278">
        <v>730971</v>
      </c>
      <c r="V472" s="278">
        <v>732028</v>
      </c>
      <c r="W472" s="278">
        <v>733086</v>
      </c>
      <c r="X472" s="278">
        <v>734143</v>
      </c>
      <c r="Y472" s="277">
        <v>734143</v>
      </c>
      <c r="Z472" s="278">
        <v>735201</v>
      </c>
      <c r="AA472" s="278">
        <v>736257</v>
      </c>
      <c r="AB472" s="278">
        <v>737315</v>
      </c>
      <c r="AC472" s="287">
        <f>AB472</f>
        <v>737315</v>
      </c>
      <c r="AD472" s="499">
        <f t="shared" si="973"/>
        <v>737315</v>
      </c>
      <c r="AE472" s="287">
        <f t="shared" si="973"/>
        <v>737315</v>
      </c>
      <c r="AF472" s="287">
        <f t="shared" si="973"/>
        <v>737315</v>
      </c>
      <c r="AG472" s="287">
        <f t="shared" si="973"/>
        <v>737315</v>
      </c>
      <c r="AH472" s="287">
        <f t="shared" si="973"/>
        <v>737315</v>
      </c>
      <c r="AI472" s="499">
        <f t="shared" si="973"/>
        <v>737315</v>
      </c>
      <c r="AJ472" s="287">
        <f t="shared" si="973"/>
        <v>737315</v>
      </c>
      <c r="AK472" s="287">
        <f t="shared" si="973"/>
        <v>737315</v>
      </c>
      <c r="AL472" s="287">
        <f t="shared" si="973"/>
        <v>737315</v>
      </c>
      <c r="AM472" s="287">
        <f t="shared" si="973"/>
        <v>737315</v>
      </c>
      <c r="AN472" s="499">
        <f t="shared" si="973"/>
        <v>737315</v>
      </c>
      <c r="AO472" s="287">
        <f t="shared" si="973"/>
        <v>737315</v>
      </c>
      <c r="AP472" s="287">
        <f t="shared" si="973"/>
        <v>737315</v>
      </c>
      <c r="AQ472" s="287">
        <f t="shared" si="973"/>
        <v>737315</v>
      </c>
      <c r="AR472" s="287">
        <f t="shared" si="973"/>
        <v>737315</v>
      </c>
      <c r="AS472" s="499">
        <f t="shared" si="973"/>
        <v>737315</v>
      </c>
      <c r="AT472" s="315"/>
      <c r="AU472" s="508"/>
      <c r="AV472" s="143"/>
      <c r="AW472" s="143"/>
      <c r="AX472" s="143"/>
      <c r="AY472" s="143"/>
      <c r="AZ472" s="143"/>
      <c r="BA472" s="143"/>
      <c r="BB472" s="143"/>
      <c r="BC472" s="143"/>
      <c r="BD472" s="143"/>
      <c r="BE472" s="143"/>
      <c r="BF472" s="143"/>
      <c r="BG472" s="143"/>
      <c r="BH472" s="143"/>
      <c r="BI472" s="143"/>
      <c r="BJ472" s="143"/>
      <c r="BK472" s="143"/>
      <c r="BL472" s="143"/>
      <c r="BM472" s="143"/>
      <c r="BN472" s="143"/>
      <c r="BO472" s="143"/>
      <c r="BP472" s="143"/>
      <c r="BQ472" s="143"/>
      <c r="BR472" s="143"/>
      <c r="BS472" s="143"/>
      <c r="BT472" s="143"/>
      <c r="BU472" s="143"/>
      <c r="BV472" s="143"/>
      <c r="BW472" s="143"/>
      <c r="BX472" s="143"/>
      <c r="BY472" s="143"/>
      <c r="BZ472" s="143"/>
      <c r="CA472" s="143"/>
      <c r="CB472" s="143"/>
      <c r="CC472" s="143"/>
      <c r="CD472" s="143"/>
      <c r="CE472" s="143"/>
      <c r="CF472" s="143"/>
      <c r="CG472" s="143"/>
      <c r="CH472" s="143"/>
      <c r="CI472" s="143"/>
      <c r="CJ472" s="143"/>
      <c r="CK472" s="143"/>
      <c r="CL472" s="143"/>
      <c r="CM472" s="143"/>
      <c r="CN472" s="143"/>
      <c r="CO472" s="143"/>
      <c r="CP472" s="143"/>
      <c r="CQ472" s="143"/>
      <c r="CR472" s="143"/>
      <c r="CS472" s="143"/>
      <c r="CT472" s="143"/>
      <c r="CU472" s="143"/>
      <c r="CV472" s="143"/>
      <c r="CW472" s="143"/>
      <c r="CX472" s="143"/>
      <c r="CY472" s="143"/>
      <c r="CZ472" s="143"/>
      <c r="DA472" s="143"/>
      <c r="DB472" s="143"/>
      <c r="DC472" s="143"/>
      <c r="DD472" s="143"/>
      <c r="DE472" s="143"/>
      <c r="DF472" s="143"/>
      <c r="DG472" s="143"/>
      <c r="DH472" s="143"/>
      <c r="DI472" s="143"/>
      <c r="DJ472" s="143"/>
      <c r="DK472" s="143"/>
      <c r="DL472" s="143"/>
      <c r="DM472" s="143"/>
      <c r="DN472" s="143"/>
      <c r="DO472" s="143"/>
      <c r="DP472" s="143"/>
      <c r="DQ472" s="143"/>
      <c r="DR472" s="143"/>
      <c r="DS472" s="143"/>
      <c r="DT472" s="143"/>
      <c r="DU472" s="143"/>
      <c r="DV472" s="143"/>
      <c r="DW472" s="143"/>
      <c r="DX472" s="143"/>
      <c r="DY472" s="143"/>
      <c r="DZ472" s="143"/>
      <c r="EA472" s="143"/>
      <c r="EB472" s="143"/>
      <c r="EC472" s="143"/>
      <c r="ED472" s="143"/>
      <c r="EE472" s="143"/>
      <c r="EF472" s="143"/>
      <c r="EG472" s="143"/>
      <c r="EH472" s="143"/>
      <c r="EI472" s="143"/>
      <c r="EJ472" s="143"/>
      <c r="EK472" s="143"/>
      <c r="EL472" s="143"/>
      <c r="EM472" s="143"/>
      <c r="EN472" s="143"/>
      <c r="EO472" s="143"/>
      <c r="EP472" s="143"/>
      <c r="EQ472" s="143"/>
      <c r="ER472" s="143"/>
      <c r="ES472" s="143"/>
      <c r="ET472" s="143"/>
      <c r="EU472" s="143"/>
      <c r="EV472" s="143"/>
      <c r="EW472" s="143"/>
      <c r="EX472" s="143"/>
      <c r="EY472" s="143"/>
      <c r="EZ472" s="143"/>
      <c r="FA472" s="143"/>
      <c r="FB472" s="143"/>
      <c r="FC472" s="143"/>
      <c r="FD472" s="143"/>
      <c r="FE472" s="143"/>
      <c r="FF472" s="143"/>
      <c r="FG472" s="143"/>
      <c r="FH472" s="143"/>
      <c r="FI472" s="143"/>
      <c r="FJ472" s="143"/>
      <c r="FK472" s="143"/>
      <c r="FL472" s="143"/>
      <c r="FM472" s="143"/>
      <c r="FN472" s="143"/>
      <c r="FO472" s="143"/>
      <c r="FP472" s="143"/>
      <c r="FQ472" s="143"/>
      <c r="FR472" s="143"/>
      <c r="FS472" s="143"/>
      <c r="FT472" s="143"/>
      <c r="FU472" s="143"/>
      <c r="FV472" s="143"/>
      <c r="FW472" s="143"/>
      <c r="FX472" s="143"/>
      <c r="FY472" s="143"/>
      <c r="FZ472" s="143"/>
      <c r="GA472" s="143"/>
      <c r="GB472" s="143"/>
      <c r="GC472" s="143"/>
      <c r="GD472" s="143"/>
      <c r="GE472" s="143"/>
      <c r="GF472" s="143"/>
      <c r="GG472" s="143"/>
      <c r="GH472" s="143"/>
      <c r="GI472" s="143"/>
      <c r="GJ472" s="143"/>
      <c r="GK472" s="143"/>
      <c r="GL472" s="143"/>
      <c r="GM472" s="143"/>
      <c r="GN472" s="143"/>
      <c r="GO472" s="143"/>
      <c r="GP472" s="143"/>
      <c r="GQ472" s="143"/>
      <c r="GR472" s="143"/>
      <c r="GS472" s="143"/>
      <c r="GT472" s="143"/>
      <c r="GU472" s="143"/>
      <c r="GV472" s="143"/>
      <c r="GW472" s="143"/>
      <c r="GX472" s="143"/>
      <c r="GY472" s="143"/>
      <c r="GZ472" s="143"/>
      <c r="HA472" s="143"/>
      <c r="HB472" s="143"/>
      <c r="HC472" s="143"/>
      <c r="HD472" s="143"/>
      <c r="HE472" s="143"/>
      <c r="HF472" s="143"/>
      <c r="HG472" s="143"/>
      <c r="HH472" s="143"/>
      <c r="HI472" s="143"/>
      <c r="HJ472" s="143"/>
      <c r="HK472" s="143"/>
      <c r="HL472" s="143"/>
      <c r="HM472" s="143"/>
      <c r="HN472" s="143"/>
      <c r="HO472" s="143"/>
      <c r="HP472" s="143"/>
      <c r="HQ472" s="143"/>
      <c r="HR472" s="143"/>
      <c r="HS472" s="143"/>
      <c r="HT472" s="143"/>
      <c r="HU472" s="143"/>
      <c r="HV472" s="143"/>
      <c r="HW472" s="143"/>
      <c r="HX472" s="143"/>
      <c r="HY472" s="143"/>
      <c r="HZ472" s="143"/>
      <c r="IA472" s="143"/>
      <c r="IB472" s="143"/>
      <c r="IC472" s="143"/>
      <c r="ID472" s="143"/>
      <c r="IE472" s="143"/>
      <c r="IF472" s="143"/>
      <c r="IG472" s="143"/>
      <c r="IH472" s="143"/>
      <c r="II472" s="143"/>
      <c r="IJ472" s="143"/>
      <c r="IK472" s="143"/>
      <c r="IL472" s="143"/>
      <c r="IM472" s="143"/>
      <c r="IN472" s="143"/>
      <c r="IO472" s="143"/>
      <c r="IP472" s="143"/>
      <c r="IQ472" s="143"/>
      <c r="IR472" s="143"/>
      <c r="IS472" s="143"/>
      <c r="IT472" s="143"/>
      <c r="IU472" s="143"/>
      <c r="IV472" s="143"/>
      <c r="IW472" s="143"/>
      <c r="IX472" s="143"/>
      <c r="IY472" s="143"/>
      <c r="IZ472" s="143"/>
      <c r="JA472" s="143"/>
      <c r="JB472" s="143"/>
      <c r="JC472" s="143"/>
      <c r="JD472" s="143"/>
      <c r="JE472" s="143"/>
      <c r="JF472" s="143"/>
      <c r="JG472" s="143"/>
      <c r="JH472" s="143"/>
      <c r="JI472" s="143"/>
    </row>
    <row r="473" spans="1:269" s="81" customFormat="1" ht="15" outlineLevel="1" thickBot="1">
      <c r="A473" s="597" t="s">
        <v>326</v>
      </c>
      <c r="B473" s="60"/>
      <c r="C473" s="577"/>
      <c r="D473" s="577"/>
      <c r="E473" s="577"/>
      <c r="F473" s="314"/>
      <c r="G473" s="314"/>
      <c r="H473" s="314"/>
      <c r="I473" s="314">
        <v>252795</v>
      </c>
      <c r="J473" s="577"/>
      <c r="K473" s="314"/>
      <c r="L473" s="314"/>
      <c r="M473" s="314"/>
      <c r="N473" s="314">
        <v>252795</v>
      </c>
      <c r="O473" s="577">
        <v>252795</v>
      </c>
      <c r="P473" s="314"/>
      <c r="Q473" s="314">
        <v>326438</v>
      </c>
      <c r="R473" s="314">
        <v>1139930</v>
      </c>
      <c r="S473" s="314">
        <v>916509</v>
      </c>
      <c r="T473" s="577">
        <v>916509</v>
      </c>
      <c r="U473" s="314">
        <v>857470</v>
      </c>
      <c r="V473" s="314">
        <v>862625</v>
      </c>
      <c r="W473" s="314">
        <v>846886</v>
      </c>
      <c r="X473" s="314">
        <v>836030</v>
      </c>
      <c r="Y473" s="577">
        <v>836030</v>
      </c>
      <c r="Z473" s="314">
        <v>847289</v>
      </c>
      <c r="AA473" s="314">
        <v>845632</v>
      </c>
      <c r="AB473" s="314">
        <v>883117</v>
      </c>
      <c r="AC473" s="579">
        <f>AC464+AC467+AC468+AC469+AC470+AC471+AC472</f>
        <v>856467.55796698644</v>
      </c>
      <c r="AD473" s="581">
        <f t="shared" ref="AD473:AS473" si="974">AD464+AD467+AD468+AD469+AD470+AD471+AD472</f>
        <v>856467.55796698644</v>
      </c>
      <c r="AE473" s="579">
        <f t="shared" si="974"/>
        <v>856441.27371040476</v>
      </c>
      <c r="AF473" s="579">
        <f t="shared" si="974"/>
        <v>859067.98927133973</v>
      </c>
      <c r="AG473" s="579">
        <f t="shared" si="974"/>
        <v>864724.6562894932</v>
      </c>
      <c r="AH473" s="579">
        <f t="shared" si="974"/>
        <v>868503.07970766583</v>
      </c>
      <c r="AI473" s="581">
        <f t="shared" si="974"/>
        <v>868503.07970766583</v>
      </c>
      <c r="AJ473" s="579">
        <f t="shared" si="974"/>
        <v>869065.57482541911</v>
      </c>
      <c r="AK473" s="579">
        <f t="shared" si="974"/>
        <v>873327.17290344578</v>
      </c>
      <c r="AL473" s="579">
        <f t="shared" si="974"/>
        <v>873694.61941920046</v>
      </c>
      <c r="AM473" s="579">
        <f t="shared" si="974"/>
        <v>875145.6407862592</v>
      </c>
      <c r="AN473" s="581">
        <f t="shared" si="974"/>
        <v>875145.6407862592</v>
      </c>
      <c r="AO473" s="579">
        <f t="shared" si="974"/>
        <v>873359.28846527112</v>
      </c>
      <c r="AP473" s="579">
        <f t="shared" si="974"/>
        <v>877073.33724692976</v>
      </c>
      <c r="AQ473" s="579">
        <f t="shared" si="974"/>
        <v>876228.77998196403</v>
      </c>
      <c r="AR473" s="579">
        <f t="shared" si="974"/>
        <v>881054.19740982156</v>
      </c>
      <c r="AS473" s="581">
        <f t="shared" si="974"/>
        <v>881054.19740982156</v>
      </c>
      <c r="AT473" s="433"/>
      <c r="AU473" s="508"/>
    </row>
    <row r="474" spans="1:269" ht="15" outlineLevel="1" thickTop="1">
      <c r="A474" s="435"/>
      <c r="B474" s="143"/>
      <c r="C474" s="277"/>
      <c r="D474" s="277"/>
      <c r="E474" s="277"/>
      <c r="F474" s="278"/>
      <c r="G474" s="278"/>
      <c r="H474" s="278"/>
      <c r="I474" s="278"/>
      <c r="J474" s="277"/>
      <c r="K474" s="278"/>
      <c r="L474" s="278"/>
      <c r="M474" s="278"/>
      <c r="N474" s="278"/>
      <c r="O474" s="277"/>
      <c r="P474" s="278"/>
      <c r="Q474" s="278"/>
      <c r="R474" s="278"/>
      <c r="S474" s="278"/>
      <c r="T474" s="277"/>
      <c r="U474" s="278"/>
      <c r="V474" s="278"/>
      <c r="W474" s="278"/>
      <c r="X474" s="278"/>
      <c r="Y474" s="277"/>
      <c r="Z474" s="278"/>
      <c r="AA474" s="278"/>
      <c r="AB474" s="278"/>
      <c r="AC474" s="278"/>
      <c r="AD474" s="536"/>
      <c r="AE474" s="278"/>
      <c r="AF474" s="278"/>
      <c r="AG474" s="287"/>
      <c r="AH474" s="287"/>
      <c r="AI474" s="499"/>
      <c r="AJ474" s="287"/>
      <c r="AK474" s="287"/>
      <c r="AL474" s="287"/>
      <c r="AM474" s="287"/>
      <c r="AN474" s="499"/>
      <c r="AO474" s="287"/>
      <c r="AP474" s="287"/>
      <c r="AQ474" s="287"/>
      <c r="AR474" s="287"/>
      <c r="AS474" s="499"/>
      <c r="AT474" s="315"/>
      <c r="AU474" s="508"/>
      <c r="AV474" s="143"/>
      <c r="AW474" s="143"/>
      <c r="AX474" s="143"/>
      <c r="AY474" s="143"/>
      <c r="AZ474" s="143"/>
      <c r="BA474" s="143"/>
      <c r="BB474" s="143"/>
      <c r="BC474" s="143"/>
      <c r="BD474" s="143"/>
      <c r="BE474" s="143"/>
      <c r="BF474" s="143"/>
      <c r="BG474" s="143"/>
      <c r="BH474" s="143"/>
      <c r="BI474" s="143"/>
      <c r="BJ474" s="143"/>
      <c r="BK474" s="143"/>
      <c r="BL474" s="143"/>
      <c r="BM474" s="143"/>
      <c r="BN474" s="143"/>
      <c r="BO474" s="143"/>
      <c r="BP474" s="143"/>
      <c r="BQ474" s="143"/>
      <c r="BR474" s="143"/>
      <c r="BS474" s="143"/>
      <c r="BT474" s="143"/>
      <c r="BU474" s="143"/>
      <c r="BV474" s="143"/>
      <c r="BW474" s="143"/>
      <c r="BX474" s="143"/>
      <c r="BY474" s="143"/>
      <c r="BZ474" s="143"/>
      <c r="CA474" s="143"/>
      <c r="CB474" s="143"/>
      <c r="CC474" s="143"/>
      <c r="CD474" s="143"/>
      <c r="CE474" s="143"/>
      <c r="CF474" s="143"/>
      <c r="CG474" s="143"/>
      <c r="CH474" s="143"/>
      <c r="CI474" s="143"/>
      <c r="CJ474" s="143"/>
      <c r="CK474" s="143"/>
      <c r="CL474" s="143"/>
      <c r="CM474" s="143"/>
      <c r="CN474" s="143"/>
      <c r="CO474" s="143"/>
      <c r="CP474" s="143"/>
      <c r="CQ474" s="143"/>
      <c r="CR474" s="143"/>
      <c r="CS474" s="143"/>
      <c r="CT474" s="143"/>
      <c r="CU474" s="143"/>
      <c r="CV474" s="143"/>
      <c r="CW474" s="143"/>
      <c r="CX474" s="143"/>
      <c r="CY474" s="143"/>
      <c r="CZ474" s="143"/>
      <c r="DA474" s="143"/>
      <c r="DB474" s="143"/>
      <c r="DC474" s="143"/>
      <c r="DD474" s="143"/>
      <c r="DE474" s="143"/>
      <c r="DF474" s="143"/>
      <c r="DG474" s="143"/>
      <c r="DH474" s="143"/>
      <c r="DI474" s="143"/>
      <c r="DJ474" s="143"/>
      <c r="DK474" s="143"/>
      <c r="DL474" s="143"/>
      <c r="DM474" s="143"/>
      <c r="DN474" s="143"/>
      <c r="DO474" s="143"/>
      <c r="DP474" s="143"/>
      <c r="DQ474" s="143"/>
      <c r="DR474" s="143"/>
      <c r="DS474" s="143"/>
      <c r="DT474" s="143"/>
      <c r="DU474" s="143"/>
      <c r="DV474" s="143"/>
      <c r="DW474" s="143"/>
      <c r="DX474" s="143"/>
      <c r="DY474" s="143"/>
      <c r="DZ474" s="143"/>
      <c r="EA474" s="143"/>
      <c r="EB474" s="143"/>
      <c r="EC474" s="143"/>
      <c r="ED474" s="143"/>
      <c r="EE474" s="143"/>
      <c r="EF474" s="143"/>
      <c r="EG474" s="143"/>
      <c r="EH474" s="143"/>
      <c r="EI474" s="143"/>
      <c r="EJ474" s="143"/>
      <c r="EK474" s="143"/>
      <c r="EL474" s="143"/>
      <c r="EM474" s="143"/>
      <c r="EN474" s="143"/>
      <c r="EO474" s="143"/>
      <c r="EP474" s="143"/>
      <c r="EQ474" s="143"/>
      <c r="ER474" s="143"/>
      <c r="ES474" s="143"/>
      <c r="ET474" s="143"/>
      <c r="EU474" s="143"/>
      <c r="EV474" s="143"/>
      <c r="EW474" s="143"/>
      <c r="EX474" s="143"/>
      <c r="EY474" s="143"/>
      <c r="EZ474" s="143"/>
      <c r="FA474" s="143"/>
      <c r="FB474" s="143"/>
      <c r="FC474" s="143"/>
      <c r="FD474" s="143"/>
      <c r="FE474" s="143"/>
      <c r="FF474" s="143"/>
      <c r="FG474" s="143"/>
      <c r="FH474" s="143"/>
      <c r="FI474" s="143"/>
      <c r="FJ474" s="143"/>
      <c r="FK474" s="143"/>
      <c r="FL474" s="143"/>
      <c r="FM474" s="143"/>
      <c r="FN474" s="143"/>
      <c r="FO474" s="143"/>
      <c r="FP474" s="143"/>
      <c r="FQ474" s="143"/>
      <c r="FR474" s="143"/>
      <c r="FS474" s="143"/>
      <c r="FT474" s="143"/>
      <c r="FU474" s="143"/>
      <c r="FV474" s="143"/>
      <c r="FW474" s="143"/>
      <c r="FX474" s="143"/>
      <c r="FY474" s="143"/>
      <c r="FZ474" s="143"/>
      <c r="GA474" s="143"/>
      <c r="GB474" s="143"/>
      <c r="GC474" s="143"/>
      <c r="GD474" s="143"/>
      <c r="GE474" s="143"/>
      <c r="GF474" s="143"/>
      <c r="GG474" s="143"/>
      <c r="GH474" s="143"/>
      <c r="GI474" s="143"/>
      <c r="GJ474" s="143"/>
      <c r="GK474" s="143"/>
      <c r="GL474" s="143"/>
      <c r="GM474" s="143"/>
      <c r="GN474" s="143"/>
      <c r="GO474" s="143"/>
      <c r="GP474" s="143"/>
      <c r="GQ474" s="143"/>
      <c r="GR474" s="143"/>
      <c r="GS474" s="143"/>
      <c r="GT474" s="143"/>
      <c r="GU474" s="143"/>
      <c r="GV474" s="143"/>
      <c r="GW474" s="143"/>
      <c r="GX474" s="143"/>
      <c r="GY474" s="143"/>
      <c r="GZ474" s="143"/>
      <c r="HA474" s="143"/>
      <c r="HB474" s="143"/>
      <c r="HC474" s="143"/>
      <c r="HD474" s="143"/>
      <c r="HE474" s="143"/>
      <c r="HF474" s="143"/>
      <c r="HG474" s="143"/>
      <c r="HH474" s="143"/>
      <c r="HI474" s="143"/>
      <c r="HJ474" s="143"/>
      <c r="HK474" s="143"/>
      <c r="HL474" s="143"/>
      <c r="HM474" s="143"/>
      <c r="HN474" s="143"/>
      <c r="HO474" s="143"/>
      <c r="HP474" s="143"/>
      <c r="HQ474" s="143"/>
      <c r="HR474" s="143"/>
      <c r="HS474" s="143"/>
      <c r="HT474" s="143"/>
      <c r="HU474" s="143"/>
      <c r="HV474" s="143"/>
      <c r="HW474" s="143"/>
      <c r="HX474" s="143"/>
      <c r="HY474" s="143"/>
      <c r="HZ474" s="143"/>
      <c r="IA474" s="143"/>
      <c r="IB474" s="143"/>
      <c r="IC474" s="143"/>
      <c r="ID474" s="143"/>
      <c r="IE474" s="143"/>
      <c r="IF474" s="143"/>
      <c r="IG474" s="143"/>
      <c r="IH474" s="143"/>
      <c r="II474" s="143"/>
      <c r="IJ474" s="143"/>
      <c r="IK474" s="143"/>
      <c r="IL474" s="143"/>
      <c r="IM474" s="143"/>
      <c r="IN474" s="143"/>
      <c r="IO474" s="143"/>
      <c r="IP474" s="143"/>
      <c r="IQ474" s="143"/>
      <c r="IR474" s="143"/>
      <c r="IS474" s="143"/>
      <c r="IT474" s="143"/>
      <c r="IU474" s="143"/>
      <c r="IV474" s="143"/>
      <c r="IW474" s="143"/>
      <c r="IX474" s="143"/>
      <c r="IY474" s="143"/>
      <c r="IZ474" s="143"/>
      <c r="JA474" s="143"/>
      <c r="JB474" s="143"/>
      <c r="JC474" s="143"/>
      <c r="JD474" s="143"/>
      <c r="JE474" s="143"/>
      <c r="JF474" s="143"/>
      <c r="JG474" s="143"/>
      <c r="JH474" s="143"/>
      <c r="JI474" s="143"/>
    </row>
    <row r="475" spans="1:269" outlineLevel="1">
      <c r="A475" s="435"/>
      <c r="B475" s="143"/>
      <c r="C475" s="277"/>
      <c r="D475" s="277"/>
      <c r="E475" s="277"/>
      <c r="F475" s="278"/>
      <c r="G475" s="278"/>
      <c r="H475" s="278"/>
      <c r="I475" s="278"/>
      <c r="J475" s="277"/>
      <c r="K475" s="278"/>
      <c r="L475" s="278"/>
      <c r="M475" s="278"/>
      <c r="N475" s="278"/>
      <c r="O475" s="277"/>
      <c r="P475" s="278"/>
      <c r="Q475" s="278"/>
      <c r="R475" s="278"/>
      <c r="S475" s="278"/>
      <c r="T475" s="277"/>
      <c r="U475" s="278"/>
      <c r="V475" s="278"/>
      <c r="W475" s="278"/>
      <c r="X475" s="278"/>
      <c r="Y475" s="277"/>
      <c r="Z475" s="278"/>
      <c r="AA475" s="278"/>
      <c r="AB475" s="278"/>
      <c r="AC475" s="278"/>
      <c r="AD475" s="536"/>
      <c r="AE475" s="278"/>
      <c r="AF475" s="278"/>
      <c r="AG475" s="287"/>
      <c r="AH475" s="287"/>
      <c r="AI475" s="499"/>
      <c r="AJ475" s="287"/>
      <c r="AK475" s="287"/>
      <c r="AL475" s="287"/>
      <c r="AM475" s="287"/>
      <c r="AN475" s="499"/>
      <c r="AO475" s="287"/>
      <c r="AP475" s="287"/>
      <c r="AQ475" s="287"/>
      <c r="AR475" s="287"/>
      <c r="AS475" s="499"/>
      <c r="AT475" s="315"/>
      <c r="AU475" s="508"/>
      <c r="AV475" s="143"/>
      <c r="AW475" s="143"/>
      <c r="AX475" s="143"/>
      <c r="AY475" s="143"/>
      <c r="AZ475" s="143"/>
      <c r="BA475" s="143"/>
      <c r="BB475" s="143"/>
      <c r="BC475" s="143"/>
      <c r="BD475" s="143"/>
      <c r="BE475" s="143"/>
      <c r="BF475" s="143"/>
      <c r="BG475" s="143"/>
      <c r="BH475" s="143"/>
      <c r="BI475" s="143"/>
      <c r="BJ475" s="143"/>
      <c r="BK475" s="143"/>
      <c r="BL475" s="143"/>
      <c r="BM475" s="143"/>
      <c r="BN475" s="143"/>
      <c r="BO475" s="143"/>
      <c r="BP475" s="143"/>
      <c r="BQ475" s="143"/>
      <c r="BR475" s="143"/>
      <c r="BS475" s="143"/>
      <c r="BT475" s="143"/>
      <c r="BU475" s="143"/>
      <c r="BV475" s="143"/>
      <c r="BW475" s="143"/>
      <c r="BX475" s="143"/>
      <c r="BY475" s="143"/>
      <c r="BZ475" s="143"/>
      <c r="CA475" s="143"/>
      <c r="CB475" s="143"/>
      <c r="CC475" s="143"/>
      <c r="CD475" s="143"/>
      <c r="CE475" s="143"/>
      <c r="CF475" s="143"/>
      <c r="CG475" s="143"/>
      <c r="CH475" s="143"/>
      <c r="CI475" s="143"/>
      <c r="CJ475" s="143"/>
      <c r="CK475" s="143"/>
      <c r="CL475" s="143"/>
      <c r="CM475" s="143"/>
      <c r="CN475" s="143"/>
      <c r="CO475" s="143"/>
      <c r="CP475" s="143"/>
      <c r="CQ475" s="143"/>
      <c r="CR475" s="143"/>
      <c r="CS475" s="143"/>
      <c r="CT475" s="143"/>
      <c r="CU475" s="143"/>
      <c r="CV475" s="143"/>
      <c r="CW475" s="143"/>
      <c r="CX475" s="143"/>
      <c r="CY475" s="143"/>
      <c r="CZ475" s="143"/>
      <c r="DA475" s="143"/>
      <c r="DB475" s="143"/>
      <c r="DC475" s="143"/>
      <c r="DD475" s="143"/>
      <c r="DE475" s="143"/>
      <c r="DF475" s="143"/>
      <c r="DG475" s="143"/>
      <c r="DH475" s="143"/>
      <c r="DI475" s="143"/>
      <c r="DJ475" s="143"/>
      <c r="DK475" s="143"/>
      <c r="DL475" s="143"/>
      <c r="DM475" s="143"/>
      <c r="DN475" s="143"/>
      <c r="DO475" s="143"/>
      <c r="DP475" s="143"/>
      <c r="DQ475" s="143"/>
      <c r="DR475" s="143"/>
      <c r="DS475" s="143"/>
      <c r="DT475" s="143"/>
      <c r="DU475" s="143"/>
      <c r="DV475" s="143"/>
      <c r="DW475" s="143"/>
      <c r="DX475" s="143"/>
      <c r="DY475" s="143"/>
      <c r="DZ475" s="143"/>
      <c r="EA475" s="143"/>
      <c r="EB475" s="143"/>
      <c r="EC475" s="143"/>
      <c r="ED475" s="143"/>
      <c r="EE475" s="143"/>
      <c r="EF475" s="143"/>
      <c r="EG475" s="143"/>
      <c r="EH475" s="143"/>
      <c r="EI475" s="143"/>
      <c r="EJ475" s="143"/>
      <c r="EK475" s="143"/>
      <c r="EL475" s="143"/>
      <c r="EM475" s="143"/>
      <c r="EN475" s="143"/>
      <c r="EO475" s="143"/>
      <c r="EP475" s="143"/>
      <c r="EQ475" s="143"/>
      <c r="ER475" s="143"/>
      <c r="ES475" s="143"/>
      <c r="ET475" s="143"/>
      <c r="EU475" s="143"/>
      <c r="EV475" s="143"/>
      <c r="EW475" s="143"/>
      <c r="EX475" s="143"/>
      <c r="EY475" s="143"/>
      <c r="EZ475" s="143"/>
      <c r="FA475" s="143"/>
      <c r="FB475" s="143"/>
      <c r="FC475" s="143"/>
      <c r="FD475" s="143"/>
      <c r="FE475" s="143"/>
      <c r="FF475" s="143"/>
      <c r="FG475" s="143"/>
      <c r="FH475" s="143"/>
      <c r="FI475" s="143"/>
      <c r="FJ475" s="143"/>
      <c r="FK475" s="143"/>
      <c r="FL475" s="143"/>
      <c r="FM475" s="143"/>
      <c r="FN475" s="143"/>
      <c r="FO475" s="143"/>
      <c r="FP475" s="143"/>
      <c r="FQ475" s="143"/>
      <c r="FR475" s="143"/>
      <c r="FS475" s="143"/>
      <c r="FT475" s="143"/>
      <c r="FU475" s="143"/>
      <c r="FV475" s="143"/>
      <c r="FW475" s="143"/>
      <c r="FX475" s="143"/>
      <c r="FY475" s="143"/>
      <c r="FZ475" s="143"/>
      <c r="GA475" s="143"/>
      <c r="GB475" s="143"/>
      <c r="GC475" s="143"/>
      <c r="GD475" s="143"/>
      <c r="GE475" s="143"/>
      <c r="GF475" s="143"/>
      <c r="GG475" s="143"/>
      <c r="GH475" s="143"/>
      <c r="GI475" s="143"/>
      <c r="GJ475" s="143"/>
      <c r="GK475" s="143"/>
      <c r="GL475" s="143"/>
      <c r="GM475" s="143"/>
      <c r="GN475" s="143"/>
      <c r="GO475" s="143"/>
      <c r="GP475" s="143"/>
      <c r="GQ475" s="143"/>
      <c r="GR475" s="143"/>
      <c r="GS475" s="143"/>
      <c r="GT475" s="143"/>
      <c r="GU475" s="143"/>
      <c r="GV475" s="143"/>
      <c r="GW475" s="143"/>
      <c r="GX475" s="143"/>
      <c r="GY475" s="143"/>
      <c r="GZ475" s="143"/>
      <c r="HA475" s="143"/>
      <c r="HB475" s="143"/>
      <c r="HC475" s="143"/>
      <c r="HD475" s="143"/>
      <c r="HE475" s="143"/>
      <c r="HF475" s="143"/>
      <c r="HG475" s="143"/>
      <c r="HH475" s="143"/>
      <c r="HI475" s="143"/>
      <c r="HJ475" s="143"/>
      <c r="HK475" s="143"/>
      <c r="HL475" s="143"/>
      <c r="HM475" s="143"/>
      <c r="HN475" s="143"/>
      <c r="HO475" s="143"/>
      <c r="HP475" s="143"/>
      <c r="HQ475" s="143"/>
      <c r="HR475" s="143"/>
      <c r="HS475" s="143"/>
      <c r="HT475" s="143"/>
      <c r="HU475" s="143"/>
      <c r="HV475" s="143"/>
      <c r="HW475" s="143"/>
      <c r="HX475" s="143"/>
      <c r="HY475" s="143"/>
      <c r="HZ475" s="143"/>
      <c r="IA475" s="143"/>
      <c r="IB475" s="143"/>
      <c r="IC475" s="143"/>
      <c r="ID475" s="143"/>
      <c r="IE475" s="143"/>
      <c r="IF475" s="143"/>
      <c r="IG475" s="143"/>
      <c r="IH475" s="143"/>
      <c r="II475" s="143"/>
      <c r="IJ475" s="143"/>
      <c r="IK475" s="143"/>
      <c r="IL475" s="143"/>
      <c r="IM475" s="143"/>
      <c r="IN475" s="143"/>
      <c r="IO475" s="143"/>
      <c r="IP475" s="143"/>
      <c r="IQ475" s="143"/>
      <c r="IR475" s="143"/>
      <c r="IS475" s="143"/>
      <c r="IT475" s="143"/>
      <c r="IU475" s="143"/>
      <c r="IV475" s="143"/>
      <c r="IW475" s="143"/>
      <c r="IX475" s="143"/>
      <c r="IY475" s="143"/>
      <c r="IZ475" s="143"/>
      <c r="JA475" s="143"/>
      <c r="JB475" s="143"/>
      <c r="JC475" s="143"/>
      <c r="JD475" s="143"/>
      <c r="JE475" s="143"/>
      <c r="JF475" s="143"/>
      <c r="JG475" s="143"/>
      <c r="JH475" s="143"/>
      <c r="JI475" s="143"/>
    </row>
    <row r="476" spans="1:269" outlineLevel="1">
      <c r="A476" s="525" t="s">
        <v>327</v>
      </c>
      <c r="B476" s="143"/>
      <c r="C476" s="277"/>
      <c r="D476" s="277"/>
      <c r="E476" s="277"/>
      <c r="F476" s="278"/>
      <c r="G476" s="278"/>
      <c r="H476" s="278"/>
      <c r="I476" s="278"/>
      <c r="J476" s="277"/>
      <c r="K476" s="278"/>
      <c r="L476" s="278"/>
      <c r="M476" s="278"/>
      <c r="N476" s="278"/>
      <c r="O476" s="277"/>
      <c r="P476" s="278"/>
      <c r="Q476" s="278"/>
      <c r="R476" s="278"/>
      <c r="S476" s="278"/>
      <c r="T476" s="277"/>
      <c r="U476" s="278"/>
      <c r="V476" s="278"/>
      <c r="W476" s="278"/>
      <c r="X476" s="278"/>
      <c r="Y476" s="277"/>
      <c r="Z476" s="278"/>
      <c r="AA476" s="278"/>
      <c r="AB476" s="278"/>
      <c r="AC476" s="278"/>
      <c r="AD476" s="536"/>
      <c r="AE476" s="278"/>
      <c r="AF476" s="278"/>
      <c r="AG476" s="287"/>
      <c r="AH476" s="287"/>
      <c r="AI476" s="499"/>
      <c r="AJ476" s="287"/>
      <c r="AK476" s="287"/>
      <c r="AL476" s="287"/>
      <c r="AM476" s="287"/>
      <c r="AN476" s="499"/>
      <c r="AO476" s="287"/>
      <c r="AP476" s="287"/>
      <c r="AQ476" s="287"/>
      <c r="AR476" s="287"/>
      <c r="AS476" s="499"/>
      <c r="AT476" s="315"/>
      <c r="AU476" s="508"/>
      <c r="AV476" s="143"/>
      <c r="AW476" s="143"/>
      <c r="AX476" s="143"/>
      <c r="AY476" s="143"/>
      <c r="AZ476" s="143"/>
      <c r="BA476" s="143"/>
      <c r="BB476" s="143"/>
      <c r="BC476" s="143"/>
      <c r="BD476" s="143"/>
      <c r="BE476" s="143"/>
      <c r="BF476" s="143"/>
      <c r="BG476" s="143"/>
      <c r="BH476" s="143"/>
      <c r="BI476" s="143"/>
      <c r="BJ476" s="143"/>
      <c r="BK476" s="143"/>
      <c r="BL476" s="143"/>
      <c r="BM476" s="143"/>
      <c r="BN476" s="143"/>
      <c r="BO476" s="143"/>
      <c r="BP476" s="143"/>
      <c r="BQ476" s="143"/>
      <c r="BR476" s="143"/>
      <c r="BS476" s="143"/>
      <c r="BT476" s="143"/>
      <c r="BU476" s="143"/>
      <c r="BV476" s="143"/>
      <c r="BW476" s="143"/>
      <c r="BX476" s="143"/>
      <c r="BY476" s="143"/>
      <c r="BZ476" s="143"/>
      <c r="CA476" s="143"/>
      <c r="CB476" s="143"/>
      <c r="CC476" s="143"/>
      <c r="CD476" s="143"/>
      <c r="CE476" s="143"/>
      <c r="CF476" s="143"/>
      <c r="CG476" s="143"/>
      <c r="CH476" s="143"/>
      <c r="CI476" s="143"/>
      <c r="CJ476" s="143"/>
      <c r="CK476" s="143"/>
      <c r="CL476" s="143"/>
      <c r="CM476" s="143"/>
      <c r="CN476" s="143"/>
      <c r="CO476" s="143"/>
      <c r="CP476" s="143"/>
      <c r="CQ476" s="143"/>
      <c r="CR476" s="143"/>
      <c r="CS476" s="143"/>
      <c r="CT476" s="143"/>
      <c r="CU476" s="143"/>
      <c r="CV476" s="143"/>
      <c r="CW476" s="143"/>
      <c r="CX476" s="143"/>
      <c r="CY476" s="143"/>
      <c r="CZ476" s="143"/>
      <c r="DA476" s="143"/>
      <c r="DB476" s="143"/>
      <c r="DC476" s="143"/>
      <c r="DD476" s="143"/>
      <c r="DE476" s="143"/>
      <c r="DF476" s="143"/>
      <c r="DG476" s="143"/>
      <c r="DH476" s="143"/>
      <c r="DI476" s="143"/>
      <c r="DJ476" s="143"/>
      <c r="DK476" s="143"/>
      <c r="DL476" s="143"/>
      <c r="DM476" s="143"/>
      <c r="DN476" s="143"/>
      <c r="DO476" s="143"/>
      <c r="DP476" s="143"/>
      <c r="DQ476" s="143"/>
      <c r="DR476" s="143"/>
      <c r="DS476" s="143"/>
      <c r="DT476" s="143"/>
      <c r="DU476" s="143"/>
      <c r="DV476" s="143"/>
      <c r="DW476" s="143"/>
      <c r="DX476" s="143"/>
      <c r="DY476" s="143"/>
      <c r="DZ476" s="143"/>
      <c r="EA476" s="143"/>
      <c r="EB476" s="143"/>
      <c r="EC476" s="143"/>
      <c r="ED476" s="143"/>
      <c r="EE476" s="143"/>
      <c r="EF476" s="143"/>
      <c r="EG476" s="143"/>
      <c r="EH476" s="143"/>
      <c r="EI476" s="143"/>
      <c r="EJ476" s="143"/>
      <c r="EK476" s="143"/>
      <c r="EL476" s="143"/>
      <c r="EM476" s="143"/>
      <c r="EN476" s="143"/>
      <c r="EO476" s="143"/>
      <c r="EP476" s="143"/>
      <c r="EQ476" s="143"/>
      <c r="ER476" s="143"/>
      <c r="ES476" s="143"/>
      <c r="ET476" s="143"/>
      <c r="EU476" s="143"/>
      <c r="EV476" s="143"/>
      <c r="EW476" s="143"/>
      <c r="EX476" s="143"/>
      <c r="EY476" s="143"/>
      <c r="EZ476" s="143"/>
      <c r="FA476" s="143"/>
      <c r="FB476" s="143"/>
      <c r="FC476" s="143"/>
      <c r="FD476" s="143"/>
      <c r="FE476" s="143"/>
      <c r="FF476" s="143"/>
      <c r="FG476" s="143"/>
      <c r="FH476" s="143"/>
      <c r="FI476" s="143"/>
      <c r="FJ476" s="143"/>
      <c r="FK476" s="143"/>
      <c r="FL476" s="143"/>
      <c r="FM476" s="143"/>
      <c r="FN476" s="143"/>
      <c r="FO476" s="143"/>
      <c r="FP476" s="143"/>
      <c r="FQ476" s="143"/>
      <c r="FR476" s="143"/>
      <c r="FS476" s="143"/>
      <c r="FT476" s="143"/>
      <c r="FU476" s="143"/>
      <c r="FV476" s="143"/>
      <c r="FW476" s="143"/>
      <c r="FX476" s="143"/>
      <c r="FY476" s="143"/>
      <c r="FZ476" s="143"/>
      <c r="GA476" s="143"/>
      <c r="GB476" s="143"/>
      <c r="GC476" s="143"/>
      <c r="GD476" s="143"/>
      <c r="GE476" s="143"/>
      <c r="GF476" s="143"/>
      <c r="GG476" s="143"/>
      <c r="GH476" s="143"/>
      <c r="GI476" s="143"/>
      <c r="GJ476" s="143"/>
      <c r="GK476" s="143"/>
      <c r="GL476" s="143"/>
      <c r="GM476" s="143"/>
      <c r="GN476" s="143"/>
      <c r="GO476" s="143"/>
      <c r="GP476" s="143"/>
      <c r="GQ476" s="143"/>
      <c r="GR476" s="143"/>
      <c r="GS476" s="143"/>
      <c r="GT476" s="143"/>
      <c r="GU476" s="143"/>
      <c r="GV476" s="143"/>
      <c r="GW476" s="143"/>
      <c r="GX476" s="143"/>
      <c r="GY476" s="143"/>
      <c r="GZ476" s="143"/>
      <c r="HA476" s="143"/>
      <c r="HB476" s="143"/>
      <c r="HC476" s="143"/>
      <c r="HD476" s="143"/>
      <c r="HE476" s="143"/>
      <c r="HF476" s="143"/>
      <c r="HG476" s="143"/>
      <c r="HH476" s="143"/>
      <c r="HI476" s="143"/>
      <c r="HJ476" s="143"/>
      <c r="HK476" s="143"/>
      <c r="HL476" s="143"/>
      <c r="HM476" s="143"/>
      <c r="HN476" s="143"/>
      <c r="HO476" s="143"/>
      <c r="HP476" s="143"/>
      <c r="HQ476" s="143"/>
      <c r="HR476" s="143"/>
      <c r="HS476" s="143"/>
      <c r="HT476" s="143"/>
      <c r="HU476" s="143"/>
      <c r="HV476" s="143"/>
      <c r="HW476" s="143"/>
      <c r="HX476" s="143"/>
      <c r="HY476" s="143"/>
      <c r="HZ476" s="143"/>
      <c r="IA476" s="143"/>
      <c r="IB476" s="143"/>
      <c r="IC476" s="143"/>
      <c r="ID476" s="143"/>
      <c r="IE476" s="143"/>
      <c r="IF476" s="143"/>
      <c r="IG476" s="143"/>
      <c r="IH476" s="143"/>
      <c r="II476" s="143"/>
      <c r="IJ476" s="143"/>
      <c r="IK476" s="143"/>
      <c r="IL476" s="143"/>
      <c r="IM476" s="143"/>
      <c r="IN476" s="143"/>
      <c r="IO476" s="143"/>
      <c r="IP476" s="143"/>
      <c r="IQ476" s="143"/>
      <c r="IR476" s="143"/>
      <c r="IS476" s="143"/>
      <c r="IT476" s="143"/>
      <c r="IU476" s="143"/>
      <c r="IV476" s="143"/>
      <c r="IW476" s="143"/>
      <c r="IX476" s="143"/>
      <c r="IY476" s="143"/>
      <c r="IZ476" s="143"/>
      <c r="JA476" s="143"/>
      <c r="JB476" s="143"/>
      <c r="JC476" s="143"/>
      <c r="JD476" s="143"/>
      <c r="JE476" s="143"/>
      <c r="JF476" s="143"/>
      <c r="JG476" s="143"/>
      <c r="JH476" s="143"/>
      <c r="JI476" s="143"/>
    </row>
    <row r="477" spans="1:269" outlineLevel="1">
      <c r="A477" s="435" t="s">
        <v>328</v>
      </c>
      <c r="B477" s="143"/>
      <c r="C477" s="277"/>
      <c r="D477" s="277"/>
      <c r="E477" s="277"/>
      <c r="F477" s="278"/>
      <c r="G477" s="278"/>
      <c r="H477" s="278"/>
      <c r="I477" s="278">
        <v>4</v>
      </c>
      <c r="J477" s="277"/>
      <c r="K477" s="278"/>
      <c r="L477" s="278"/>
      <c r="M477" s="278"/>
      <c r="N477" s="278">
        <v>4</v>
      </c>
      <c r="O477" s="277">
        <v>4</v>
      </c>
      <c r="P477" s="278"/>
      <c r="Q477" s="278">
        <v>13</v>
      </c>
      <c r="R477" s="278">
        <v>14</v>
      </c>
      <c r="S477" s="278">
        <v>16</v>
      </c>
      <c r="T477" s="277">
        <v>16</v>
      </c>
      <c r="U477" s="278">
        <v>16</v>
      </c>
      <c r="V477" s="278">
        <v>16</v>
      </c>
      <c r="W477" s="278">
        <v>15</v>
      </c>
      <c r="X477" s="278">
        <v>14</v>
      </c>
      <c r="Y477" s="277">
        <v>14</v>
      </c>
      <c r="Z477" s="278">
        <v>14</v>
      </c>
      <c r="AA477" s="278">
        <v>14</v>
      </c>
      <c r="AB477" s="278">
        <v>14</v>
      </c>
      <c r="AC477" s="287">
        <f>AB477</f>
        <v>14</v>
      </c>
      <c r="AD477" s="499">
        <f t="shared" ref="AD477:AS477" si="975">AC477</f>
        <v>14</v>
      </c>
      <c r="AE477" s="287">
        <f t="shared" si="975"/>
        <v>14</v>
      </c>
      <c r="AF477" s="287">
        <f t="shared" si="975"/>
        <v>14</v>
      </c>
      <c r="AG477" s="287">
        <f t="shared" si="975"/>
        <v>14</v>
      </c>
      <c r="AH477" s="287">
        <f t="shared" si="975"/>
        <v>14</v>
      </c>
      <c r="AI477" s="499">
        <f t="shared" si="975"/>
        <v>14</v>
      </c>
      <c r="AJ477" s="287">
        <f t="shared" si="975"/>
        <v>14</v>
      </c>
      <c r="AK477" s="287">
        <f t="shared" si="975"/>
        <v>14</v>
      </c>
      <c r="AL477" s="287">
        <f t="shared" si="975"/>
        <v>14</v>
      </c>
      <c r="AM477" s="287">
        <f t="shared" si="975"/>
        <v>14</v>
      </c>
      <c r="AN477" s="499">
        <f t="shared" si="975"/>
        <v>14</v>
      </c>
      <c r="AO477" s="287">
        <f t="shared" si="975"/>
        <v>14</v>
      </c>
      <c r="AP477" s="287">
        <f t="shared" si="975"/>
        <v>14</v>
      </c>
      <c r="AQ477" s="287">
        <f t="shared" si="975"/>
        <v>14</v>
      </c>
      <c r="AR477" s="287">
        <f t="shared" si="975"/>
        <v>14</v>
      </c>
      <c r="AS477" s="499">
        <f t="shared" si="975"/>
        <v>14</v>
      </c>
      <c r="AT477" s="315"/>
      <c r="AU477" s="508"/>
      <c r="AV477" s="143"/>
      <c r="AW477" s="143"/>
      <c r="AX477" s="143"/>
      <c r="AY477" s="143"/>
      <c r="AZ477" s="143"/>
      <c r="BA477" s="143"/>
      <c r="BB477" s="143"/>
      <c r="BC477" s="143"/>
      <c r="BD477" s="143"/>
      <c r="BE477" s="143"/>
      <c r="BF477" s="143"/>
      <c r="BG477" s="143"/>
      <c r="BH477" s="143"/>
      <c r="BI477" s="143"/>
      <c r="BJ477" s="143"/>
      <c r="BK477" s="143"/>
      <c r="BL477" s="143"/>
      <c r="BM477" s="143"/>
      <c r="BN477" s="143"/>
      <c r="BO477" s="143"/>
      <c r="BP477" s="143"/>
      <c r="BQ477" s="143"/>
      <c r="BR477" s="143"/>
      <c r="BS477" s="143"/>
      <c r="BT477" s="143"/>
      <c r="BU477" s="143"/>
      <c r="BV477" s="143"/>
      <c r="BW477" s="143"/>
      <c r="BX477" s="143"/>
      <c r="BY477" s="143"/>
      <c r="BZ477" s="143"/>
      <c r="CA477" s="143"/>
      <c r="CB477" s="143"/>
      <c r="CC477" s="143"/>
      <c r="CD477" s="143"/>
      <c r="CE477" s="143"/>
      <c r="CF477" s="143"/>
      <c r="CG477" s="143"/>
      <c r="CH477" s="143"/>
      <c r="CI477" s="143"/>
      <c r="CJ477" s="143"/>
      <c r="CK477" s="143"/>
      <c r="CL477" s="143"/>
      <c r="CM477" s="143"/>
      <c r="CN477" s="143"/>
      <c r="CO477" s="143"/>
      <c r="CP477" s="143"/>
      <c r="CQ477" s="143"/>
      <c r="CR477" s="143"/>
      <c r="CS477" s="143"/>
      <c r="CT477" s="143"/>
      <c r="CU477" s="143"/>
      <c r="CV477" s="143"/>
      <c r="CW477" s="143"/>
      <c r="CX477" s="143"/>
      <c r="CY477" s="143"/>
      <c r="CZ477" s="143"/>
      <c r="DA477" s="143"/>
      <c r="DB477" s="143"/>
      <c r="DC477" s="143"/>
      <c r="DD477" s="143"/>
      <c r="DE477" s="143"/>
      <c r="DF477" s="143"/>
      <c r="DG477" s="143"/>
      <c r="DH477" s="143"/>
      <c r="DI477" s="143"/>
      <c r="DJ477" s="143"/>
      <c r="DK477" s="143"/>
      <c r="DL477" s="143"/>
      <c r="DM477" s="143"/>
      <c r="DN477" s="143"/>
      <c r="DO477" s="143"/>
      <c r="DP477" s="143"/>
      <c r="DQ477" s="143"/>
      <c r="DR477" s="143"/>
      <c r="DS477" s="143"/>
      <c r="DT477" s="143"/>
      <c r="DU477" s="143"/>
      <c r="DV477" s="143"/>
      <c r="DW477" s="143"/>
      <c r="DX477" s="143"/>
      <c r="DY477" s="143"/>
      <c r="DZ477" s="143"/>
      <c r="EA477" s="143"/>
      <c r="EB477" s="143"/>
      <c r="EC477" s="143"/>
      <c r="ED477" s="143"/>
      <c r="EE477" s="143"/>
      <c r="EF477" s="143"/>
      <c r="EG477" s="143"/>
      <c r="EH477" s="143"/>
      <c r="EI477" s="143"/>
      <c r="EJ477" s="143"/>
      <c r="EK477" s="143"/>
      <c r="EL477" s="143"/>
      <c r="EM477" s="143"/>
      <c r="EN477" s="143"/>
      <c r="EO477" s="143"/>
      <c r="EP477" s="143"/>
      <c r="EQ477" s="143"/>
      <c r="ER477" s="143"/>
      <c r="ES477" s="143"/>
      <c r="ET477" s="143"/>
      <c r="EU477" s="143"/>
      <c r="EV477" s="143"/>
      <c r="EW477" s="143"/>
      <c r="EX477" s="143"/>
      <c r="EY477" s="143"/>
      <c r="EZ477" s="143"/>
      <c r="FA477" s="143"/>
      <c r="FB477" s="143"/>
      <c r="FC477" s="143"/>
      <c r="FD477" s="143"/>
      <c r="FE477" s="143"/>
      <c r="FF477" s="143"/>
      <c r="FG477" s="143"/>
      <c r="FH477" s="143"/>
      <c r="FI477" s="143"/>
      <c r="FJ477" s="143"/>
      <c r="FK477" s="143"/>
      <c r="FL477" s="143"/>
      <c r="FM477" s="143"/>
      <c r="FN477" s="143"/>
      <c r="FO477" s="143"/>
      <c r="FP477" s="143"/>
      <c r="FQ477" s="143"/>
      <c r="FR477" s="143"/>
      <c r="FS477" s="143"/>
      <c r="FT477" s="143"/>
      <c r="FU477" s="143"/>
      <c r="FV477" s="143"/>
      <c r="FW477" s="143"/>
      <c r="FX477" s="143"/>
      <c r="FY477" s="143"/>
      <c r="FZ477" s="143"/>
      <c r="GA477" s="143"/>
      <c r="GB477" s="143"/>
      <c r="GC477" s="143"/>
      <c r="GD477" s="143"/>
      <c r="GE477" s="143"/>
      <c r="GF477" s="143"/>
      <c r="GG477" s="143"/>
      <c r="GH477" s="143"/>
      <c r="GI477" s="143"/>
      <c r="GJ477" s="143"/>
      <c r="GK477" s="143"/>
      <c r="GL477" s="143"/>
      <c r="GM477" s="143"/>
      <c r="GN477" s="143"/>
      <c r="GO477" s="143"/>
      <c r="GP477" s="143"/>
      <c r="GQ477" s="143"/>
      <c r="GR477" s="143"/>
      <c r="GS477" s="143"/>
      <c r="GT477" s="143"/>
      <c r="GU477" s="143"/>
      <c r="GV477" s="143"/>
      <c r="GW477" s="143"/>
      <c r="GX477" s="143"/>
      <c r="GY477" s="143"/>
      <c r="GZ477" s="143"/>
      <c r="HA477" s="143"/>
      <c r="HB477" s="143"/>
      <c r="HC477" s="143"/>
      <c r="HD477" s="143"/>
      <c r="HE477" s="143"/>
      <c r="HF477" s="143"/>
      <c r="HG477" s="143"/>
      <c r="HH477" s="143"/>
      <c r="HI477" s="143"/>
      <c r="HJ477" s="143"/>
      <c r="HK477" s="143"/>
      <c r="HL477" s="143"/>
      <c r="HM477" s="143"/>
      <c r="HN477" s="143"/>
      <c r="HO477" s="143"/>
      <c r="HP477" s="143"/>
      <c r="HQ477" s="143"/>
      <c r="HR477" s="143"/>
      <c r="HS477" s="143"/>
      <c r="HT477" s="143"/>
      <c r="HU477" s="143"/>
      <c r="HV477" s="143"/>
      <c r="HW477" s="143"/>
      <c r="HX477" s="143"/>
      <c r="HY477" s="143"/>
      <c r="HZ477" s="143"/>
      <c r="IA477" s="143"/>
      <c r="IB477" s="143"/>
      <c r="IC477" s="143"/>
      <c r="ID477" s="143"/>
      <c r="IE477" s="143"/>
      <c r="IF477" s="143"/>
      <c r="IG477" s="143"/>
      <c r="IH477" s="143"/>
      <c r="II477" s="143"/>
      <c r="IJ477" s="143"/>
      <c r="IK477" s="143"/>
      <c r="IL477" s="143"/>
      <c r="IM477" s="143"/>
      <c r="IN477" s="143"/>
      <c r="IO477" s="143"/>
      <c r="IP477" s="143"/>
      <c r="IQ477" s="143"/>
      <c r="IR477" s="143"/>
      <c r="IS477" s="143"/>
      <c r="IT477" s="143"/>
      <c r="IU477" s="143"/>
      <c r="IV477" s="143"/>
      <c r="IW477" s="143"/>
      <c r="IX477" s="143"/>
      <c r="IY477" s="143"/>
      <c r="IZ477" s="143"/>
      <c r="JA477" s="143"/>
      <c r="JB477" s="143"/>
      <c r="JC477" s="143"/>
      <c r="JD477" s="143"/>
      <c r="JE477" s="143"/>
      <c r="JF477" s="143"/>
      <c r="JG477" s="143"/>
      <c r="JH477" s="143"/>
      <c r="JI477" s="143"/>
    </row>
    <row r="478" spans="1:269" outlineLevel="1">
      <c r="A478" s="435" t="s">
        <v>329</v>
      </c>
      <c r="B478" s="143"/>
      <c r="C478" s="277"/>
      <c r="D478" s="277"/>
      <c r="E478" s="277"/>
      <c r="F478" s="278"/>
      <c r="G478" s="278"/>
      <c r="H478" s="278"/>
      <c r="I478" s="278">
        <v>0</v>
      </c>
      <c r="J478" s="277"/>
      <c r="K478" s="278"/>
      <c r="L478" s="278"/>
      <c r="M478" s="278"/>
      <c r="N478" s="278">
        <v>0</v>
      </c>
      <c r="O478" s="277">
        <v>0</v>
      </c>
      <c r="P478" s="278"/>
      <c r="Q478" s="278">
        <v>0</v>
      </c>
      <c r="R478" s="278">
        <v>0</v>
      </c>
      <c r="S478" s="278">
        <v>0</v>
      </c>
      <c r="T478" s="277">
        <v>0</v>
      </c>
      <c r="U478" s="278">
        <v>0</v>
      </c>
      <c r="V478" s="278">
        <v>0</v>
      </c>
      <c r="W478" s="278">
        <v>0</v>
      </c>
      <c r="X478" s="278"/>
      <c r="Y478" s="277"/>
      <c r="Z478" s="278"/>
      <c r="AA478" s="278"/>
      <c r="AB478" s="278"/>
      <c r="AC478" s="278"/>
      <c r="AD478" s="536"/>
      <c r="AE478" s="278"/>
      <c r="AF478" s="278"/>
      <c r="AG478" s="287"/>
      <c r="AH478" s="287"/>
      <c r="AI478" s="499"/>
      <c r="AJ478" s="287"/>
      <c r="AK478" s="287"/>
      <c r="AL478" s="287"/>
      <c r="AM478" s="287"/>
      <c r="AN478" s="499"/>
      <c r="AO478" s="287"/>
      <c r="AP478" s="287"/>
      <c r="AQ478" s="287"/>
      <c r="AR478" s="287"/>
      <c r="AS478" s="499"/>
      <c r="AT478" s="315"/>
      <c r="AU478" s="508"/>
      <c r="AV478" s="143"/>
      <c r="AW478" s="143"/>
      <c r="AX478" s="143"/>
      <c r="AY478" s="143"/>
      <c r="AZ478" s="143"/>
      <c r="BA478" s="143"/>
      <c r="BB478" s="143"/>
      <c r="BC478" s="143"/>
      <c r="BD478" s="143"/>
      <c r="BE478" s="143"/>
      <c r="BF478" s="143"/>
      <c r="BG478" s="143"/>
      <c r="BH478" s="143"/>
      <c r="BI478" s="143"/>
      <c r="BJ478" s="143"/>
      <c r="BK478" s="143"/>
      <c r="BL478" s="143"/>
      <c r="BM478" s="143"/>
      <c r="BN478" s="143"/>
      <c r="BO478" s="143"/>
      <c r="BP478" s="143"/>
      <c r="BQ478" s="143"/>
      <c r="BR478" s="143"/>
      <c r="BS478" s="143"/>
      <c r="BT478" s="143"/>
      <c r="BU478" s="143"/>
      <c r="BV478" s="143"/>
      <c r="BW478" s="143"/>
      <c r="BX478" s="143"/>
      <c r="BY478" s="143"/>
      <c r="BZ478" s="143"/>
      <c r="CA478" s="143"/>
      <c r="CB478" s="143"/>
      <c r="CC478" s="143"/>
      <c r="CD478" s="143"/>
      <c r="CE478" s="143"/>
      <c r="CF478" s="143"/>
      <c r="CG478" s="143"/>
      <c r="CH478" s="143"/>
      <c r="CI478" s="143"/>
      <c r="CJ478" s="143"/>
      <c r="CK478" s="143"/>
      <c r="CL478" s="143"/>
      <c r="CM478" s="143"/>
      <c r="CN478" s="143"/>
      <c r="CO478" s="143"/>
      <c r="CP478" s="143"/>
      <c r="CQ478" s="143"/>
      <c r="CR478" s="143"/>
      <c r="CS478" s="143"/>
      <c r="CT478" s="143"/>
      <c r="CU478" s="143"/>
      <c r="CV478" s="143"/>
      <c r="CW478" s="143"/>
      <c r="CX478" s="143"/>
      <c r="CY478" s="143"/>
      <c r="CZ478" s="143"/>
      <c r="DA478" s="143"/>
      <c r="DB478" s="143"/>
      <c r="DC478" s="143"/>
      <c r="DD478" s="143"/>
      <c r="DE478" s="143"/>
      <c r="DF478" s="143"/>
      <c r="DG478" s="143"/>
      <c r="DH478" s="143"/>
      <c r="DI478" s="143"/>
      <c r="DJ478" s="143"/>
      <c r="DK478" s="143"/>
      <c r="DL478" s="143"/>
      <c r="DM478" s="143"/>
      <c r="DN478" s="143"/>
      <c r="DO478" s="143"/>
      <c r="DP478" s="143"/>
      <c r="DQ478" s="143"/>
      <c r="DR478" s="143"/>
      <c r="DS478" s="143"/>
      <c r="DT478" s="143"/>
      <c r="DU478" s="143"/>
      <c r="DV478" s="143"/>
      <c r="DW478" s="143"/>
      <c r="DX478" s="143"/>
      <c r="DY478" s="143"/>
      <c r="DZ478" s="143"/>
      <c r="EA478" s="143"/>
      <c r="EB478" s="143"/>
      <c r="EC478" s="143"/>
      <c r="ED478" s="143"/>
      <c r="EE478" s="143"/>
      <c r="EF478" s="143"/>
      <c r="EG478" s="143"/>
      <c r="EH478" s="143"/>
      <c r="EI478" s="143"/>
      <c r="EJ478" s="143"/>
      <c r="EK478" s="143"/>
      <c r="EL478" s="143"/>
      <c r="EM478" s="143"/>
      <c r="EN478" s="143"/>
      <c r="EO478" s="143"/>
      <c r="EP478" s="143"/>
      <c r="EQ478" s="143"/>
      <c r="ER478" s="143"/>
      <c r="ES478" s="143"/>
      <c r="ET478" s="143"/>
      <c r="EU478" s="143"/>
      <c r="EV478" s="143"/>
      <c r="EW478" s="143"/>
      <c r="EX478" s="143"/>
      <c r="EY478" s="143"/>
      <c r="EZ478" s="143"/>
      <c r="FA478" s="143"/>
      <c r="FB478" s="143"/>
      <c r="FC478" s="143"/>
      <c r="FD478" s="143"/>
      <c r="FE478" s="143"/>
      <c r="FF478" s="143"/>
      <c r="FG478" s="143"/>
      <c r="FH478" s="143"/>
      <c r="FI478" s="143"/>
      <c r="FJ478" s="143"/>
      <c r="FK478" s="143"/>
      <c r="FL478" s="143"/>
      <c r="FM478" s="143"/>
      <c r="FN478" s="143"/>
      <c r="FO478" s="143"/>
      <c r="FP478" s="143"/>
      <c r="FQ478" s="143"/>
      <c r="FR478" s="143"/>
      <c r="FS478" s="143"/>
      <c r="FT478" s="143"/>
      <c r="FU478" s="143"/>
      <c r="FV478" s="143"/>
      <c r="FW478" s="143"/>
      <c r="FX478" s="143"/>
      <c r="FY478" s="143"/>
      <c r="FZ478" s="143"/>
      <c r="GA478" s="143"/>
      <c r="GB478" s="143"/>
      <c r="GC478" s="143"/>
      <c r="GD478" s="143"/>
      <c r="GE478" s="143"/>
      <c r="GF478" s="143"/>
      <c r="GG478" s="143"/>
      <c r="GH478" s="143"/>
      <c r="GI478" s="143"/>
      <c r="GJ478" s="143"/>
      <c r="GK478" s="143"/>
      <c r="GL478" s="143"/>
      <c r="GM478" s="143"/>
      <c r="GN478" s="143"/>
      <c r="GO478" s="143"/>
      <c r="GP478" s="143"/>
      <c r="GQ478" s="143"/>
      <c r="GR478" s="143"/>
      <c r="GS478" s="143"/>
      <c r="GT478" s="143"/>
      <c r="GU478" s="143"/>
      <c r="GV478" s="143"/>
      <c r="GW478" s="143"/>
      <c r="GX478" s="143"/>
      <c r="GY478" s="143"/>
      <c r="GZ478" s="143"/>
      <c r="HA478" s="143"/>
      <c r="HB478" s="143"/>
      <c r="HC478" s="143"/>
      <c r="HD478" s="143"/>
      <c r="HE478" s="143"/>
      <c r="HF478" s="143"/>
      <c r="HG478" s="143"/>
      <c r="HH478" s="143"/>
      <c r="HI478" s="143"/>
      <c r="HJ478" s="143"/>
      <c r="HK478" s="143"/>
      <c r="HL478" s="143"/>
      <c r="HM478" s="143"/>
      <c r="HN478" s="143"/>
      <c r="HO478" s="143"/>
      <c r="HP478" s="143"/>
      <c r="HQ478" s="143"/>
      <c r="HR478" s="143"/>
      <c r="HS478" s="143"/>
      <c r="HT478" s="143"/>
      <c r="HU478" s="143"/>
      <c r="HV478" s="143"/>
      <c r="HW478" s="143"/>
      <c r="HX478" s="143"/>
      <c r="HY478" s="143"/>
      <c r="HZ478" s="143"/>
      <c r="IA478" s="143"/>
      <c r="IB478" s="143"/>
      <c r="IC478" s="143"/>
      <c r="ID478" s="143"/>
      <c r="IE478" s="143"/>
      <c r="IF478" s="143"/>
      <c r="IG478" s="143"/>
      <c r="IH478" s="143"/>
      <c r="II478" s="143"/>
      <c r="IJ478" s="143"/>
      <c r="IK478" s="143"/>
      <c r="IL478" s="143"/>
      <c r="IM478" s="143"/>
      <c r="IN478" s="143"/>
      <c r="IO478" s="143"/>
      <c r="IP478" s="143"/>
      <c r="IQ478" s="143"/>
      <c r="IR478" s="143"/>
      <c r="IS478" s="143"/>
      <c r="IT478" s="143"/>
      <c r="IU478" s="143"/>
      <c r="IV478" s="143"/>
      <c r="IW478" s="143"/>
      <c r="IX478" s="143"/>
      <c r="IY478" s="143"/>
      <c r="IZ478" s="143"/>
      <c r="JA478" s="143"/>
      <c r="JB478" s="143"/>
      <c r="JC478" s="143"/>
      <c r="JD478" s="143"/>
      <c r="JE478" s="143"/>
      <c r="JF478" s="143"/>
      <c r="JG478" s="143"/>
      <c r="JH478" s="143"/>
      <c r="JI478" s="143"/>
    </row>
    <row r="479" spans="1:269" outlineLevel="1">
      <c r="A479" s="435" t="s">
        <v>330</v>
      </c>
      <c r="B479" s="143"/>
      <c r="C479" s="277"/>
      <c r="D479" s="277"/>
      <c r="E479" s="277"/>
      <c r="F479" s="278"/>
      <c r="G479" s="278"/>
      <c r="H479" s="278"/>
      <c r="I479" s="278">
        <v>13952</v>
      </c>
      <c r="J479" s="277"/>
      <c r="K479" s="278"/>
      <c r="L479" s="278"/>
      <c r="M479" s="278"/>
      <c r="N479" s="278">
        <v>13952</v>
      </c>
      <c r="O479" s="277">
        <v>13952</v>
      </c>
      <c r="P479" s="278"/>
      <c r="Q479" s="278">
        <v>202352</v>
      </c>
      <c r="R479" s="278">
        <v>260908</v>
      </c>
      <c r="S479" s="278">
        <v>722250</v>
      </c>
      <c r="T479" s="277">
        <v>722250</v>
      </c>
      <c r="U479" s="278">
        <v>729299</v>
      </c>
      <c r="V479" s="278">
        <v>735682</v>
      </c>
      <c r="W479" s="278">
        <v>642762</v>
      </c>
      <c r="X479" s="278">
        <v>550320</v>
      </c>
      <c r="Y479" s="277">
        <v>550320</v>
      </c>
      <c r="Z479" s="278">
        <v>555046</v>
      </c>
      <c r="AA479" s="278">
        <v>561483</v>
      </c>
      <c r="AB479" s="278">
        <v>564509</v>
      </c>
      <c r="AC479" s="280">
        <f>AB479+AC514</f>
        <v>568154.63833240687</v>
      </c>
      <c r="AD479" s="320">
        <f>AC479</f>
        <v>568154.63833240687</v>
      </c>
      <c r="AE479" s="280">
        <f>AD479+AE514</f>
        <v>570781.31937103765</v>
      </c>
      <c r="AF479" s="280">
        <f t="shared" ref="AF479:AH479" si="976">AE479+AF514</f>
        <v>573469.61250657553</v>
      </c>
      <c r="AG479" s="280">
        <f t="shared" si="976"/>
        <v>577509.81204517535</v>
      </c>
      <c r="AH479" s="280">
        <f t="shared" si="976"/>
        <v>582250.67739487742</v>
      </c>
      <c r="AI479" s="320">
        <f>AH479</f>
        <v>582250.67739487742</v>
      </c>
      <c r="AJ479" s="280">
        <f t="shared" ref="AJ479:AM479" si="977">AI479+AJ514</f>
        <v>586899.01797248819</v>
      </c>
      <c r="AK479" s="280">
        <f t="shared" si="977"/>
        <v>592587.27674411086</v>
      </c>
      <c r="AL479" s="280">
        <f t="shared" si="977"/>
        <v>598092.43741065124</v>
      </c>
      <c r="AM479" s="280">
        <f t="shared" si="977"/>
        <v>604105.54181564914</v>
      </c>
      <c r="AN479" s="320">
        <f>AM479</f>
        <v>604105.54181564914</v>
      </c>
      <c r="AO479" s="280">
        <f t="shared" ref="AO479:AR479" si="978">AN479+AO514</f>
        <v>609554.42533726513</v>
      </c>
      <c r="AP479" s="280">
        <f t="shared" si="978"/>
        <v>616033.57806713029</v>
      </c>
      <c r="AQ479" s="280">
        <f t="shared" si="978"/>
        <v>622130.83997321082</v>
      </c>
      <c r="AR479" s="280">
        <f t="shared" si="978"/>
        <v>629243.64778527594</v>
      </c>
      <c r="AS479" s="320">
        <f>AR479</f>
        <v>629243.64778527594</v>
      </c>
      <c r="AT479" s="315"/>
      <c r="AU479" s="508"/>
      <c r="AV479" s="143"/>
      <c r="AW479" s="143"/>
      <c r="AX479" s="143"/>
      <c r="AY479" s="143"/>
      <c r="AZ479" s="143"/>
      <c r="BA479" s="143"/>
      <c r="BB479" s="143"/>
      <c r="BC479" s="143"/>
      <c r="BD479" s="143"/>
      <c r="BE479" s="143"/>
      <c r="BF479" s="143"/>
      <c r="BG479" s="143"/>
      <c r="BH479" s="143"/>
      <c r="BI479" s="143"/>
      <c r="BJ479" s="143"/>
      <c r="BK479" s="143"/>
      <c r="BL479" s="143"/>
      <c r="BM479" s="143"/>
      <c r="BN479" s="143"/>
      <c r="BO479" s="143"/>
      <c r="BP479" s="143"/>
      <c r="BQ479" s="143"/>
      <c r="BR479" s="143"/>
      <c r="BS479" s="143"/>
      <c r="BT479" s="143"/>
      <c r="BU479" s="143"/>
      <c r="BV479" s="143"/>
      <c r="BW479" s="143"/>
      <c r="BX479" s="143"/>
      <c r="BY479" s="143"/>
      <c r="BZ479" s="143"/>
      <c r="CA479" s="143"/>
      <c r="CB479" s="143"/>
      <c r="CC479" s="143"/>
      <c r="CD479" s="143"/>
      <c r="CE479" s="143"/>
      <c r="CF479" s="143"/>
      <c r="CG479" s="143"/>
      <c r="CH479" s="143"/>
      <c r="CI479" s="143"/>
      <c r="CJ479" s="143"/>
      <c r="CK479" s="143"/>
      <c r="CL479" s="143"/>
      <c r="CM479" s="143"/>
      <c r="CN479" s="143"/>
      <c r="CO479" s="143"/>
      <c r="CP479" s="143"/>
      <c r="CQ479" s="143"/>
      <c r="CR479" s="143"/>
      <c r="CS479" s="143"/>
      <c r="CT479" s="143"/>
      <c r="CU479" s="143"/>
      <c r="CV479" s="143"/>
      <c r="CW479" s="143"/>
      <c r="CX479" s="143"/>
      <c r="CY479" s="143"/>
      <c r="CZ479" s="143"/>
      <c r="DA479" s="143"/>
      <c r="DB479" s="143"/>
      <c r="DC479" s="143"/>
      <c r="DD479" s="143"/>
      <c r="DE479" s="143"/>
      <c r="DF479" s="143"/>
      <c r="DG479" s="143"/>
      <c r="DH479" s="143"/>
      <c r="DI479" s="143"/>
      <c r="DJ479" s="143"/>
      <c r="DK479" s="143"/>
      <c r="DL479" s="143"/>
      <c r="DM479" s="143"/>
      <c r="DN479" s="143"/>
      <c r="DO479" s="143"/>
      <c r="DP479" s="143"/>
      <c r="DQ479" s="143"/>
      <c r="DR479" s="143"/>
      <c r="DS479" s="143"/>
      <c r="DT479" s="143"/>
      <c r="DU479" s="143"/>
      <c r="DV479" s="143"/>
      <c r="DW479" s="143"/>
      <c r="DX479" s="143"/>
      <c r="DY479" s="143"/>
      <c r="DZ479" s="143"/>
      <c r="EA479" s="143"/>
      <c r="EB479" s="143"/>
      <c r="EC479" s="143"/>
      <c r="ED479" s="143"/>
      <c r="EE479" s="143"/>
      <c r="EF479" s="143"/>
      <c r="EG479" s="143"/>
      <c r="EH479" s="143"/>
      <c r="EI479" s="143"/>
      <c r="EJ479" s="143"/>
      <c r="EK479" s="143"/>
      <c r="EL479" s="143"/>
      <c r="EM479" s="143"/>
      <c r="EN479" s="143"/>
      <c r="EO479" s="143"/>
      <c r="EP479" s="143"/>
      <c r="EQ479" s="143"/>
      <c r="ER479" s="143"/>
      <c r="ES479" s="143"/>
      <c r="ET479" s="143"/>
      <c r="EU479" s="143"/>
      <c r="EV479" s="143"/>
      <c r="EW479" s="143"/>
      <c r="EX479" s="143"/>
      <c r="EY479" s="143"/>
      <c r="EZ479" s="143"/>
      <c r="FA479" s="143"/>
      <c r="FB479" s="143"/>
      <c r="FC479" s="143"/>
      <c r="FD479" s="143"/>
      <c r="FE479" s="143"/>
      <c r="FF479" s="143"/>
      <c r="FG479" s="143"/>
      <c r="FH479" s="143"/>
      <c r="FI479" s="143"/>
      <c r="FJ479" s="143"/>
      <c r="FK479" s="143"/>
      <c r="FL479" s="143"/>
      <c r="FM479" s="143"/>
      <c r="FN479" s="143"/>
      <c r="FO479" s="143"/>
      <c r="FP479" s="143"/>
      <c r="FQ479" s="143"/>
      <c r="FR479" s="143"/>
      <c r="FS479" s="143"/>
      <c r="FT479" s="143"/>
      <c r="FU479" s="143"/>
      <c r="FV479" s="143"/>
      <c r="FW479" s="143"/>
      <c r="FX479" s="143"/>
      <c r="FY479" s="143"/>
      <c r="FZ479" s="143"/>
      <c r="GA479" s="143"/>
      <c r="GB479" s="143"/>
      <c r="GC479" s="143"/>
      <c r="GD479" s="143"/>
      <c r="GE479" s="143"/>
      <c r="GF479" s="143"/>
      <c r="GG479" s="143"/>
      <c r="GH479" s="143"/>
      <c r="GI479" s="143"/>
      <c r="GJ479" s="143"/>
      <c r="GK479" s="143"/>
      <c r="GL479" s="143"/>
      <c r="GM479" s="143"/>
      <c r="GN479" s="143"/>
      <c r="GO479" s="143"/>
      <c r="GP479" s="143"/>
      <c r="GQ479" s="143"/>
      <c r="GR479" s="143"/>
      <c r="GS479" s="143"/>
      <c r="GT479" s="143"/>
      <c r="GU479" s="143"/>
      <c r="GV479" s="143"/>
      <c r="GW479" s="143"/>
      <c r="GX479" s="143"/>
      <c r="GY479" s="143"/>
      <c r="GZ479" s="143"/>
      <c r="HA479" s="143"/>
      <c r="HB479" s="143"/>
      <c r="HC479" s="143"/>
      <c r="HD479" s="143"/>
      <c r="HE479" s="143"/>
      <c r="HF479" s="143"/>
      <c r="HG479" s="143"/>
      <c r="HH479" s="143"/>
      <c r="HI479" s="143"/>
      <c r="HJ479" s="143"/>
      <c r="HK479" s="143"/>
      <c r="HL479" s="143"/>
      <c r="HM479" s="143"/>
      <c r="HN479" s="143"/>
      <c r="HO479" s="143"/>
      <c r="HP479" s="143"/>
      <c r="HQ479" s="143"/>
      <c r="HR479" s="143"/>
      <c r="HS479" s="143"/>
      <c r="HT479" s="143"/>
      <c r="HU479" s="143"/>
      <c r="HV479" s="143"/>
      <c r="HW479" s="143"/>
      <c r="HX479" s="143"/>
      <c r="HY479" s="143"/>
      <c r="HZ479" s="143"/>
      <c r="IA479" s="143"/>
      <c r="IB479" s="143"/>
      <c r="IC479" s="143"/>
      <c r="ID479" s="143"/>
      <c r="IE479" s="143"/>
      <c r="IF479" s="143"/>
      <c r="IG479" s="143"/>
      <c r="IH479" s="143"/>
      <c r="II479" s="143"/>
      <c r="IJ479" s="143"/>
      <c r="IK479" s="143"/>
      <c r="IL479" s="143"/>
      <c r="IM479" s="143"/>
      <c r="IN479" s="143"/>
      <c r="IO479" s="143"/>
      <c r="IP479" s="143"/>
      <c r="IQ479" s="143"/>
      <c r="IR479" s="143"/>
      <c r="IS479" s="143"/>
      <c r="IT479" s="143"/>
      <c r="IU479" s="143"/>
      <c r="IV479" s="143"/>
      <c r="IW479" s="143"/>
      <c r="IX479" s="143"/>
      <c r="IY479" s="143"/>
      <c r="IZ479" s="143"/>
      <c r="JA479" s="143"/>
      <c r="JB479" s="143"/>
      <c r="JC479" s="143"/>
      <c r="JD479" s="143"/>
      <c r="JE479" s="143"/>
      <c r="JF479" s="143"/>
      <c r="JG479" s="143"/>
      <c r="JH479" s="143"/>
      <c r="JI479" s="143"/>
    </row>
    <row r="480" spans="1:269" outlineLevel="1">
      <c r="A480" s="435" t="s">
        <v>331</v>
      </c>
      <c r="B480" s="143"/>
      <c r="C480" s="277"/>
      <c r="D480" s="277"/>
      <c r="E480" s="277"/>
      <c r="F480" s="278"/>
      <c r="G480" s="278"/>
      <c r="H480" s="278"/>
      <c r="I480" s="278">
        <v>-554</v>
      </c>
      <c r="J480" s="277"/>
      <c r="K480" s="278"/>
      <c r="L480" s="278"/>
      <c r="M480" s="278"/>
      <c r="N480" s="278">
        <v>-554</v>
      </c>
      <c r="O480" s="277">
        <v>-554</v>
      </c>
      <c r="P480" s="278"/>
      <c r="Q480" s="278">
        <v>0</v>
      </c>
      <c r="R480" s="278">
        <v>0</v>
      </c>
      <c r="S480" s="278">
        <v>0</v>
      </c>
      <c r="T480" s="277">
        <v>0</v>
      </c>
      <c r="U480" s="278"/>
      <c r="V480" s="278"/>
      <c r="W480" s="278"/>
      <c r="X480" s="278"/>
      <c r="Y480" s="277"/>
      <c r="Z480" s="278"/>
      <c r="AA480" s="278"/>
      <c r="AB480" s="278"/>
      <c r="AC480" s="278"/>
      <c r="AD480" s="536"/>
      <c r="AE480" s="278"/>
      <c r="AF480" s="278"/>
      <c r="AG480" s="287"/>
      <c r="AH480" s="287"/>
      <c r="AI480" s="499"/>
      <c r="AJ480" s="287"/>
      <c r="AK480" s="287"/>
      <c r="AL480" s="287"/>
      <c r="AM480" s="287"/>
      <c r="AN480" s="499"/>
      <c r="AO480" s="287"/>
      <c r="AP480" s="287"/>
      <c r="AQ480" s="287"/>
      <c r="AR480" s="287"/>
      <c r="AS480" s="499"/>
      <c r="AT480" s="315"/>
      <c r="AU480" s="508"/>
      <c r="AV480" s="143"/>
      <c r="AW480" s="143"/>
      <c r="AX480" s="143"/>
      <c r="AY480" s="143"/>
      <c r="AZ480" s="143"/>
      <c r="BA480" s="143"/>
      <c r="BB480" s="143"/>
      <c r="BC480" s="143"/>
      <c r="BD480" s="143"/>
      <c r="BE480" s="143"/>
      <c r="BF480" s="143"/>
      <c r="BG480" s="143"/>
      <c r="BH480" s="143"/>
      <c r="BI480" s="143"/>
      <c r="BJ480" s="143"/>
      <c r="BK480" s="143"/>
      <c r="BL480" s="143"/>
      <c r="BM480" s="143"/>
      <c r="BN480" s="143"/>
      <c r="BO480" s="143"/>
      <c r="BP480" s="143"/>
      <c r="BQ480" s="143"/>
      <c r="BR480" s="143"/>
      <c r="BS480" s="143"/>
      <c r="BT480" s="143"/>
      <c r="BU480" s="143"/>
      <c r="BV480" s="143"/>
      <c r="BW480" s="143"/>
      <c r="BX480" s="143"/>
      <c r="BY480" s="143"/>
      <c r="BZ480" s="143"/>
      <c r="CA480" s="143"/>
      <c r="CB480" s="143"/>
      <c r="CC480" s="143"/>
      <c r="CD480" s="143"/>
      <c r="CE480" s="143"/>
      <c r="CF480" s="143"/>
      <c r="CG480" s="143"/>
      <c r="CH480" s="143"/>
      <c r="CI480" s="143"/>
      <c r="CJ480" s="143"/>
      <c r="CK480" s="143"/>
      <c r="CL480" s="143"/>
      <c r="CM480" s="143"/>
      <c r="CN480" s="143"/>
      <c r="CO480" s="143"/>
      <c r="CP480" s="143"/>
      <c r="CQ480" s="143"/>
      <c r="CR480" s="143"/>
      <c r="CS480" s="143"/>
      <c r="CT480" s="143"/>
      <c r="CU480" s="143"/>
      <c r="CV480" s="143"/>
      <c r="CW480" s="143"/>
      <c r="CX480" s="143"/>
      <c r="CY480" s="143"/>
      <c r="CZ480" s="143"/>
      <c r="DA480" s="143"/>
      <c r="DB480" s="143"/>
      <c r="DC480" s="143"/>
      <c r="DD480" s="143"/>
      <c r="DE480" s="143"/>
      <c r="DF480" s="143"/>
      <c r="DG480" s="143"/>
      <c r="DH480" s="143"/>
      <c r="DI480" s="143"/>
      <c r="DJ480" s="143"/>
      <c r="DK480" s="143"/>
      <c r="DL480" s="143"/>
      <c r="DM480" s="143"/>
      <c r="DN480" s="143"/>
      <c r="DO480" s="143"/>
      <c r="DP480" s="143"/>
      <c r="DQ480" s="143"/>
      <c r="DR480" s="143"/>
      <c r="DS480" s="143"/>
      <c r="DT480" s="143"/>
      <c r="DU480" s="143"/>
      <c r="DV480" s="143"/>
      <c r="DW480" s="143"/>
      <c r="DX480" s="143"/>
      <c r="DY480" s="143"/>
      <c r="DZ480" s="143"/>
      <c r="EA480" s="143"/>
      <c r="EB480" s="143"/>
      <c r="EC480" s="143"/>
      <c r="ED480" s="143"/>
      <c r="EE480" s="143"/>
      <c r="EF480" s="143"/>
      <c r="EG480" s="143"/>
      <c r="EH480" s="143"/>
      <c r="EI480" s="143"/>
      <c r="EJ480" s="143"/>
      <c r="EK480" s="143"/>
      <c r="EL480" s="143"/>
      <c r="EM480" s="143"/>
      <c r="EN480" s="143"/>
      <c r="EO480" s="143"/>
      <c r="EP480" s="143"/>
      <c r="EQ480" s="143"/>
      <c r="ER480" s="143"/>
      <c r="ES480" s="143"/>
      <c r="ET480" s="143"/>
      <c r="EU480" s="143"/>
      <c r="EV480" s="143"/>
      <c r="EW480" s="143"/>
      <c r="EX480" s="143"/>
      <c r="EY480" s="143"/>
      <c r="EZ480" s="143"/>
      <c r="FA480" s="143"/>
      <c r="FB480" s="143"/>
      <c r="FC480" s="143"/>
      <c r="FD480" s="143"/>
      <c r="FE480" s="143"/>
      <c r="FF480" s="143"/>
      <c r="FG480" s="143"/>
      <c r="FH480" s="143"/>
      <c r="FI480" s="143"/>
      <c r="FJ480" s="143"/>
      <c r="FK480" s="143"/>
      <c r="FL480" s="143"/>
      <c r="FM480" s="143"/>
      <c r="FN480" s="143"/>
      <c r="FO480" s="143"/>
      <c r="FP480" s="143"/>
      <c r="FQ480" s="143"/>
      <c r="FR480" s="143"/>
      <c r="FS480" s="143"/>
      <c r="FT480" s="143"/>
      <c r="FU480" s="143"/>
      <c r="FV480" s="143"/>
      <c r="FW480" s="143"/>
      <c r="FX480" s="143"/>
      <c r="FY480" s="143"/>
      <c r="FZ480" s="143"/>
      <c r="GA480" s="143"/>
      <c r="GB480" s="143"/>
      <c r="GC480" s="143"/>
      <c r="GD480" s="143"/>
      <c r="GE480" s="143"/>
      <c r="GF480" s="143"/>
      <c r="GG480" s="143"/>
      <c r="GH480" s="143"/>
      <c r="GI480" s="143"/>
      <c r="GJ480" s="143"/>
      <c r="GK480" s="143"/>
      <c r="GL480" s="143"/>
      <c r="GM480" s="143"/>
      <c r="GN480" s="143"/>
      <c r="GO480" s="143"/>
      <c r="GP480" s="143"/>
      <c r="GQ480" s="143"/>
      <c r="GR480" s="143"/>
      <c r="GS480" s="143"/>
      <c r="GT480" s="143"/>
      <c r="GU480" s="143"/>
      <c r="GV480" s="143"/>
      <c r="GW480" s="143"/>
      <c r="GX480" s="143"/>
      <c r="GY480" s="143"/>
      <c r="GZ480" s="143"/>
      <c r="HA480" s="143"/>
      <c r="HB480" s="143"/>
      <c r="HC480" s="143"/>
      <c r="HD480" s="143"/>
      <c r="HE480" s="143"/>
      <c r="HF480" s="143"/>
      <c r="HG480" s="143"/>
      <c r="HH480" s="143"/>
      <c r="HI480" s="143"/>
      <c r="HJ480" s="143"/>
      <c r="HK480" s="143"/>
      <c r="HL480" s="143"/>
      <c r="HM480" s="143"/>
      <c r="HN480" s="143"/>
      <c r="HO480" s="143"/>
      <c r="HP480" s="143"/>
      <c r="HQ480" s="143"/>
      <c r="HR480" s="143"/>
      <c r="HS480" s="143"/>
      <c r="HT480" s="143"/>
      <c r="HU480" s="143"/>
      <c r="HV480" s="143"/>
      <c r="HW480" s="143"/>
      <c r="HX480" s="143"/>
      <c r="HY480" s="143"/>
      <c r="HZ480" s="143"/>
      <c r="IA480" s="143"/>
      <c r="IB480" s="143"/>
      <c r="IC480" s="143"/>
      <c r="ID480" s="143"/>
      <c r="IE480" s="143"/>
      <c r="IF480" s="143"/>
      <c r="IG480" s="143"/>
      <c r="IH480" s="143"/>
      <c r="II480" s="143"/>
      <c r="IJ480" s="143"/>
      <c r="IK480" s="143"/>
      <c r="IL480" s="143"/>
      <c r="IM480" s="143"/>
      <c r="IN480" s="143"/>
      <c r="IO480" s="143"/>
      <c r="IP480" s="143"/>
      <c r="IQ480" s="143"/>
      <c r="IR480" s="143"/>
      <c r="IS480" s="143"/>
      <c r="IT480" s="143"/>
      <c r="IU480" s="143"/>
      <c r="IV480" s="143"/>
      <c r="IW480" s="143"/>
      <c r="IX480" s="143"/>
      <c r="IY480" s="143"/>
      <c r="IZ480" s="143"/>
      <c r="JA480" s="143"/>
      <c r="JB480" s="143"/>
      <c r="JC480" s="143"/>
      <c r="JD480" s="143"/>
      <c r="JE480" s="143"/>
      <c r="JF480" s="143"/>
      <c r="JG480" s="143"/>
      <c r="JH480" s="143"/>
      <c r="JI480" s="143"/>
    </row>
    <row r="481" spans="1:269" outlineLevel="1">
      <c r="A481" s="435" t="s">
        <v>332</v>
      </c>
      <c r="B481" s="143"/>
      <c r="C481" s="277"/>
      <c r="D481" s="277"/>
      <c r="E481" s="277"/>
      <c r="F481" s="278"/>
      <c r="G481" s="278"/>
      <c r="H481" s="278"/>
      <c r="I481" s="278">
        <v>242</v>
      </c>
      <c r="J481" s="277"/>
      <c r="K481" s="278"/>
      <c r="L481" s="278"/>
      <c r="M481" s="278"/>
      <c r="N481" s="278">
        <v>242</v>
      </c>
      <c r="O481" s="277">
        <v>242</v>
      </c>
      <c r="P481" s="278"/>
      <c r="Q481" s="278">
        <v>-39</v>
      </c>
      <c r="R481" s="278">
        <v>-1576</v>
      </c>
      <c r="S481" s="278">
        <v>-1257</v>
      </c>
      <c r="T481" s="277">
        <v>-1257</v>
      </c>
      <c r="U481" s="278">
        <v>-1402</v>
      </c>
      <c r="V481" s="278">
        <v>-5089</v>
      </c>
      <c r="W481" s="278">
        <v>-6725</v>
      </c>
      <c r="X481" s="278">
        <v>-4530</v>
      </c>
      <c r="Y481" s="277">
        <v>-4530</v>
      </c>
      <c r="Z481" s="278">
        <v>-3642</v>
      </c>
      <c r="AA481" s="278">
        <v>-4009</v>
      </c>
      <c r="AB481" s="278">
        <v>-5102</v>
      </c>
      <c r="AC481" s="287">
        <f>AB481</f>
        <v>-5102</v>
      </c>
      <c r="AD481" s="499">
        <f t="shared" ref="AD481:AS482" si="979">AC481</f>
        <v>-5102</v>
      </c>
      <c r="AE481" s="287">
        <f t="shared" si="979"/>
        <v>-5102</v>
      </c>
      <c r="AF481" s="287">
        <f t="shared" si="979"/>
        <v>-5102</v>
      </c>
      <c r="AG481" s="287">
        <f t="shared" si="979"/>
        <v>-5102</v>
      </c>
      <c r="AH481" s="287">
        <f t="shared" si="979"/>
        <v>-5102</v>
      </c>
      <c r="AI481" s="499">
        <f t="shared" si="979"/>
        <v>-5102</v>
      </c>
      <c r="AJ481" s="287">
        <f t="shared" si="979"/>
        <v>-5102</v>
      </c>
      <c r="AK481" s="287">
        <f t="shared" si="979"/>
        <v>-5102</v>
      </c>
      <c r="AL481" s="287">
        <f t="shared" si="979"/>
        <v>-5102</v>
      </c>
      <c r="AM481" s="287">
        <f t="shared" si="979"/>
        <v>-5102</v>
      </c>
      <c r="AN481" s="499">
        <f t="shared" si="979"/>
        <v>-5102</v>
      </c>
      <c r="AO481" s="287">
        <f t="shared" si="979"/>
        <v>-5102</v>
      </c>
      <c r="AP481" s="287">
        <f t="shared" si="979"/>
        <v>-5102</v>
      </c>
      <c r="AQ481" s="287">
        <f t="shared" si="979"/>
        <v>-5102</v>
      </c>
      <c r="AR481" s="287">
        <f t="shared" si="979"/>
        <v>-5102</v>
      </c>
      <c r="AS481" s="499">
        <f t="shared" si="979"/>
        <v>-5102</v>
      </c>
      <c r="AT481" s="315"/>
      <c r="AU481" s="508"/>
      <c r="AV481" s="143"/>
      <c r="AW481" s="143"/>
      <c r="AX481" s="143"/>
      <c r="AY481" s="143"/>
      <c r="AZ481" s="143"/>
      <c r="BA481" s="143"/>
      <c r="BB481" s="143"/>
      <c r="BC481" s="143"/>
      <c r="BD481" s="143"/>
      <c r="BE481" s="143"/>
      <c r="BF481" s="143"/>
      <c r="BG481" s="143"/>
      <c r="BH481" s="143"/>
      <c r="BI481" s="143"/>
      <c r="BJ481" s="143"/>
      <c r="BK481" s="143"/>
      <c r="BL481" s="143"/>
      <c r="BM481" s="143"/>
      <c r="BN481" s="143"/>
      <c r="BO481" s="143"/>
      <c r="BP481" s="143"/>
      <c r="BQ481" s="143"/>
      <c r="BR481" s="143"/>
      <c r="BS481" s="143"/>
      <c r="BT481" s="143"/>
      <c r="BU481" s="143"/>
      <c r="BV481" s="143"/>
      <c r="BW481" s="143"/>
      <c r="BX481" s="143"/>
      <c r="BY481" s="143"/>
      <c r="BZ481" s="143"/>
      <c r="CA481" s="143"/>
      <c r="CB481" s="143"/>
      <c r="CC481" s="143"/>
      <c r="CD481" s="143"/>
      <c r="CE481" s="143"/>
      <c r="CF481" s="143"/>
      <c r="CG481" s="143"/>
      <c r="CH481" s="143"/>
      <c r="CI481" s="143"/>
      <c r="CJ481" s="143"/>
      <c r="CK481" s="143"/>
      <c r="CL481" s="143"/>
      <c r="CM481" s="143"/>
      <c r="CN481" s="143"/>
      <c r="CO481" s="143"/>
      <c r="CP481" s="143"/>
      <c r="CQ481" s="143"/>
      <c r="CR481" s="143"/>
      <c r="CS481" s="143"/>
      <c r="CT481" s="143"/>
      <c r="CU481" s="143"/>
      <c r="CV481" s="143"/>
      <c r="CW481" s="143"/>
      <c r="CX481" s="143"/>
      <c r="CY481" s="143"/>
      <c r="CZ481" s="143"/>
      <c r="DA481" s="143"/>
      <c r="DB481" s="143"/>
      <c r="DC481" s="143"/>
      <c r="DD481" s="143"/>
      <c r="DE481" s="143"/>
      <c r="DF481" s="143"/>
      <c r="DG481" s="143"/>
      <c r="DH481" s="143"/>
      <c r="DI481" s="143"/>
      <c r="DJ481" s="143"/>
      <c r="DK481" s="143"/>
      <c r="DL481" s="143"/>
      <c r="DM481" s="143"/>
      <c r="DN481" s="143"/>
      <c r="DO481" s="143"/>
      <c r="DP481" s="143"/>
      <c r="DQ481" s="143"/>
      <c r="DR481" s="143"/>
      <c r="DS481" s="143"/>
      <c r="DT481" s="143"/>
      <c r="DU481" s="143"/>
      <c r="DV481" s="143"/>
      <c r="DW481" s="143"/>
      <c r="DX481" s="143"/>
      <c r="DY481" s="143"/>
      <c r="DZ481" s="143"/>
      <c r="EA481" s="143"/>
      <c r="EB481" s="143"/>
      <c r="EC481" s="143"/>
      <c r="ED481" s="143"/>
      <c r="EE481" s="143"/>
      <c r="EF481" s="143"/>
      <c r="EG481" s="143"/>
      <c r="EH481" s="143"/>
      <c r="EI481" s="143"/>
      <c r="EJ481" s="143"/>
      <c r="EK481" s="143"/>
      <c r="EL481" s="143"/>
      <c r="EM481" s="143"/>
      <c r="EN481" s="143"/>
      <c r="EO481" s="143"/>
      <c r="EP481" s="143"/>
      <c r="EQ481" s="143"/>
      <c r="ER481" s="143"/>
      <c r="ES481" s="143"/>
      <c r="ET481" s="143"/>
      <c r="EU481" s="143"/>
      <c r="EV481" s="143"/>
      <c r="EW481" s="143"/>
      <c r="EX481" s="143"/>
      <c r="EY481" s="143"/>
      <c r="EZ481" s="143"/>
      <c r="FA481" s="143"/>
      <c r="FB481" s="143"/>
      <c r="FC481" s="143"/>
      <c r="FD481" s="143"/>
      <c r="FE481" s="143"/>
      <c r="FF481" s="143"/>
      <c r="FG481" s="143"/>
      <c r="FH481" s="143"/>
      <c r="FI481" s="143"/>
      <c r="FJ481" s="143"/>
      <c r="FK481" s="143"/>
      <c r="FL481" s="143"/>
      <c r="FM481" s="143"/>
      <c r="FN481" s="143"/>
      <c r="FO481" s="143"/>
      <c r="FP481" s="143"/>
      <c r="FQ481" s="143"/>
      <c r="FR481" s="143"/>
      <c r="FS481" s="143"/>
      <c r="FT481" s="143"/>
      <c r="FU481" s="143"/>
      <c r="FV481" s="143"/>
      <c r="FW481" s="143"/>
      <c r="FX481" s="143"/>
      <c r="FY481" s="143"/>
      <c r="FZ481" s="143"/>
      <c r="GA481" s="143"/>
      <c r="GB481" s="143"/>
      <c r="GC481" s="143"/>
      <c r="GD481" s="143"/>
      <c r="GE481" s="143"/>
      <c r="GF481" s="143"/>
      <c r="GG481" s="143"/>
      <c r="GH481" s="143"/>
      <c r="GI481" s="143"/>
      <c r="GJ481" s="143"/>
      <c r="GK481" s="143"/>
      <c r="GL481" s="143"/>
      <c r="GM481" s="143"/>
      <c r="GN481" s="143"/>
      <c r="GO481" s="143"/>
      <c r="GP481" s="143"/>
      <c r="GQ481" s="143"/>
      <c r="GR481" s="143"/>
      <c r="GS481" s="143"/>
      <c r="GT481" s="143"/>
      <c r="GU481" s="143"/>
      <c r="GV481" s="143"/>
      <c r="GW481" s="143"/>
      <c r="GX481" s="143"/>
      <c r="GY481" s="143"/>
      <c r="GZ481" s="143"/>
      <c r="HA481" s="143"/>
      <c r="HB481" s="143"/>
      <c r="HC481" s="143"/>
      <c r="HD481" s="143"/>
      <c r="HE481" s="143"/>
      <c r="HF481" s="143"/>
      <c r="HG481" s="143"/>
      <c r="HH481" s="143"/>
      <c r="HI481" s="143"/>
      <c r="HJ481" s="143"/>
      <c r="HK481" s="143"/>
      <c r="HL481" s="143"/>
      <c r="HM481" s="143"/>
      <c r="HN481" s="143"/>
      <c r="HO481" s="143"/>
      <c r="HP481" s="143"/>
      <c r="HQ481" s="143"/>
      <c r="HR481" s="143"/>
      <c r="HS481" s="143"/>
      <c r="HT481" s="143"/>
      <c r="HU481" s="143"/>
      <c r="HV481" s="143"/>
      <c r="HW481" s="143"/>
      <c r="HX481" s="143"/>
      <c r="HY481" s="143"/>
      <c r="HZ481" s="143"/>
      <c r="IA481" s="143"/>
      <c r="IB481" s="143"/>
      <c r="IC481" s="143"/>
      <c r="ID481" s="143"/>
      <c r="IE481" s="143"/>
      <c r="IF481" s="143"/>
      <c r="IG481" s="143"/>
      <c r="IH481" s="143"/>
      <c r="II481" s="143"/>
      <c r="IJ481" s="143"/>
      <c r="IK481" s="143"/>
      <c r="IL481" s="143"/>
      <c r="IM481" s="143"/>
      <c r="IN481" s="143"/>
      <c r="IO481" s="143"/>
      <c r="IP481" s="143"/>
      <c r="IQ481" s="143"/>
      <c r="IR481" s="143"/>
      <c r="IS481" s="143"/>
      <c r="IT481" s="143"/>
      <c r="IU481" s="143"/>
      <c r="IV481" s="143"/>
      <c r="IW481" s="143"/>
      <c r="IX481" s="143"/>
      <c r="IY481" s="143"/>
      <c r="IZ481" s="143"/>
      <c r="JA481" s="143"/>
      <c r="JB481" s="143"/>
      <c r="JC481" s="143"/>
      <c r="JD481" s="143"/>
      <c r="JE481" s="143"/>
      <c r="JF481" s="143"/>
      <c r="JG481" s="143"/>
      <c r="JH481" s="143"/>
      <c r="JI481" s="143"/>
    </row>
    <row r="482" spans="1:269" outlineLevel="1">
      <c r="A482" s="435" t="s">
        <v>333</v>
      </c>
      <c r="B482" s="143"/>
      <c r="C482" s="277"/>
      <c r="D482" s="277"/>
      <c r="E482" s="277"/>
      <c r="F482" s="278"/>
      <c r="G482" s="278"/>
      <c r="H482" s="278"/>
      <c r="I482" s="278">
        <v>-43604</v>
      </c>
      <c r="J482" s="277"/>
      <c r="K482" s="278"/>
      <c r="L482" s="278"/>
      <c r="M482" s="278"/>
      <c r="N482" s="278">
        <v>-43604</v>
      </c>
      <c r="O482" s="277">
        <v>-43604</v>
      </c>
      <c r="P482" s="278"/>
      <c r="Q482" s="278">
        <v>-186256</v>
      </c>
      <c r="R482" s="278">
        <v>-401401</v>
      </c>
      <c r="S482" s="278">
        <v>-418712</v>
      </c>
      <c r="T482" s="277">
        <v>-418712</v>
      </c>
      <c r="U482" s="278">
        <v>-386205</v>
      </c>
      <c r="V482" s="278">
        <v>-378274</v>
      </c>
      <c r="W482" s="278">
        <v>-378143</v>
      </c>
      <c r="X482" s="278">
        <v>-378751</v>
      </c>
      <c r="Y482" s="277">
        <v>-378751</v>
      </c>
      <c r="Z482" s="278">
        <v>-403754</v>
      </c>
      <c r="AA482" s="278">
        <v>-395646</v>
      </c>
      <c r="AB482" s="278">
        <v>-469464</v>
      </c>
      <c r="AC482" s="280">
        <f>AB482+AC501</f>
        <v>-468177.6451229325</v>
      </c>
      <c r="AD482" s="320">
        <f t="shared" si="979"/>
        <v>-468177.6451229325</v>
      </c>
      <c r="AE482" s="280">
        <f t="shared" ref="AE482:AR482" si="980">AD482+AE501</f>
        <v>-475931.87970127974</v>
      </c>
      <c r="AF482" s="280">
        <f t="shared" si="980"/>
        <v>-484478.61363042594</v>
      </c>
      <c r="AG482" s="280">
        <f t="shared" si="980"/>
        <v>-480743.62022766576</v>
      </c>
      <c r="AH482" s="280">
        <f t="shared" si="980"/>
        <v>-462394.94154881261</v>
      </c>
      <c r="AI482" s="320">
        <f>AH482</f>
        <v>-462394.94154881261</v>
      </c>
      <c r="AJ482" s="280">
        <f t="shared" si="980"/>
        <v>-456970.51422450016</v>
      </c>
      <c r="AK482" s="280">
        <f t="shared" si="980"/>
        <v>-443964.32455788366</v>
      </c>
      <c r="AL482" s="280">
        <f t="shared" si="980"/>
        <v>-431724.43620869599</v>
      </c>
      <c r="AM482" s="280">
        <f t="shared" si="980"/>
        <v>-409030.52689020976</v>
      </c>
      <c r="AN482" s="320">
        <f>AM482</f>
        <v>-409030.52689020976</v>
      </c>
      <c r="AO482" s="280">
        <f t="shared" si="980"/>
        <v>-399407.98575205746</v>
      </c>
      <c r="AP482" s="280">
        <f t="shared" si="980"/>
        <v>-380998.17718535231</v>
      </c>
      <c r="AQ482" s="280">
        <f t="shared" si="980"/>
        <v>-364278.4501275302</v>
      </c>
      <c r="AR482" s="280">
        <f t="shared" si="980"/>
        <v>-334162.68131849117</v>
      </c>
      <c r="AS482" s="320">
        <f>AR482</f>
        <v>-334162.68131849117</v>
      </c>
      <c r="AT482" s="315"/>
      <c r="AU482" s="508"/>
      <c r="AV482" s="143"/>
      <c r="AW482" s="143"/>
      <c r="AX482" s="143"/>
      <c r="AY482" s="143"/>
      <c r="AZ482" s="143"/>
      <c r="BA482" s="143"/>
      <c r="BB482" s="143"/>
      <c r="BC482" s="143"/>
      <c r="BD482" s="143"/>
      <c r="BE482" s="143"/>
      <c r="BF482" s="143"/>
      <c r="BG482" s="143"/>
      <c r="BH482" s="143"/>
      <c r="BI482" s="143"/>
      <c r="BJ482" s="143"/>
      <c r="BK482" s="143"/>
      <c r="BL482" s="143"/>
      <c r="BM482" s="143"/>
      <c r="BN482" s="143"/>
      <c r="BO482" s="143"/>
      <c r="BP482" s="143"/>
      <c r="BQ482" s="143"/>
      <c r="BR482" s="143"/>
      <c r="BS482" s="143"/>
      <c r="BT482" s="143"/>
      <c r="BU482" s="143"/>
      <c r="BV482" s="143"/>
      <c r="BW482" s="143"/>
      <c r="BX482" s="143"/>
      <c r="BY482" s="143"/>
      <c r="BZ482" s="143"/>
      <c r="CA482" s="143"/>
      <c r="CB482" s="143"/>
      <c r="CC482" s="143"/>
      <c r="CD482" s="143"/>
      <c r="CE482" s="143"/>
      <c r="CF482" s="143"/>
      <c r="CG482" s="143"/>
      <c r="CH482" s="143"/>
      <c r="CI482" s="143"/>
      <c r="CJ482" s="143"/>
      <c r="CK482" s="143"/>
      <c r="CL482" s="143"/>
      <c r="CM482" s="143"/>
      <c r="CN482" s="143"/>
      <c r="CO482" s="143"/>
      <c r="CP482" s="143"/>
      <c r="CQ482" s="143"/>
      <c r="CR482" s="143"/>
      <c r="CS482" s="143"/>
      <c r="CT482" s="143"/>
      <c r="CU482" s="143"/>
      <c r="CV482" s="143"/>
      <c r="CW482" s="143"/>
      <c r="CX482" s="143"/>
      <c r="CY482" s="143"/>
      <c r="CZ482" s="143"/>
      <c r="DA482" s="143"/>
      <c r="DB482" s="143"/>
      <c r="DC482" s="143"/>
      <c r="DD482" s="143"/>
      <c r="DE482" s="143"/>
      <c r="DF482" s="143"/>
      <c r="DG482" s="143"/>
      <c r="DH482" s="143"/>
      <c r="DI482" s="143"/>
      <c r="DJ482" s="143"/>
      <c r="DK482" s="143"/>
      <c r="DL482" s="143"/>
      <c r="DM482" s="143"/>
      <c r="DN482" s="143"/>
      <c r="DO482" s="143"/>
      <c r="DP482" s="143"/>
      <c r="DQ482" s="143"/>
      <c r="DR482" s="143"/>
      <c r="DS482" s="143"/>
      <c r="DT482" s="143"/>
      <c r="DU482" s="143"/>
      <c r="DV482" s="143"/>
      <c r="DW482" s="143"/>
      <c r="DX482" s="143"/>
      <c r="DY482" s="143"/>
      <c r="DZ482" s="143"/>
      <c r="EA482" s="143"/>
      <c r="EB482" s="143"/>
      <c r="EC482" s="143"/>
      <c r="ED482" s="143"/>
      <c r="EE482" s="143"/>
      <c r="EF482" s="143"/>
      <c r="EG482" s="143"/>
      <c r="EH482" s="143"/>
      <c r="EI482" s="143"/>
      <c r="EJ482" s="143"/>
      <c r="EK482" s="143"/>
      <c r="EL482" s="143"/>
      <c r="EM482" s="143"/>
      <c r="EN482" s="143"/>
      <c r="EO482" s="143"/>
      <c r="EP482" s="143"/>
      <c r="EQ482" s="143"/>
      <c r="ER482" s="143"/>
      <c r="ES482" s="143"/>
      <c r="ET482" s="143"/>
      <c r="EU482" s="143"/>
      <c r="EV482" s="143"/>
      <c r="EW482" s="143"/>
      <c r="EX482" s="143"/>
      <c r="EY482" s="143"/>
      <c r="EZ482" s="143"/>
      <c r="FA482" s="143"/>
      <c r="FB482" s="143"/>
      <c r="FC482" s="143"/>
      <c r="FD482" s="143"/>
      <c r="FE482" s="143"/>
      <c r="FF482" s="143"/>
      <c r="FG482" s="143"/>
      <c r="FH482" s="143"/>
      <c r="FI482" s="143"/>
      <c r="FJ482" s="143"/>
      <c r="FK482" s="143"/>
      <c r="FL482" s="143"/>
      <c r="FM482" s="143"/>
      <c r="FN482" s="143"/>
      <c r="FO482" s="143"/>
      <c r="FP482" s="143"/>
      <c r="FQ482" s="143"/>
      <c r="FR482" s="143"/>
      <c r="FS482" s="143"/>
      <c r="FT482" s="143"/>
      <c r="FU482" s="143"/>
      <c r="FV482" s="143"/>
      <c r="FW482" s="143"/>
      <c r="FX482" s="143"/>
      <c r="FY482" s="143"/>
      <c r="FZ482" s="143"/>
      <c r="GA482" s="143"/>
      <c r="GB482" s="143"/>
      <c r="GC482" s="143"/>
      <c r="GD482" s="143"/>
      <c r="GE482" s="143"/>
      <c r="GF482" s="143"/>
      <c r="GG482" s="143"/>
      <c r="GH482" s="143"/>
      <c r="GI482" s="143"/>
      <c r="GJ482" s="143"/>
      <c r="GK482" s="143"/>
      <c r="GL482" s="143"/>
      <c r="GM482" s="143"/>
      <c r="GN482" s="143"/>
      <c r="GO482" s="143"/>
      <c r="GP482" s="143"/>
      <c r="GQ482" s="143"/>
      <c r="GR482" s="143"/>
      <c r="GS482" s="143"/>
      <c r="GT482" s="143"/>
      <c r="GU482" s="143"/>
      <c r="GV482" s="143"/>
      <c r="GW482" s="143"/>
      <c r="GX482" s="143"/>
      <c r="GY482" s="143"/>
      <c r="GZ482" s="143"/>
      <c r="HA482" s="143"/>
      <c r="HB482" s="143"/>
      <c r="HC482" s="143"/>
      <c r="HD482" s="143"/>
      <c r="HE482" s="143"/>
      <c r="HF482" s="143"/>
      <c r="HG482" s="143"/>
      <c r="HH482" s="143"/>
      <c r="HI482" s="143"/>
      <c r="HJ482" s="143"/>
      <c r="HK482" s="143"/>
      <c r="HL482" s="143"/>
      <c r="HM482" s="143"/>
      <c r="HN482" s="143"/>
      <c r="HO482" s="143"/>
      <c r="HP482" s="143"/>
      <c r="HQ482" s="143"/>
      <c r="HR482" s="143"/>
      <c r="HS482" s="143"/>
      <c r="HT482" s="143"/>
      <c r="HU482" s="143"/>
      <c r="HV482" s="143"/>
      <c r="HW482" s="143"/>
      <c r="HX482" s="143"/>
      <c r="HY482" s="143"/>
      <c r="HZ482" s="143"/>
      <c r="IA482" s="143"/>
      <c r="IB482" s="143"/>
      <c r="IC482" s="143"/>
      <c r="ID482" s="143"/>
      <c r="IE482" s="143"/>
      <c r="IF482" s="143"/>
      <c r="IG482" s="143"/>
      <c r="IH482" s="143"/>
      <c r="II482" s="143"/>
      <c r="IJ482" s="143"/>
      <c r="IK482" s="143"/>
      <c r="IL482" s="143"/>
      <c r="IM482" s="143"/>
      <c r="IN482" s="143"/>
      <c r="IO482" s="143"/>
      <c r="IP482" s="143"/>
      <c r="IQ482" s="143"/>
      <c r="IR482" s="143"/>
      <c r="IS482" s="143"/>
      <c r="IT482" s="143"/>
      <c r="IU482" s="143"/>
      <c r="IV482" s="143"/>
      <c r="IW482" s="143"/>
      <c r="IX482" s="143"/>
      <c r="IY482" s="143"/>
      <c r="IZ482" s="143"/>
      <c r="JA482" s="143"/>
      <c r="JB482" s="143"/>
      <c r="JC482" s="143"/>
      <c r="JD482" s="143"/>
      <c r="JE482" s="143"/>
      <c r="JF482" s="143"/>
      <c r="JG482" s="143"/>
      <c r="JH482" s="143"/>
      <c r="JI482" s="143"/>
    </row>
    <row r="483" spans="1:269" s="81" customFormat="1" ht="15" outlineLevel="1" thickBot="1">
      <c r="A483" s="597" t="s">
        <v>334</v>
      </c>
      <c r="B483" s="60"/>
      <c r="C483" s="577"/>
      <c r="D483" s="577"/>
      <c r="E483" s="577"/>
      <c r="F483" s="314"/>
      <c r="G483" s="314"/>
      <c r="H483" s="314"/>
      <c r="I483" s="314">
        <v>-29960</v>
      </c>
      <c r="J483" s="577"/>
      <c r="K483" s="314"/>
      <c r="L483" s="314"/>
      <c r="M483" s="314"/>
      <c r="N483" s="314">
        <v>-29960</v>
      </c>
      <c r="O483" s="577">
        <v>-29960</v>
      </c>
      <c r="P483" s="314"/>
      <c r="Q483" s="314">
        <v>16070</v>
      </c>
      <c r="R483" s="314">
        <v>-142055</v>
      </c>
      <c r="S483" s="314">
        <v>302297</v>
      </c>
      <c r="T483" s="577">
        <v>302297</v>
      </c>
      <c r="U483" s="314">
        <v>341708</v>
      </c>
      <c r="V483" s="314">
        <v>352335</v>
      </c>
      <c r="W483" s="314">
        <v>257909</v>
      </c>
      <c r="X483" s="314">
        <v>167053</v>
      </c>
      <c r="Y483" s="577">
        <v>167053</v>
      </c>
      <c r="Z483" s="314">
        <v>147664</v>
      </c>
      <c r="AA483" s="314">
        <v>161842</v>
      </c>
      <c r="AB483" s="314">
        <v>89957</v>
      </c>
      <c r="AC483" s="579">
        <f>AC477+AC479+AC481+AC482</f>
        <v>94888.993209474371</v>
      </c>
      <c r="AD483" s="581">
        <f t="shared" ref="AD483:AS483" si="981">AD477+AD479+AD481+AD482</f>
        <v>94888.993209474371</v>
      </c>
      <c r="AE483" s="579">
        <f t="shared" si="981"/>
        <v>89761.439669757907</v>
      </c>
      <c r="AF483" s="579">
        <f t="shared" si="981"/>
        <v>83902.998876149592</v>
      </c>
      <c r="AG483" s="579">
        <f t="shared" si="981"/>
        <v>91678.191817509593</v>
      </c>
      <c r="AH483" s="579">
        <f>AH477+AH479+AH481+AH482</f>
        <v>114767.73584606481</v>
      </c>
      <c r="AI483" s="581">
        <f>AI477+AI479+AI481+AI482</f>
        <v>114767.73584606481</v>
      </c>
      <c r="AJ483" s="579">
        <f t="shared" si="981"/>
        <v>124840.50374798803</v>
      </c>
      <c r="AK483" s="579">
        <f t="shared" si="981"/>
        <v>143534.95218622719</v>
      </c>
      <c r="AL483" s="579">
        <f t="shared" si="981"/>
        <v>161280.00120195525</v>
      </c>
      <c r="AM483" s="579">
        <f t="shared" si="981"/>
        <v>189987.01492543938</v>
      </c>
      <c r="AN483" s="581">
        <f t="shared" si="981"/>
        <v>189987.01492543938</v>
      </c>
      <c r="AO483" s="579">
        <f t="shared" si="981"/>
        <v>205058.43958520767</v>
      </c>
      <c r="AP483" s="579">
        <f t="shared" si="981"/>
        <v>229947.40088177798</v>
      </c>
      <c r="AQ483" s="579">
        <f t="shared" si="981"/>
        <v>252764.38984568062</v>
      </c>
      <c r="AR483" s="579">
        <f t="shared" si="981"/>
        <v>289992.96646678477</v>
      </c>
      <c r="AS483" s="581">
        <f t="shared" si="981"/>
        <v>289992.96646678477</v>
      </c>
      <c r="AT483" s="433"/>
      <c r="AU483" s="508"/>
    </row>
    <row r="484" spans="1:269" s="81" customFormat="1" ht="15" outlineLevel="1" thickTop="1">
      <c r="A484" s="524"/>
      <c r="C484" s="277"/>
      <c r="D484" s="277"/>
      <c r="E484" s="277"/>
      <c r="F484" s="312"/>
      <c r="G484" s="312"/>
      <c r="H484" s="312"/>
      <c r="I484" s="278"/>
      <c r="J484" s="277"/>
      <c r="K484" s="312"/>
      <c r="L484" s="312"/>
      <c r="M484" s="312"/>
      <c r="N484" s="278"/>
      <c r="O484" s="277"/>
      <c r="P484" s="278"/>
      <c r="Q484" s="278"/>
      <c r="R484" s="278"/>
      <c r="S484" s="278"/>
      <c r="T484" s="277"/>
      <c r="U484" s="278"/>
      <c r="V484" s="278"/>
      <c r="W484" s="278"/>
      <c r="X484" s="278"/>
      <c r="Y484" s="277"/>
      <c r="Z484" s="278"/>
      <c r="AA484" s="278"/>
      <c r="AB484" s="278"/>
      <c r="AC484" s="312"/>
      <c r="AD484" s="534"/>
      <c r="AE484" s="312"/>
      <c r="AF484" s="312"/>
      <c r="AG484" s="82"/>
      <c r="AH484" s="82"/>
      <c r="AI484" s="331"/>
      <c r="AJ484" s="82"/>
      <c r="AK484" s="82"/>
      <c r="AL484" s="82"/>
      <c r="AM484" s="82"/>
      <c r="AN484" s="331"/>
      <c r="AO484" s="82"/>
      <c r="AP484" s="82"/>
      <c r="AQ484" s="82"/>
      <c r="AR484" s="82"/>
      <c r="AS484" s="331"/>
      <c r="AT484" s="433"/>
      <c r="AU484" s="508"/>
    </row>
    <row r="485" spans="1:269" s="81" customFormat="1" outlineLevel="1">
      <c r="A485" s="524"/>
      <c r="C485" s="277"/>
      <c r="D485" s="277"/>
      <c r="E485" s="277"/>
      <c r="F485" s="312"/>
      <c r="G485" s="312"/>
      <c r="H485" s="312"/>
      <c r="I485" s="278"/>
      <c r="J485" s="277"/>
      <c r="K485" s="312"/>
      <c r="L485" s="312"/>
      <c r="M485" s="312"/>
      <c r="N485" s="278"/>
      <c r="O485" s="277"/>
      <c r="P485" s="278"/>
      <c r="Q485" s="278"/>
      <c r="R485" s="278"/>
      <c r="S485" s="278"/>
      <c r="T485" s="277"/>
      <c r="U485" s="278"/>
      <c r="V485" s="278"/>
      <c r="W485" s="278"/>
      <c r="X485" s="278"/>
      <c r="Y485" s="277"/>
      <c r="Z485" s="278"/>
      <c r="AA485" s="278"/>
      <c r="AB485" s="278"/>
      <c r="AC485" s="312"/>
      <c r="AD485" s="534"/>
      <c r="AE485" s="312"/>
      <c r="AF485" s="312"/>
      <c r="AG485" s="82"/>
      <c r="AH485" s="82"/>
      <c r="AI485" s="331"/>
      <c r="AJ485" s="82"/>
      <c r="AK485" s="82"/>
      <c r="AL485" s="82"/>
      <c r="AM485" s="82"/>
      <c r="AN485" s="331"/>
      <c r="AO485" s="82"/>
      <c r="AP485" s="82"/>
      <c r="AQ485" s="82"/>
      <c r="AR485" s="82"/>
      <c r="AS485" s="331"/>
      <c r="AT485" s="433"/>
      <c r="AU485" s="508"/>
    </row>
    <row r="486" spans="1:269" s="81" customFormat="1" ht="15" outlineLevel="1" thickBot="1">
      <c r="A486" s="60" t="s">
        <v>311</v>
      </c>
      <c r="B486" s="60"/>
      <c r="C486" s="577"/>
      <c r="D486" s="577"/>
      <c r="E486" s="577"/>
      <c r="F486" s="60"/>
      <c r="G486" s="60"/>
      <c r="H486" s="60"/>
      <c r="I486" s="314">
        <v>222835</v>
      </c>
      <c r="J486" s="577"/>
      <c r="K486" s="60"/>
      <c r="L486" s="60"/>
      <c r="M486" s="60"/>
      <c r="N486" s="314">
        <v>222835</v>
      </c>
      <c r="O486" s="577">
        <v>222835</v>
      </c>
      <c r="P486" s="314"/>
      <c r="Q486" s="314">
        <v>342508</v>
      </c>
      <c r="R486" s="314">
        <v>997875</v>
      </c>
      <c r="S486" s="314">
        <v>1218806</v>
      </c>
      <c r="T486" s="577">
        <v>1218806</v>
      </c>
      <c r="U486" s="314">
        <v>1199178</v>
      </c>
      <c r="V486" s="314">
        <v>1214960</v>
      </c>
      <c r="W486" s="314">
        <v>1104795</v>
      </c>
      <c r="X486" s="314">
        <v>1003083</v>
      </c>
      <c r="Y486" s="577">
        <v>1003083</v>
      </c>
      <c r="Z486" s="314">
        <v>994953</v>
      </c>
      <c r="AA486" s="314">
        <v>1007474</v>
      </c>
      <c r="AB486" s="314">
        <v>973074</v>
      </c>
      <c r="AC486" s="94">
        <f>AC473+AC483</f>
        <v>951356.55117646081</v>
      </c>
      <c r="AD486" s="95">
        <f>AD473+AD483</f>
        <v>951356.55117646081</v>
      </c>
      <c r="AE486" s="94">
        <f t="shared" ref="AE486:AS486" si="982">AE473+AE483</f>
        <v>946202.7133801626</v>
      </c>
      <c r="AF486" s="94">
        <f t="shared" si="982"/>
        <v>942970.98814748926</v>
      </c>
      <c r="AG486" s="94">
        <f t="shared" si="982"/>
        <v>956402.84810700279</v>
      </c>
      <c r="AH486" s="94">
        <f t="shared" si="982"/>
        <v>983270.81555373059</v>
      </c>
      <c r="AI486" s="95">
        <f>AI473+AI483</f>
        <v>983270.81555373059</v>
      </c>
      <c r="AJ486" s="94">
        <f t="shared" si="982"/>
        <v>993906.07857340714</v>
      </c>
      <c r="AK486" s="94">
        <f t="shared" si="982"/>
        <v>1016862.125089673</v>
      </c>
      <c r="AL486" s="94">
        <f t="shared" si="982"/>
        <v>1034974.6206211557</v>
      </c>
      <c r="AM486" s="94">
        <f t="shared" si="982"/>
        <v>1065132.6557116986</v>
      </c>
      <c r="AN486" s="95">
        <f t="shared" si="982"/>
        <v>1065132.6557116986</v>
      </c>
      <c r="AO486" s="94">
        <f t="shared" si="982"/>
        <v>1078417.7280504787</v>
      </c>
      <c r="AP486" s="94">
        <f t="shared" si="982"/>
        <v>1107020.7381287077</v>
      </c>
      <c r="AQ486" s="94">
        <f t="shared" si="982"/>
        <v>1128993.1698276447</v>
      </c>
      <c r="AR486" s="94">
        <f t="shared" si="982"/>
        <v>1171047.1638766064</v>
      </c>
      <c r="AS486" s="95">
        <f t="shared" si="982"/>
        <v>1171047.1638766064</v>
      </c>
      <c r="AT486" s="433"/>
      <c r="AU486" s="508"/>
    </row>
    <row r="487" spans="1:269" ht="15" outlineLevel="1" thickTop="1">
      <c r="A487" s="435"/>
      <c r="B487" s="143"/>
      <c r="C487" s="277"/>
      <c r="D487" s="277"/>
      <c r="E487" s="277"/>
      <c r="F487" s="278"/>
      <c r="G487" s="278"/>
      <c r="H487" s="278"/>
      <c r="I487" s="278"/>
      <c r="J487" s="277"/>
      <c r="K487" s="278"/>
      <c r="L487" s="278"/>
      <c r="M487" s="278"/>
      <c r="N487" s="278"/>
      <c r="O487" s="277"/>
      <c r="P487" s="278"/>
      <c r="S487" s="278"/>
      <c r="T487" s="277"/>
      <c r="U487" s="278"/>
      <c r="V487" s="278"/>
      <c r="W487" s="278"/>
      <c r="X487" s="278"/>
      <c r="Y487" s="277"/>
      <c r="Z487" s="278"/>
      <c r="AA487" s="278"/>
      <c r="AB487" s="278"/>
      <c r="AC487" s="278"/>
      <c r="AD487" s="536"/>
      <c r="AE487" s="278"/>
      <c r="AF487" s="278"/>
      <c r="AG487" s="287"/>
      <c r="AH487" s="287"/>
      <c r="AI487" s="499"/>
      <c r="AJ487" s="287"/>
      <c r="AK487" s="287"/>
      <c r="AL487" s="287"/>
      <c r="AM487" s="287"/>
      <c r="AN487" s="499"/>
      <c r="AO487" s="287"/>
      <c r="AP487" s="287"/>
      <c r="AQ487" s="287"/>
      <c r="AR487" s="287"/>
      <c r="AS487" s="499"/>
      <c r="AT487" s="315"/>
      <c r="AU487" s="508"/>
      <c r="AV487" s="143"/>
      <c r="AW487" s="143"/>
      <c r="AX487" s="143"/>
      <c r="AY487" s="143"/>
      <c r="AZ487" s="143"/>
      <c r="BA487" s="143"/>
      <c r="BB487" s="143"/>
      <c r="BC487" s="143"/>
      <c r="BD487" s="143"/>
      <c r="BE487" s="143"/>
      <c r="BF487" s="143"/>
      <c r="BG487" s="143"/>
      <c r="BH487" s="143"/>
      <c r="BI487" s="143"/>
      <c r="BJ487" s="143"/>
      <c r="BK487" s="143"/>
      <c r="BL487" s="143"/>
      <c r="BM487" s="143"/>
      <c r="BN487" s="143"/>
      <c r="BO487" s="143"/>
      <c r="BP487" s="143"/>
      <c r="BQ487" s="143"/>
      <c r="BR487" s="143"/>
      <c r="BS487" s="143"/>
      <c r="BT487" s="143"/>
      <c r="BU487" s="143"/>
      <c r="BV487" s="143"/>
      <c r="BW487" s="143"/>
      <c r="BX487" s="143"/>
      <c r="BY487" s="143"/>
      <c r="BZ487" s="143"/>
      <c r="CA487" s="143"/>
      <c r="CB487" s="143"/>
      <c r="CC487" s="143"/>
      <c r="CD487" s="143"/>
      <c r="CE487" s="143"/>
      <c r="CF487" s="143"/>
      <c r="CG487" s="143"/>
      <c r="CH487" s="143"/>
      <c r="CI487" s="143"/>
      <c r="CJ487" s="143"/>
      <c r="CK487" s="143"/>
      <c r="CL487" s="143"/>
      <c r="CM487" s="143"/>
      <c r="CN487" s="143"/>
      <c r="CO487" s="143"/>
      <c r="CP487" s="143"/>
      <c r="CQ487" s="143"/>
      <c r="CR487" s="143"/>
      <c r="CS487" s="143"/>
      <c r="CT487" s="143"/>
      <c r="CU487" s="143"/>
      <c r="CV487" s="143"/>
      <c r="CW487" s="143"/>
      <c r="CX487" s="143"/>
      <c r="CY487" s="143"/>
      <c r="CZ487" s="143"/>
      <c r="DA487" s="143"/>
      <c r="DB487" s="143"/>
      <c r="DC487" s="143"/>
      <c r="DD487" s="143"/>
      <c r="DE487" s="143"/>
      <c r="DF487" s="143"/>
      <c r="DG487" s="143"/>
      <c r="DH487" s="143"/>
      <c r="DI487" s="143"/>
      <c r="DJ487" s="143"/>
      <c r="DK487" s="143"/>
      <c r="DL487" s="143"/>
      <c r="DM487" s="143"/>
      <c r="DN487" s="143"/>
      <c r="DO487" s="143"/>
      <c r="DP487" s="143"/>
      <c r="DQ487" s="143"/>
      <c r="DR487" s="143"/>
      <c r="DS487" s="143"/>
      <c r="DT487" s="143"/>
      <c r="DU487" s="143"/>
      <c r="DV487" s="143"/>
      <c r="DW487" s="143"/>
      <c r="DX487" s="143"/>
      <c r="DY487" s="143"/>
      <c r="DZ487" s="143"/>
      <c r="EA487" s="143"/>
      <c r="EB487" s="143"/>
      <c r="EC487" s="143"/>
      <c r="ED487" s="143"/>
      <c r="EE487" s="143"/>
      <c r="EF487" s="143"/>
      <c r="EG487" s="143"/>
      <c r="EH487" s="143"/>
      <c r="EI487" s="143"/>
      <c r="EJ487" s="143"/>
      <c r="EK487" s="143"/>
      <c r="EL487" s="143"/>
      <c r="EM487" s="143"/>
      <c r="EN487" s="143"/>
      <c r="EO487" s="143"/>
      <c r="EP487" s="143"/>
      <c r="EQ487" s="143"/>
      <c r="ER487" s="143"/>
      <c r="ES487" s="143"/>
      <c r="ET487" s="143"/>
      <c r="EU487" s="143"/>
      <c r="EV487" s="143"/>
      <c r="EW487" s="143"/>
      <c r="EX487" s="143"/>
      <c r="EY487" s="143"/>
      <c r="EZ487" s="143"/>
      <c r="FA487" s="143"/>
      <c r="FB487" s="143"/>
      <c r="FC487" s="143"/>
      <c r="FD487" s="143"/>
      <c r="FE487" s="143"/>
      <c r="FF487" s="143"/>
      <c r="FG487" s="143"/>
      <c r="FH487" s="143"/>
      <c r="FI487" s="143"/>
      <c r="FJ487" s="143"/>
      <c r="FK487" s="143"/>
      <c r="FL487" s="143"/>
      <c r="FM487" s="143"/>
      <c r="FN487" s="143"/>
      <c r="FO487" s="143"/>
      <c r="FP487" s="143"/>
      <c r="FQ487" s="143"/>
      <c r="FR487" s="143"/>
      <c r="FS487" s="143"/>
      <c r="FT487" s="143"/>
      <c r="FU487" s="143"/>
      <c r="FV487" s="143"/>
      <c r="FW487" s="143"/>
      <c r="FX487" s="143"/>
      <c r="FY487" s="143"/>
      <c r="FZ487" s="143"/>
      <c r="GA487" s="143"/>
      <c r="GB487" s="143"/>
      <c r="GC487" s="143"/>
      <c r="GD487" s="143"/>
      <c r="GE487" s="143"/>
      <c r="GF487" s="143"/>
      <c r="GG487" s="143"/>
      <c r="GH487" s="143"/>
      <c r="GI487" s="143"/>
      <c r="GJ487" s="143"/>
      <c r="GK487" s="143"/>
      <c r="GL487" s="143"/>
      <c r="GM487" s="143"/>
      <c r="GN487" s="143"/>
      <c r="GO487" s="143"/>
      <c r="GP487" s="143"/>
      <c r="GQ487" s="143"/>
      <c r="GR487" s="143"/>
      <c r="GS487" s="143"/>
      <c r="GT487" s="143"/>
      <c r="GU487" s="143"/>
      <c r="GV487" s="143"/>
      <c r="GW487" s="143"/>
      <c r="GX487" s="143"/>
      <c r="GY487" s="143"/>
      <c r="GZ487" s="143"/>
      <c r="HA487" s="143"/>
      <c r="HB487" s="143"/>
      <c r="HC487" s="143"/>
      <c r="HD487" s="143"/>
      <c r="HE487" s="143"/>
      <c r="HF487" s="143"/>
      <c r="HG487" s="143"/>
      <c r="HH487" s="143"/>
      <c r="HI487" s="143"/>
      <c r="HJ487" s="143"/>
      <c r="HK487" s="143"/>
      <c r="HL487" s="143"/>
      <c r="HM487" s="143"/>
      <c r="HN487" s="143"/>
      <c r="HO487" s="143"/>
      <c r="HP487" s="143"/>
      <c r="HQ487" s="143"/>
      <c r="HR487" s="143"/>
      <c r="HS487" s="143"/>
      <c r="HT487" s="143"/>
      <c r="HU487" s="143"/>
      <c r="HV487" s="143"/>
      <c r="HW487" s="143"/>
      <c r="HX487" s="143"/>
      <c r="HY487" s="143"/>
      <c r="HZ487" s="143"/>
      <c r="IA487" s="143"/>
      <c r="IB487" s="143"/>
      <c r="IC487" s="143"/>
      <c r="ID487" s="143"/>
      <c r="IE487" s="143"/>
      <c r="IF487" s="143"/>
      <c r="IG487" s="143"/>
      <c r="IH487" s="143"/>
      <c r="II487" s="143"/>
      <c r="IJ487" s="143"/>
      <c r="IK487" s="143"/>
      <c r="IL487" s="143"/>
      <c r="IM487" s="143"/>
      <c r="IN487" s="143"/>
      <c r="IO487" s="143"/>
      <c r="IP487" s="143"/>
      <c r="IQ487" s="143"/>
      <c r="IR487" s="143"/>
      <c r="IS487" s="143"/>
      <c r="IT487" s="143"/>
      <c r="IU487" s="143"/>
      <c r="IV487" s="143"/>
      <c r="IW487" s="143"/>
      <c r="IX487" s="143"/>
      <c r="IY487" s="143"/>
      <c r="IZ487" s="143"/>
      <c r="JA487" s="143"/>
      <c r="JB487" s="143"/>
      <c r="JC487" s="143"/>
      <c r="JD487" s="143"/>
      <c r="JE487" s="143"/>
      <c r="JF487" s="143"/>
      <c r="JG487" s="143"/>
      <c r="JH487" s="143"/>
      <c r="JI487" s="143"/>
    </row>
    <row r="488" spans="1:269" s="98" customFormat="1" outlineLevel="1">
      <c r="A488" s="97" t="s">
        <v>63</v>
      </c>
      <c r="C488" s="327"/>
      <c r="D488" s="327"/>
      <c r="E488" s="327"/>
      <c r="F488" s="328"/>
      <c r="G488" s="328"/>
      <c r="H488" s="328"/>
      <c r="I488" s="328">
        <f>I486-I452</f>
        <v>0</v>
      </c>
      <c r="J488" s="327"/>
      <c r="K488" s="328"/>
      <c r="L488" s="328"/>
      <c r="M488" s="328"/>
      <c r="N488" s="328">
        <f>N486-N452</f>
        <v>0</v>
      </c>
      <c r="O488" s="327">
        <f t="shared" ref="O488:AS488" si="983">O486-O452</f>
        <v>0</v>
      </c>
      <c r="P488" s="99"/>
      <c r="Q488" s="99">
        <f t="shared" si="983"/>
        <v>0</v>
      </c>
      <c r="R488" s="99">
        <f t="shared" si="983"/>
        <v>0</v>
      </c>
      <c r="S488" s="99">
        <f t="shared" si="983"/>
        <v>0</v>
      </c>
      <c r="T488" s="101">
        <f t="shared" si="983"/>
        <v>0</v>
      </c>
      <c r="U488" s="99">
        <f t="shared" si="983"/>
        <v>0</v>
      </c>
      <c r="V488" s="99">
        <f t="shared" si="983"/>
        <v>0</v>
      </c>
      <c r="W488" s="99">
        <f t="shared" si="983"/>
        <v>0</v>
      </c>
      <c r="X488" s="99">
        <f t="shared" si="983"/>
        <v>0</v>
      </c>
      <c r="Y488" s="101">
        <f t="shared" si="983"/>
        <v>0</v>
      </c>
      <c r="Z488" s="99">
        <f t="shared" si="983"/>
        <v>0</v>
      </c>
      <c r="AA488" s="99">
        <f t="shared" si="983"/>
        <v>0</v>
      </c>
      <c r="AB488" s="99">
        <f t="shared" si="983"/>
        <v>0</v>
      </c>
      <c r="AC488" s="99">
        <f t="shared" si="983"/>
        <v>0</v>
      </c>
      <c r="AD488" s="100">
        <f>AD486-AD452</f>
        <v>0</v>
      </c>
      <c r="AE488" s="99">
        <f t="shared" si="983"/>
        <v>0</v>
      </c>
      <c r="AF488" s="99">
        <f t="shared" si="983"/>
        <v>0</v>
      </c>
      <c r="AG488" s="99">
        <f t="shared" si="983"/>
        <v>0</v>
      </c>
      <c r="AH488" s="99">
        <f t="shared" si="983"/>
        <v>0</v>
      </c>
      <c r="AI488" s="100">
        <f t="shared" si="983"/>
        <v>0</v>
      </c>
      <c r="AJ488" s="99">
        <f t="shared" si="983"/>
        <v>0</v>
      </c>
      <c r="AK488" s="99">
        <f t="shared" si="983"/>
        <v>0</v>
      </c>
      <c r="AL488" s="99">
        <f t="shared" si="983"/>
        <v>0</v>
      </c>
      <c r="AM488" s="99">
        <f t="shared" si="983"/>
        <v>0</v>
      </c>
      <c r="AN488" s="100">
        <f t="shared" si="983"/>
        <v>0</v>
      </c>
      <c r="AO488" s="99">
        <f t="shared" si="983"/>
        <v>0</v>
      </c>
      <c r="AP488" s="99">
        <f t="shared" si="983"/>
        <v>0</v>
      </c>
      <c r="AQ488" s="99">
        <f t="shared" si="983"/>
        <v>0</v>
      </c>
      <c r="AR488" s="99">
        <f t="shared" si="983"/>
        <v>0</v>
      </c>
      <c r="AS488" s="100">
        <f t="shared" si="983"/>
        <v>0</v>
      </c>
      <c r="AT488" s="465"/>
      <c r="AU488" s="511"/>
    </row>
    <row r="489" spans="1:269" s="86" customFormat="1" outlineLevel="1">
      <c r="A489" s="85"/>
      <c r="C489" s="87"/>
      <c r="D489" s="87"/>
      <c r="E489" s="87"/>
      <c r="F489" s="89"/>
      <c r="G489" s="89"/>
      <c r="H489" s="89"/>
      <c r="I489" s="84"/>
      <c r="J489" s="87"/>
      <c r="K489" s="89"/>
      <c r="L489" s="89"/>
      <c r="M489" s="89"/>
      <c r="N489" s="84"/>
      <c r="O489" s="87"/>
      <c r="P489" s="89"/>
      <c r="Q489" s="89"/>
      <c r="R489" s="89"/>
      <c r="S489" s="84"/>
      <c r="T489" s="87"/>
      <c r="U489" s="89"/>
      <c r="V489" s="89"/>
      <c r="W489" s="89"/>
      <c r="X489" s="84"/>
      <c r="Y489" s="87"/>
      <c r="Z489" s="89"/>
      <c r="AA489" s="89"/>
      <c r="AB489" s="93"/>
      <c r="AC489" s="93"/>
      <c r="AD489" s="96"/>
      <c r="AE489" s="93"/>
      <c r="AF489" s="93"/>
      <c r="AG489" s="93"/>
      <c r="AH489" s="93"/>
      <c r="AI489" s="96"/>
      <c r="AJ489" s="93"/>
      <c r="AK489" s="93"/>
      <c r="AL489" s="93"/>
      <c r="AM489" s="93"/>
      <c r="AN489" s="96"/>
      <c r="AO489" s="93"/>
      <c r="AP489" s="93"/>
      <c r="AQ489" s="93"/>
      <c r="AR489" s="93"/>
      <c r="AS489" s="96"/>
      <c r="AT489" s="466"/>
      <c r="AU489" s="508"/>
    </row>
    <row r="490" spans="1:269" s="86" customFormat="1" outlineLevel="1">
      <c r="A490" s="85" t="s">
        <v>61</v>
      </c>
      <c r="C490" s="87"/>
      <c r="D490" s="87"/>
      <c r="E490" s="87"/>
      <c r="F490" s="89"/>
      <c r="G490" s="89"/>
      <c r="H490" s="89"/>
      <c r="I490" s="84"/>
      <c r="J490" s="87"/>
      <c r="K490" s="89"/>
      <c r="L490" s="89"/>
      <c r="M490" s="89"/>
      <c r="N490" s="84"/>
      <c r="O490" s="87"/>
      <c r="P490" s="89"/>
      <c r="Q490" s="89"/>
      <c r="R490" s="89"/>
      <c r="S490" s="84"/>
      <c r="T490" s="87"/>
      <c r="U490" s="89"/>
      <c r="V490" s="89"/>
      <c r="W490" s="89"/>
      <c r="X490" s="84"/>
      <c r="Y490" s="87"/>
      <c r="Z490" s="89"/>
      <c r="AA490" s="89"/>
      <c r="AB490" s="88"/>
      <c r="AC490" s="88"/>
      <c r="AD490" s="90"/>
      <c r="AE490" s="88"/>
      <c r="AF490" s="88"/>
      <c r="AG490" s="88"/>
      <c r="AH490" s="88"/>
      <c r="AI490" s="90"/>
      <c r="AJ490" s="88"/>
      <c r="AK490" s="88"/>
      <c r="AL490" s="88"/>
      <c r="AM490" s="88"/>
      <c r="AN490" s="90"/>
      <c r="AO490" s="88"/>
      <c r="AP490" s="88"/>
      <c r="AQ490" s="88"/>
      <c r="AR490" s="88"/>
      <c r="AS490" s="90"/>
      <c r="AT490" s="467"/>
      <c r="AU490" s="508"/>
    </row>
    <row r="491" spans="1:269" s="86" customFormat="1" outlineLevel="1">
      <c r="A491" s="91" t="s">
        <v>196</v>
      </c>
      <c r="C491" s="316"/>
      <c r="D491" s="316"/>
      <c r="E491" s="316"/>
      <c r="F491" s="280"/>
      <c r="G491" s="280"/>
      <c r="H491" s="280"/>
      <c r="I491" s="280">
        <f>(I440/(I158*1000))*I7</f>
        <v>34.179839999999999</v>
      </c>
      <c r="J491" s="316"/>
      <c r="K491" s="280"/>
      <c r="L491" s="280"/>
      <c r="M491" s="280"/>
      <c r="N491" s="280">
        <f>(N440/(N158*1000))*N7</f>
        <v>45.092137203166224</v>
      </c>
      <c r="O491" s="316">
        <f>(O440/(O158*1000))*O7</f>
        <v>56.932791455345445</v>
      </c>
      <c r="P491" s="280"/>
      <c r="Q491" s="280">
        <f>(Q440/(Q158*1000))*Q7</f>
        <v>54.911999999999999</v>
      </c>
      <c r="R491" s="280">
        <f>(R440/(R158*1000))*R7</f>
        <v>51.821973087590067</v>
      </c>
      <c r="S491" s="280">
        <f>(S440/(S158*1000))*S7</f>
        <v>55.299204107830548</v>
      </c>
      <c r="T491" s="316">
        <f>(T440/(T158*1000))*T7</f>
        <v>65.721811826323687</v>
      </c>
      <c r="U491" s="280">
        <f>(U440/(U158*1000))*U7</f>
        <v>72.521514287608582</v>
      </c>
      <c r="V491" s="280">
        <f>(V440/(V158*1000))*V7</f>
        <v>70.241635759542575</v>
      </c>
      <c r="W491" s="280">
        <f>(W440/(W158*1000))*W7</f>
        <v>87.017253806649251</v>
      </c>
      <c r="X491" s="280">
        <f>(X440/(X158*1000))*X7</f>
        <v>71.713368591605274</v>
      </c>
      <c r="Y491" s="316">
        <f>(Y440/(Y158*1000))*Y7</f>
        <v>76.310853950518748</v>
      </c>
      <c r="Z491" s="280">
        <f>(Z440/(Z158*1000))*Z7</f>
        <v>73.830243337195824</v>
      </c>
      <c r="AA491" s="280">
        <f>(AA440/(AA158*1000))*AA7</f>
        <v>57.800876595744676</v>
      </c>
      <c r="AB491" s="280">
        <f>(AB440/(AB158*1000))*AB7</f>
        <v>63.105010266940447</v>
      </c>
      <c r="AC491" s="287">
        <f>AB491</f>
        <v>63.105010266940447</v>
      </c>
      <c r="AD491" s="320">
        <f>(AD440/(AD158*1000))*AD7</f>
        <v>32.906504206894446</v>
      </c>
      <c r="AE491" s="287">
        <f>AC491</f>
        <v>63.105010266940447</v>
      </c>
      <c r="AF491" s="287">
        <f>AE491</f>
        <v>63.105010266940447</v>
      </c>
      <c r="AG491" s="287">
        <f>AF491</f>
        <v>63.105010266940447</v>
      </c>
      <c r="AH491" s="287">
        <f>AG491</f>
        <v>63.105010266940447</v>
      </c>
      <c r="AI491" s="320">
        <f>(AI440/(AI158*1000))*AI7</f>
        <v>84.203356750464607</v>
      </c>
      <c r="AJ491" s="287">
        <f>AH491</f>
        <v>63.105010266940447</v>
      </c>
      <c r="AK491" s="287">
        <f t="shared" ref="AK491:AM491" si="984">AJ491</f>
        <v>63.105010266940447</v>
      </c>
      <c r="AL491" s="287">
        <f t="shared" si="984"/>
        <v>63.105010266940447</v>
      </c>
      <c r="AM491" s="287">
        <f t="shared" si="984"/>
        <v>63.105010266940447</v>
      </c>
      <c r="AN491" s="320">
        <f>(AN440/(AN158*1000))*AN7</f>
        <v>69.450353552031601</v>
      </c>
      <c r="AO491" s="287">
        <f>AM491</f>
        <v>63.105010266940447</v>
      </c>
      <c r="AP491" s="287">
        <f t="shared" ref="AP491:AR491" si="985">AO491</f>
        <v>63.105010266940447</v>
      </c>
      <c r="AQ491" s="287">
        <f t="shared" si="985"/>
        <v>63.105010266940447</v>
      </c>
      <c r="AR491" s="287">
        <f t="shared" si="985"/>
        <v>63.105010266940447</v>
      </c>
      <c r="AS491" s="320">
        <f>(AS440/(AS158*1000))*AS7</f>
        <v>71.422057103184272</v>
      </c>
      <c r="AT491" s="427"/>
      <c r="AU491" s="508"/>
    </row>
    <row r="492" spans="1:269" outlineLevel="1">
      <c r="A492" s="92" t="s">
        <v>197</v>
      </c>
      <c r="C492" s="74"/>
      <c r="D492" s="74"/>
      <c r="E492" s="74"/>
      <c r="F492" s="71"/>
      <c r="G492" s="71"/>
      <c r="H492" s="71"/>
      <c r="I492" s="71">
        <f>(I443/(I161*1000))*I7</f>
        <v>154.34234864017353</v>
      </c>
      <c r="J492" s="74"/>
      <c r="K492" s="71"/>
      <c r="L492" s="71"/>
      <c r="M492" s="71"/>
      <c r="N492" s="71">
        <f>(N443/(N161*1000))*N7</f>
        <v>154.34234864017353</v>
      </c>
      <c r="O492" s="74">
        <f>(O443/(O161*1000))*O7</f>
        <v>163.1959994604282</v>
      </c>
      <c r="P492" s="71"/>
      <c r="Q492" s="280">
        <f>(Q443/(Q161*1000))*Q7</f>
        <v>112.28862231915666</v>
      </c>
      <c r="R492" s="71">
        <f>(R443/(R161*1000))*R7</f>
        <v>117.14661109097499</v>
      </c>
      <c r="S492" s="71">
        <f>(S443/(S161*1000))*S7</f>
        <v>153.54089360090873</v>
      </c>
      <c r="T492" s="74">
        <f>(T443/(T161*1000))*T7</f>
        <v>164.5245886969972</v>
      </c>
      <c r="U492" s="71">
        <f>(U443/(U161*1000))*U7</f>
        <v>180.29516994633275</v>
      </c>
      <c r="V492" s="71">
        <f>(V443/(V161*1000))*V7</f>
        <v>209.86343391255252</v>
      </c>
      <c r="W492" s="71">
        <f>(W443/(W161*1000))*W7</f>
        <v>343.7907190358967</v>
      </c>
      <c r="X492" s="71">
        <f>(X443/(X161*1000))*X7</f>
        <v>306.08792742498258</v>
      </c>
      <c r="Y492" s="74">
        <f>(Y443/(Y161*1000))*Y7</f>
        <v>346.42397174906523</v>
      </c>
      <c r="Z492" s="71">
        <f>(Z443/(Z161*1000))*Z7</f>
        <v>341.2201863354037</v>
      </c>
      <c r="AA492" s="71">
        <f>(AA443/(AA161*1000))*AA7</f>
        <v>196.31048387096774</v>
      </c>
      <c r="AB492" s="280">
        <f>(AB443/(AB161*1000))*AB7</f>
        <v>62.625236363636368</v>
      </c>
      <c r="AC492" s="287">
        <v>90</v>
      </c>
      <c r="AD492" s="320">
        <f>(AD443/(AD161*1000))*AD7</f>
        <v>18.731133879857758</v>
      </c>
      <c r="AE492" s="287">
        <v>100</v>
      </c>
      <c r="AF492" s="287">
        <f t="shared" ref="AF492:AH492" si="986">AE492</f>
        <v>100</v>
      </c>
      <c r="AG492" s="287">
        <f t="shared" si="986"/>
        <v>100</v>
      </c>
      <c r="AH492" s="287">
        <f t="shared" si="986"/>
        <v>100</v>
      </c>
      <c r="AI492" s="320">
        <f>(AI443/(AI161*1000))*AI7</f>
        <v>136.70983139391177</v>
      </c>
      <c r="AJ492" s="287">
        <f t="shared" ref="AJ492:AJ493" si="987">AH492</f>
        <v>100</v>
      </c>
      <c r="AK492" s="287">
        <f t="shared" ref="AK492:AK493" si="988">AJ492</f>
        <v>100</v>
      </c>
      <c r="AL492" s="287">
        <f t="shared" ref="AL492:AL493" si="989">AK492</f>
        <v>100</v>
      </c>
      <c r="AM492" s="287">
        <f t="shared" ref="AM492:AM493" si="990">AL492</f>
        <v>100</v>
      </c>
      <c r="AN492" s="320">
        <f>(AN443/(AN161*1000))*AN7</f>
        <v>109.13961747220868</v>
      </c>
      <c r="AO492" s="287">
        <f t="shared" ref="AO492:AO493" si="991">AM492</f>
        <v>100</v>
      </c>
      <c r="AP492" s="287">
        <f t="shared" ref="AP492:AP493" si="992">AO492</f>
        <v>100</v>
      </c>
      <c r="AQ492" s="287">
        <f t="shared" ref="AQ492:AQ493" si="993">AP492</f>
        <v>100</v>
      </c>
      <c r="AR492" s="287">
        <f t="shared" ref="AR492:AR493" si="994">AQ492</f>
        <v>100</v>
      </c>
      <c r="AS492" s="320">
        <f>(AS443/(AS161*1000))*AS7</f>
        <v>113.89227283480103</v>
      </c>
      <c r="AT492" s="427"/>
    </row>
    <row r="493" spans="1:269" outlineLevel="1">
      <c r="A493" s="92" t="s">
        <v>198</v>
      </c>
      <c r="C493" s="74"/>
      <c r="D493" s="74"/>
      <c r="E493" s="74"/>
      <c r="F493" s="71"/>
      <c r="G493" s="71"/>
      <c r="H493" s="71"/>
      <c r="I493" s="71">
        <f>(I457/(I161*1000))*I7</f>
        <v>122.96432698101923</v>
      </c>
      <c r="J493" s="74"/>
      <c r="K493" s="71"/>
      <c r="L493" s="71"/>
      <c r="M493" s="71"/>
      <c r="N493" s="71">
        <f>(N457/(N161*1000))*N7</f>
        <v>122.96432698101923</v>
      </c>
      <c r="O493" s="74">
        <f>(O457/(O161*1000))*O7</f>
        <v>130.01801784441062</v>
      </c>
      <c r="P493" s="71"/>
      <c r="Q493" s="280">
        <f>(Q457/(Q161*1000))*Q7</f>
        <v>81.884405670665217</v>
      </c>
      <c r="R493" s="71">
        <f>(R457/(R161*1000))*R7</f>
        <v>75.519028633562883</v>
      </c>
      <c r="S493" s="71">
        <f>(S457/(S161*1000))*S7</f>
        <v>126.49129117758426</v>
      </c>
      <c r="T493" s="74">
        <f>(T457/(T161*1000))*T7</f>
        <v>135.5399670190599</v>
      </c>
      <c r="U493" s="71">
        <f>(U457/(U161*1000))*U7</f>
        <v>103.35548172757476</v>
      </c>
      <c r="V493" s="71">
        <f>(V457/(V161*1000))*V7</f>
        <v>105.12295339062794</v>
      </c>
      <c r="W493" s="71">
        <f>(W457/(W161*1000))*W7</f>
        <v>110.11470771944005</v>
      </c>
      <c r="X493" s="71">
        <f>(X457/(X161*1000))*X7</f>
        <v>79.461270062805312</v>
      </c>
      <c r="Y493" s="74">
        <f>(Y457/(Y161*1000))*Y7</f>
        <v>89.932618404653098</v>
      </c>
      <c r="Z493" s="71">
        <f>(Z457/(Z161*1000))*Z7</f>
        <v>95.953416149068318</v>
      </c>
      <c r="AA493" s="71">
        <f>(AA457/(AA161*1000))*AA7</f>
        <v>53.900987903225804</v>
      </c>
      <c r="AB493" s="280">
        <f>(AB457/(AB161*1000))*AB7</f>
        <v>30.011236363636364</v>
      </c>
      <c r="AC493" s="287">
        <v>80</v>
      </c>
      <c r="AD493" s="320">
        <f>(AD457/(AD161*1000))*AD7</f>
        <v>16.649896782095784</v>
      </c>
      <c r="AE493" s="287">
        <v>80</v>
      </c>
      <c r="AF493" s="287">
        <v>100</v>
      </c>
      <c r="AG493" s="287">
        <f t="shared" ref="AG493:AH493" si="995">AF493</f>
        <v>100</v>
      </c>
      <c r="AH493" s="287">
        <f t="shared" si="995"/>
        <v>100</v>
      </c>
      <c r="AI493" s="320">
        <f>(AI457/(AI161*1000))*AI7</f>
        <v>136.70983139391177</v>
      </c>
      <c r="AJ493" s="287">
        <f t="shared" si="987"/>
        <v>100</v>
      </c>
      <c r="AK493" s="287">
        <f t="shared" si="988"/>
        <v>100</v>
      </c>
      <c r="AL493" s="287">
        <f t="shared" si="989"/>
        <v>100</v>
      </c>
      <c r="AM493" s="287">
        <f t="shared" si="990"/>
        <v>100</v>
      </c>
      <c r="AN493" s="320">
        <f>(AN457/(AN161*1000))*AN7</f>
        <v>109.13961747220868</v>
      </c>
      <c r="AO493" s="287">
        <f t="shared" si="991"/>
        <v>100</v>
      </c>
      <c r="AP493" s="287">
        <f t="shared" si="992"/>
        <v>100</v>
      </c>
      <c r="AQ493" s="287">
        <f t="shared" si="993"/>
        <v>100</v>
      </c>
      <c r="AR493" s="287">
        <f t="shared" si="994"/>
        <v>100</v>
      </c>
      <c r="AS493" s="320">
        <f>(AS457/(AS161*1000))*AS7</f>
        <v>113.89227283480103</v>
      </c>
      <c r="AT493" s="427"/>
    </row>
    <row r="494" spans="1:269" outlineLevel="1">
      <c r="A494" s="92" t="s">
        <v>62</v>
      </c>
      <c r="C494" s="74"/>
      <c r="D494" s="74"/>
      <c r="E494" s="74"/>
      <c r="F494" s="71"/>
      <c r="G494" s="71"/>
      <c r="H494" s="71"/>
      <c r="I494" s="71">
        <f>+I491+I492-I493</f>
        <v>65.557861659154284</v>
      </c>
      <c r="J494" s="74"/>
      <c r="K494" s="71"/>
      <c r="L494" s="71"/>
      <c r="M494" s="71"/>
      <c r="N494" s="71">
        <f>+N491+N492-N493</f>
        <v>76.470158862320531</v>
      </c>
      <c r="O494" s="74">
        <f>+O491+O492-O493</f>
        <v>90.110773071363013</v>
      </c>
      <c r="P494" s="71"/>
      <c r="Q494" s="71">
        <f t="shared" ref="Q494:AS494" si="996">+Q491+Q492-Q493</f>
        <v>85.316216648491434</v>
      </c>
      <c r="R494" s="71">
        <f t="shared" si="996"/>
        <v>93.449555545002156</v>
      </c>
      <c r="S494" s="71">
        <f t="shared" si="996"/>
        <v>82.34880653115502</v>
      </c>
      <c r="T494" s="74">
        <f t="shared" si="996"/>
        <v>94.706433504260986</v>
      </c>
      <c r="U494" s="71">
        <f t="shared" si="996"/>
        <v>149.46120250636656</v>
      </c>
      <c r="V494" s="71">
        <f t="shared" si="996"/>
        <v>174.98211628146717</v>
      </c>
      <c r="W494" s="71">
        <f t="shared" si="996"/>
        <v>320.6932651231059</v>
      </c>
      <c r="X494" s="71">
        <f t="shared" si="996"/>
        <v>298.34002595378251</v>
      </c>
      <c r="Y494" s="74">
        <f t="shared" si="996"/>
        <v>332.80220729493089</v>
      </c>
      <c r="Z494" s="71">
        <f t="shared" si="996"/>
        <v>319.09701352353125</v>
      </c>
      <c r="AA494" s="71">
        <f t="shared" si="996"/>
        <v>200.21037256348663</v>
      </c>
      <c r="AB494" s="71">
        <f t="shared" si="996"/>
        <v>95.719010266940444</v>
      </c>
      <c r="AC494" s="71">
        <f t="shared" si="996"/>
        <v>73.10501026694044</v>
      </c>
      <c r="AD494" s="283">
        <f t="shared" si="996"/>
        <v>34.987741304656424</v>
      </c>
      <c r="AE494" s="71">
        <f t="shared" si="996"/>
        <v>83.10501026694044</v>
      </c>
      <c r="AF494" s="71">
        <f t="shared" si="996"/>
        <v>63.10501026694044</v>
      </c>
      <c r="AG494" s="19">
        <f t="shared" si="996"/>
        <v>63.10501026694044</v>
      </c>
      <c r="AH494" s="19">
        <f t="shared" si="996"/>
        <v>63.10501026694044</v>
      </c>
      <c r="AI494" s="283">
        <f t="shared" si="996"/>
        <v>84.203356750464593</v>
      </c>
      <c r="AJ494" s="19">
        <f t="shared" si="996"/>
        <v>63.10501026694044</v>
      </c>
      <c r="AK494" s="19">
        <f t="shared" si="996"/>
        <v>63.10501026694044</v>
      </c>
      <c r="AL494" s="19">
        <f t="shared" si="996"/>
        <v>63.10501026694044</v>
      </c>
      <c r="AM494" s="19">
        <f t="shared" si="996"/>
        <v>63.10501026694044</v>
      </c>
      <c r="AN494" s="283">
        <f t="shared" si="996"/>
        <v>69.450353552031615</v>
      </c>
      <c r="AO494" s="19">
        <f t="shared" si="996"/>
        <v>63.10501026694044</v>
      </c>
      <c r="AP494" s="19">
        <f t="shared" si="996"/>
        <v>63.10501026694044</v>
      </c>
      <c r="AQ494" s="19">
        <f t="shared" si="996"/>
        <v>63.10501026694044</v>
      </c>
      <c r="AR494" s="19">
        <f t="shared" si="996"/>
        <v>63.10501026694044</v>
      </c>
      <c r="AS494" s="283">
        <f t="shared" si="996"/>
        <v>71.422057103184258</v>
      </c>
      <c r="AT494" s="464"/>
    </row>
    <row r="495" spans="1:269">
      <c r="A495" s="92" t="s">
        <v>524</v>
      </c>
      <c r="C495" s="62"/>
      <c r="D495" s="62"/>
      <c r="E495" s="62"/>
      <c r="I495" s="19">
        <f>I448+I446</f>
        <v>60126</v>
      </c>
      <c r="J495" s="62"/>
      <c r="N495" s="19">
        <f>N448+N446</f>
        <v>60126</v>
      </c>
      <c r="O495" s="62">
        <f>O448+O446</f>
        <v>60126</v>
      </c>
      <c r="Q495" s="19">
        <f t="shared" ref="Q495:AS495" si="997">Q448+Q446</f>
        <v>61997</v>
      </c>
      <c r="R495" s="19">
        <f t="shared" si="997"/>
        <v>71419</v>
      </c>
      <c r="S495" s="19">
        <f t="shared" si="997"/>
        <v>72193</v>
      </c>
      <c r="T495" s="62">
        <f t="shared" si="997"/>
        <v>72193</v>
      </c>
      <c r="U495" s="19">
        <f t="shared" si="997"/>
        <v>70403</v>
      </c>
      <c r="V495" s="19">
        <f t="shared" si="997"/>
        <v>69243</v>
      </c>
      <c r="W495" s="19">
        <f t="shared" si="997"/>
        <v>64724</v>
      </c>
      <c r="X495" s="19">
        <f t="shared" si="997"/>
        <v>64570</v>
      </c>
      <c r="Y495" s="62">
        <f t="shared" si="997"/>
        <v>64570</v>
      </c>
      <c r="Z495" s="19">
        <f t="shared" si="997"/>
        <v>89195</v>
      </c>
      <c r="AA495" s="19">
        <f>AA448+AA446</f>
        <v>83527</v>
      </c>
      <c r="AB495" s="19">
        <f t="shared" si="997"/>
        <v>80704</v>
      </c>
      <c r="AC495" s="19">
        <f t="shared" si="997"/>
        <v>73134.999637721936</v>
      </c>
      <c r="AD495" s="283">
        <f t="shared" si="997"/>
        <v>73134.999637721936</v>
      </c>
      <c r="AE495" s="19">
        <f t="shared" si="997"/>
        <v>66215.248547722585</v>
      </c>
      <c r="AF495" s="19">
        <f t="shared" si="997"/>
        <v>59889.055806844495</v>
      </c>
      <c r="AG495" s="19">
        <f t="shared" si="997"/>
        <v>54105.507515262456</v>
      </c>
      <c r="AH495" s="19">
        <f t="shared" si="997"/>
        <v>48818.05703577886</v>
      </c>
      <c r="AI495" s="283">
        <f t="shared" si="997"/>
        <v>48818.05703577886</v>
      </c>
      <c r="AJ495" s="19">
        <f t="shared" si="997"/>
        <v>43984.150381332322</v>
      </c>
      <c r="AK495" s="19">
        <f t="shared" si="997"/>
        <v>39564.88373579683</v>
      </c>
      <c r="AL495" s="19">
        <f t="shared" si="997"/>
        <v>35524.69035176083</v>
      </c>
      <c r="AM495" s="19">
        <f t="shared" si="997"/>
        <v>31831.054305404898</v>
      </c>
      <c r="AN495" s="283">
        <f t="shared" si="997"/>
        <v>31831.054305404898</v>
      </c>
      <c r="AO495" s="19">
        <f t="shared" si="997"/>
        <v>28454.248804745665</v>
      </c>
      <c r="AP495" s="19">
        <f t="shared" si="997"/>
        <v>25367.096945121528</v>
      </c>
      <c r="AQ495" s="19">
        <f t="shared" si="997"/>
        <v>22544.752986454019</v>
      </c>
      <c r="AR495" s="19">
        <f t="shared" si="997"/>
        <v>19964.502391979942</v>
      </c>
      <c r="AS495" s="283">
        <f t="shared" si="997"/>
        <v>19964.502391979942</v>
      </c>
    </row>
    <row r="497" spans="1:269" s="149" customFormat="1">
      <c r="A497" s="52" t="s">
        <v>54</v>
      </c>
      <c r="B497" s="53"/>
      <c r="C497" s="54"/>
      <c r="D497" s="54"/>
      <c r="E497" s="54"/>
      <c r="F497" s="54"/>
      <c r="G497" s="54"/>
      <c r="H497" s="54"/>
      <c r="I497" s="54"/>
      <c r="J497" s="54"/>
      <c r="K497" s="54"/>
      <c r="L497" s="54"/>
      <c r="M497" s="54"/>
      <c r="N497" s="54"/>
      <c r="O497" s="54"/>
      <c r="P497" s="54"/>
      <c r="Q497" s="54"/>
      <c r="R497" s="54"/>
      <c r="S497" s="54"/>
      <c r="T497" s="54"/>
      <c r="U497" s="54"/>
      <c r="V497" s="54"/>
      <c r="W497" s="54"/>
      <c r="X497" s="54"/>
      <c r="Y497" s="54"/>
      <c r="Z497" s="54"/>
      <c r="AA497" s="54"/>
      <c r="AB497" s="54"/>
      <c r="AC497" s="55"/>
      <c r="AD497" s="55"/>
      <c r="AE497" s="55"/>
      <c r="AF497" s="55"/>
      <c r="AG497" s="55"/>
      <c r="AH497" s="55"/>
      <c r="AI497" s="55"/>
      <c r="AJ497" s="55"/>
      <c r="AK497" s="55"/>
      <c r="AL497" s="55"/>
      <c r="AM497" s="55"/>
      <c r="AN497" s="55"/>
      <c r="AO497" s="55"/>
      <c r="AP497" s="55"/>
      <c r="AQ497" s="55"/>
      <c r="AR497" s="55"/>
      <c r="AS497" s="55"/>
      <c r="AT497" s="317"/>
      <c r="AU497" s="503"/>
      <c r="AV497" s="3"/>
      <c r="AW497" s="3"/>
      <c r="AX497" s="3"/>
      <c r="AY497" s="3"/>
      <c r="AZ497" s="3"/>
      <c r="BA497" s="3"/>
      <c r="BB497" s="3"/>
      <c r="BC497" s="3"/>
      <c r="BD497" s="3"/>
      <c r="BE497" s="3"/>
      <c r="BF497" s="3"/>
      <c r="BG497" s="3"/>
      <c r="BH497" s="3"/>
      <c r="BI497" s="3"/>
      <c r="BJ497" s="3"/>
      <c r="BK497" s="3"/>
      <c r="BL497" s="3"/>
      <c r="BM497" s="3"/>
      <c r="BN497" s="3"/>
      <c r="BO497" s="3"/>
      <c r="BP497" s="3"/>
      <c r="BQ497" s="3"/>
      <c r="BR497" s="3"/>
      <c r="BS497" s="3"/>
      <c r="BT497" s="3"/>
      <c r="BU497" s="3"/>
      <c r="BV497" s="3"/>
      <c r="BW497" s="3"/>
      <c r="BX497" s="3"/>
      <c r="BY497" s="3"/>
      <c r="BZ497" s="3"/>
      <c r="CA497" s="3"/>
      <c r="CB497" s="3"/>
      <c r="CC497" s="3"/>
      <c r="CD497" s="3"/>
      <c r="CE497" s="3"/>
      <c r="CF497" s="3"/>
      <c r="CG497" s="3"/>
      <c r="CH497" s="3"/>
      <c r="CI497" s="3"/>
      <c r="CJ497" s="3"/>
      <c r="CK497" s="3"/>
      <c r="CL497" s="3"/>
      <c r="CM497" s="3"/>
      <c r="CN497" s="3"/>
      <c r="CO497" s="3"/>
      <c r="CP497" s="3"/>
      <c r="CQ497" s="3"/>
      <c r="CR497" s="3"/>
      <c r="CS497" s="3"/>
      <c r="CT497" s="3"/>
      <c r="CU497" s="3"/>
      <c r="CV497" s="3"/>
      <c r="CW497" s="3"/>
      <c r="CX497" s="3"/>
      <c r="CY497" s="3"/>
      <c r="CZ497" s="3"/>
      <c r="DA497" s="3"/>
      <c r="DB497" s="3"/>
      <c r="DC497" s="3"/>
      <c r="DD497" s="3"/>
      <c r="DE497" s="3"/>
      <c r="DF497" s="3"/>
      <c r="DG497" s="3"/>
      <c r="DH497" s="3"/>
      <c r="DI497" s="3"/>
      <c r="DJ497" s="3"/>
      <c r="DK497" s="3"/>
      <c r="DL497" s="3"/>
      <c r="DM497" s="3"/>
      <c r="DN497" s="3"/>
      <c r="DO497" s="3"/>
      <c r="DP497" s="3"/>
      <c r="DQ497" s="3"/>
      <c r="DR497" s="3"/>
      <c r="DS497" s="3"/>
      <c r="DT497" s="3"/>
      <c r="DU497" s="3"/>
      <c r="DV497" s="3"/>
      <c r="DW497" s="3"/>
      <c r="DX497" s="3"/>
      <c r="DY497" s="3"/>
      <c r="DZ497" s="3"/>
      <c r="EA497" s="3"/>
      <c r="EB497" s="3"/>
      <c r="EC497" s="3"/>
      <c r="ED497" s="3"/>
      <c r="EE497" s="3"/>
      <c r="EF497" s="3"/>
      <c r="EG497" s="3"/>
      <c r="EH497" s="3"/>
      <c r="EI497" s="3"/>
      <c r="EJ497" s="3"/>
      <c r="EK497" s="3"/>
      <c r="EL497" s="3"/>
      <c r="EM497" s="3"/>
      <c r="EN497" s="3"/>
      <c r="EO497" s="3"/>
      <c r="EP497" s="3"/>
      <c r="EQ497" s="3"/>
      <c r="ER497" s="3"/>
      <c r="ES497" s="3"/>
      <c r="ET497" s="3"/>
      <c r="EU497" s="3"/>
      <c r="EV497" s="3"/>
      <c r="EW497" s="3"/>
      <c r="EX497" s="3"/>
      <c r="EY497" s="3"/>
      <c r="EZ497" s="3"/>
      <c r="FA497" s="3"/>
      <c r="FB497" s="3"/>
      <c r="FC497" s="3"/>
      <c r="FD497" s="3"/>
      <c r="FE497" s="3"/>
      <c r="FF497" s="3"/>
      <c r="FG497" s="3"/>
      <c r="FH497" s="3"/>
      <c r="FI497" s="3"/>
      <c r="FJ497" s="3"/>
      <c r="FK497" s="3"/>
      <c r="FL497" s="3"/>
      <c r="FM497" s="3"/>
      <c r="FN497" s="3"/>
      <c r="FO497" s="3"/>
      <c r="FP497" s="3"/>
      <c r="FQ497" s="3"/>
      <c r="FR497" s="3"/>
      <c r="FS497" s="3"/>
      <c r="FT497" s="3"/>
      <c r="FU497" s="3"/>
      <c r="FV497" s="3"/>
      <c r="FW497" s="3"/>
      <c r="FX497" s="3"/>
      <c r="FY497" s="3"/>
      <c r="FZ497" s="3"/>
      <c r="GA497" s="3"/>
      <c r="GB497" s="3"/>
      <c r="GC497" s="3"/>
      <c r="GD497" s="3"/>
      <c r="GE497" s="3"/>
      <c r="GF497" s="3"/>
      <c r="GG497" s="3"/>
      <c r="GH497" s="3"/>
      <c r="GI497" s="3"/>
      <c r="GJ497" s="3"/>
      <c r="GK497" s="3"/>
      <c r="GL497" s="3"/>
      <c r="GM497" s="3"/>
      <c r="GN497" s="3"/>
      <c r="GO497" s="3"/>
      <c r="GP497" s="3"/>
      <c r="GQ497" s="3"/>
      <c r="GR497" s="3"/>
      <c r="GS497" s="3"/>
      <c r="GT497" s="3"/>
      <c r="GU497" s="3"/>
      <c r="GV497" s="3"/>
      <c r="GW497" s="3"/>
      <c r="GX497" s="3"/>
      <c r="GY497" s="3"/>
      <c r="GZ497" s="3"/>
      <c r="HA497" s="3"/>
      <c r="HB497" s="3"/>
      <c r="HC497" s="3"/>
      <c r="HD497" s="3"/>
      <c r="HE497" s="3"/>
      <c r="HF497" s="3"/>
      <c r="HG497" s="3"/>
      <c r="HH497" s="3"/>
      <c r="HI497" s="3"/>
      <c r="HJ497" s="3"/>
      <c r="HK497" s="3"/>
      <c r="HL497" s="3"/>
      <c r="HM497" s="3"/>
      <c r="HN497" s="3"/>
      <c r="HO497" s="3"/>
      <c r="HP497" s="3"/>
      <c r="HQ497" s="3"/>
      <c r="HR497" s="3"/>
      <c r="HS497" s="3"/>
      <c r="HT497" s="3"/>
      <c r="HU497" s="3"/>
      <c r="HV497" s="3"/>
      <c r="HW497" s="3"/>
      <c r="HX497" s="3"/>
      <c r="HY497" s="3"/>
      <c r="HZ497" s="3"/>
      <c r="IA497" s="3"/>
      <c r="IB497" s="3"/>
      <c r="IC497" s="3"/>
      <c r="ID497" s="3"/>
      <c r="IE497" s="3"/>
      <c r="IF497" s="3"/>
      <c r="IG497" s="3"/>
      <c r="IH497" s="3"/>
      <c r="II497" s="3"/>
      <c r="IJ497" s="3"/>
      <c r="IK497" s="3"/>
      <c r="IL497" s="3"/>
      <c r="IM497" s="3"/>
      <c r="IN497" s="3"/>
      <c r="IO497" s="3"/>
      <c r="IP497" s="3"/>
      <c r="IQ497" s="3"/>
      <c r="IR497" s="3"/>
      <c r="IS497" s="3"/>
      <c r="IT497" s="3"/>
      <c r="IU497" s="3"/>
      <c r="IV497" s="3"/>
      <c r="IW497" s="3"/>
      <c r="IX497" s="3"/>
      <c r="IY497" s="3"/>
      <c r="IZ497" s="3"/>
      <c r="JA497" s="3"/>
      <c r="JB497" s="3"/>
      <c r="JC497" s="3"/>
      <c r="JD497" s="3"/>
      <c r="JE497" s="3"/>
      <c r="JF497" s="3"/>
      <c r="JG497" s="3"/>
      <c r="JH497" s="3"/>
      <c r="JI497" s="3"/>
    </row>
    <row r="500" spans="1:269">
      <c r="A500" s="85" t="s">
        <v>335</v>
      </c>
      <c r="C500" s="62"/>
      <c r="D500" s="62"/>
      <c r="E500" s="62"/>
      <c r="I500" s="19"/>
      <c r="J500" s="62"/>
      <c r="N500" s="19"/>
      <c r="O500" s="62"/>
      <c r="P500" s="19"/>
      <c r="Q500" s="19"/>
      <c r="R500" s="19"/>
      <c r="S500" s="19"/>
      <c r="T500" s="62"/>
      <c r="U500" s="19"/>
      <c r="V500" s="19"/>
      <c r="W500" s="19"/>
      <c r="X500" s="19"/>
      <c r="Y500" s="62"/>
      <c r="Z500" s="19"/>
      <c r="AA500" s="19"/>
      <c r="AB500" s="19"/>
    </row>
    <row r="501" spans="1:269">
      <c r="A501" s="281" t="s">
        <v>336</v>
      </c>
      <c r="C501" s="62"/>
      <c r="D501" s="62"/>
      <c r="E501" s="62"/>
      <c r="I501" s="19">
        <f>I583-H583</f>
        <v>-7493</v>
      </c>
      <c r="J501" s="62"/>
      <c r="N501" s="19">
        <f>N583-M583</f>
        <v>-7493</v>
      </c>
      <c r="O501" s="62">
        <f>N583</f>
        <v>-29175</v>
      </c>
      <c r="P501" s="19">
        <f>P583</f>
        <v>-3274</v>
      </c>
      <c r="Q501" s="19">
        <f>Q583-P583</f>
        <v>-139378</v>
      </c>
      <c r="R501" s="19">
        <f t="shared" ref="R501:S501" si="998">R583-Q583</f>
        <v>-215145</v>
      </c>
      <c r="S501" s="19">
        <f t="shared" si="998"/>
        <v>-17311</v>
      </c>
      <c r="T501" s="62">
        <f>S583</f>
        <v>-375108</v>
      </c>
      <c r="U501" s="19">
        <f>U583</f>
        <v>32507</v>
      </c>
      <c r="V501" s="19">
        <f>V583-U583</f>
        <v>7931</v>
      </c>
      <c r="W501" s="19">
        <f t="shared" ref="W501:X501" si="999">W583-V583</f>
        <v>131</v>
      </c>
      <c r="X501" s="19">
        <f t="shared" si="999"/>
        <v>3815</v>
      </c>
      <c r="Y501" s="62">
        <f>X583</f>
        <v>44384</v>
      </c>
      <c r="Z501" s="19">
        <f>Z583</f>
        <v>-22285</v>
      </c>
      <c r="AA501" s="19">
        <f t="shared" ref="AA501:AB503" si="1000">AA583-Z583</f>
        <v>5390</v>
      </c>
      <c r="AB501" s="19">
        <f t="shared" si="1000"/>
        <v>-73818</v>
      </c>
      <c r="AC501" s="19">
        <f>AC234*1000</f>
        <v>1286.3548770675179</v>
      </c>
      <c r="AD501" s="76">
        <f t="shared" ref="AD501:AD503" si="1001">SUM(Z501:AC501)</f>
        <v>-89426.645122932488</v>
      </c>
      <c r="AE501" s="19">
        <f>AE234*1000</f>
        <v>-7754.2345783472574</v>
      </c>
      <c r="AF501" s="19">
        <f>AF234*1000</f>
        <v>-8546.7339291462249</v>
      </c>
      <c r="AG501" s="19">
        <f>AG234*1000</f>
        <v>3734.9934027601748</v>
      </c>
      <c r="AH501" s="19">
        <f>AH234*1000</f>
        <v>18348.678678853135</v>
      </c>
      <c r="AI501" s="76">
        <f t="shared" ref="AI501:AI503" si="1002">SUM(AE501:AH501)</f>
        <v>5782.703574119827</v>
      </c>
      <c r="AJ501" s="19">
        <f>AJ234*1000</f>
        <v>5424.4273243124344</v>
      </c>
      <c r="AK501" s="19">
        <f>AK234*1000</f>
        <v>13006.189666616525</v>
      </c>
      <c r="AL501" s="19">
        <f>AL234*1000</f>
        <v>12239.888349187706</v>
      </c>
      <c r="AM501" s="19">
        <f>AM234*1000</f>
        <v>22693.90931848621</v>
      </c>
      <c r="AN501" s="76">
        <f t="shared" ref="AN501:AN503" si="1003">SUM(AJ501:AM501)</f>
        <v>53364.41465860288</v>
      </c>
      <c r="AO501" s="19">
        <f>AO234*1000</f>
        <v>9622.5411381522863</v>
      </c>
      <c r="AP501" s="19">
        <f>AP234*1000</f>
        <v>18409.808566705178</v>
      </c>
      <c r="AQ501" s="19">
        <f>AQ234*1000</f>
        <v>16719.727057822132</v>
      </c>
      <c r="AR501" s="19">
        <f>AR234*1000</f>
        <v>30115.768809039044</v>
      </c>
      <c r="AS501" s="76">
        <f t="shared" ref="AS501:AS503" si="1004">SUM(AO501:AR501)</f>
        <v>74867.845571718644</v>
      </c>
    </row>
    <row r="502" spans="1:269">
      <c r="A502" s="281" t="s">
        <v>337</v>
      </c>
      <c r="C502" s="62"/>
      <c r="D502" s="62"/>
      <c r="E502" s="62"/>
      <c r="I502" s="19">
        <f>I584-H584</f>
        <v>0</v>
      </c>
      <c r="J502" s="62"/>
      <c r="N502" s="19">
        <f>N584-M584</f>
        <v>0</v>
      </c>
      <c r="O502" s="62"/>
      <c r="P502" s="19">
        <f>P584</f>
        <v>0</v>
      </c>
      <c r="Q502" s="19">
        <f t="shared" ref="Q502:S502" si="1005">Q584-P584</f>
        <v>0</v>
      </c>
      <c r="R502" s="19">
        <f t="shared" si="1005"/>
        <v>0</v>
      </c>
      <c r="S502" s="19">
        <f t="shared" si="1005"/>
        <v>0</v>
      </c>
      <c r="T502" s="62">
        <f>S584</f>
        <v>0</v>
      </c>
      <c r="U502" s="19">
        <f>U584</f>
        <v>0</v>
      </c>
      <c r="V502" s="19">
        <f t="shared" ref="V502:X502" si="1006">V584-U584</f>
        <v>0</v>
      </c>
      <c r="W502" s="19">
        <f t="shared" si="1006"/>
        <v>0</v>
      </c>
      <c r="X502" s="19">
        <f t="shared" si="1006"/>
        <v>0</v>
      </c>
      <c r="Y502" s="62">
        <f>X584</f>
        <v>0</v>
      </c>
      <c r="Z502" s="19">
        <f>Z584</f>
        <v>0</v>
      </c>
      <c r="AA502" s="19">
        <f t="shared" si="1000"/>
        <v>0</v>
      </c>
      <c r="AB502" s="19">
        <f t="shared" si="1000"/>
        <v>0</v>
      </c>
      <c r="AC502" s="594">
        <v>0</v>
      </c>
      <c r="AD502" s="76">
        <f t="shared" si="1001"/>
        <v>0</v>
      </c>
      <c r="AE502" s="594">
        <v>0</v>
      </c>
      <c r="AF502" s="594">
        <v>0</v>
      </c>
      <c r="AG502" s="594">
        <v>0</v>
      </c>
      <c r="AH502" s="594">
        <v>0</v>
      </c>
      <c r="AI502" s="76">
        <f t="shared" si="1002"/>
        <v>0</v>
      </c>
      <c r="AJ502" s="594">
        <v>0</v>
      </c>
      <c r="AK502" s="594">
        <v>0</v>
      </c>
      <c r="AL502" s="594">
        <v>0</v>
      </c>
      <c r="AM502" s="594">
        <v>0</v>
      </c>
      <c r="AN502" s="76">
        <f t="shared" si="1003"/>
        <v>0</v>
      </c>
      <c r="AO502" s="594">
        <v>0</v>
      </c>
      <c r="AP502" s="594">
        <v>0</v>
      </c>
      <c r="AQ502" s="594">
        <v>0</v>
      </c>
      <c r="AR502" s="594">
        <v>0</v>
      </c>
      <c r="AS502" s="76">
        <f t="shared" si="1004"/>
        <v>0</v>
      </c>
    </row>
    <row r="503" spans="1:269">
      <c r="A503" s="281" t="s">
        <v>338</v>
      </c>
      <c r="C503" s="62"/>
      <c r="D503" s="62"/>
      <c r="E503" s="62"/>
      <c r="I503" s="19">
        <f>I585-H585</f>
        <v>1111</v>
      </c>
      <c r="J503" s="62"/>
      <c r="N503" s="19">
        <f>N585-M585</f>
        <v>1111</v>
      </c>
      <c r="O503" s="62">
        <f>N585</f>
        <v>2552</v>
      </c>
      <c r="P503" s="19">
        <f>P585</f>
        <v>690</v>
      </c>
      <c r="Q503" s="19">
        <f t="shared" ref="Q503:S503" si="1007">Q585-P585</f>
        <v>728</v>
      </c>
      <c r="R503" s="19">
        <f t="shared" si="1007"/>
        <v>1028</v>
      </c>
      <c r="S503" s="19">
        <f t="shared" si="1007"/>
        <v>2040</v>
      </c>
      <c r="T503" s="62">
        <f>S585</f>
        <v>4486</v>
      </c>
      <c r="U503" s="19">
        <f>U585</f>
        <v>1416</v>
      </c>
      <c r="V503" s="19">
        <f t="shared" ref="V503:X503" si="1008">V585-U585</f>
        <v>1852</v>
      </c>
      <c r="W503" s="19">
        <f t="shared" si="1008"/>
        <v>2001</v>
      </c>
      <c r="X503" s="19">
        <f t="shared" si="1008"/>
        <v>1895</v>
      </c>
      <c r="Y503" s="62">
        <f>X585</f>
        <v>7164</v>
      </c>
      <c r="Z503" s="19">
        <f>Z585</f>
        <v>1834</v>
      </c>
      <c r="AA503" s="19">
        <f t="shared" si="1000"/>
        <v>2649</v>
      </c>
      <c r="AB503" s="19">
        <f t="shared" si="1000"/>
        <v>2513</v>
      </c>
      <c r="AC503" s="19">
        <f>AC235*1000</f>
        <v>7729.6203622780658</v>
      </c>
      <c r="AD503" s="76">
        <f t="shared" si="1001"/>
        <v>14725.620362278067</v>
      </c>
      <c r="AE503" s="19">
        <f>AE235*1000</f>
        <v>7004.6810863765668</v>
      </c>
      <c r="AF503" s="19">
        <f>AF235*1000</f>
        <v>6341.925226355318</v>
      </c>
      <c r="AG503" s="19">
        <f>AG235*1000</f>
        <v>5736.0188496504834</v>
      </c>
      <c r="AH503" s="19">
        <f>AH235*1000</f>
        <v>5182.0855546362209</v>
      </c>
      <c r="AI503" s="76">
        <f t="shared" si="1002"/>
        <v>24264.710717018592</v>
      </c>
      <c r="AJ503" s="19">
        <f>AJ235*1000</f>
        <v>4675.6672248043251</v>
      </c>
      <c r="AK503" s="19">
        <f>AK235*1000</f>
        <v>4212.6881493488163</v>
      </c>
      <c r="AL503" s="19">
        <f>AL235*1000</f>
        <v>3789.4222213939761</v>
      </c>
      <c r="AM503" s="19">
        <f>AM235*1000</f>
        <v>3402.4629498735335</v>
      </c>
      <c r="AN503" s="76">
        <f t="shared" si="1003"/>
        <v>16080.240545420651</v>
      </c>
      <c r="AO503" s="19">
        <f>AO235*1000</f>
        <v>3048.6960437132807</v>
      </c>
      <c r="AP503" s="19">
        <f>AP235*1000</f>
        <v>2725.274347671595</v>
      </c>
      <c r="AQ503" s="19">
        <f>AQ235*1000</f>
        <v>2429.5949281187186</v>
      </c>
      <c r="AR503" s="19">
        <f>AR235*1000</f>
        <v>2159.278124338623</v>
      </c>
      <c r="AS503" s="76">
        <f t="shared" si="1004"/>
        <v>10362.843443842217</v>
      </c>
    </row>
    <row r="504" spans="1:269">
      <c r="A504" s="281" t="s">
        <v>396</v>
      </c>
      <c r="C504" s="62"/>
      <c r="D504" s="62"/>
      <c r="E504" s="62"/>
      <c r="I504" s="19"/>
      <c r="J504" s="62"/>
      <c r="N504" s="19"/>
      <c r="O504" s="62"/>
      <c r="P504" s="19"/>
      <c r="Q504" s="19"/>
      <c r="R504" s="19"/>
      <c r="S504" s="19"/>
      <c r="T504" s="62"/>
      <c r="U504" s="19"/>
      <c r="V504" s="19"/>
      <c r="W504" s="19"/>
      <c r="X504" s="19"/>
      <c r="Y504" s="62"/>
      <c r="Z504" s="19"/>
      <c r="AA504" s="19"/>
      <c r="AB504" s="19"/>
      <c r="AC504" s="545"/>
    </row>
    <row r="505" spans="1:269">
      <c r="A505" s="319" t="s">
        <v>347</v>
      </c>
      <c r="C505" s="62"/>
      <c r="D505" s="62"/>
      <c r="E505" s="62"/>
      <c r="I505" s="19">
        <f t="shared" ref="I505:I512" si="1009">I587-H587</f>
        <v>0</v>
      </c>
      <c r="J505" s="62"/>
      <c r="N505" s="19">
        <f t="shared" ref="N505:N512" si="1010">N587-M587</f>
        <v>0</v>
      </c>
      <c r="O505" s="62">
        <f t="shared" ref="O505:O512" si="1011">N587</f>
        <v>-36</v>
      </c>
      <c r="P505" s="19">
        <f t="shared" ref="P505:P512" si="1012">P587</f>
        <v>0</v>
      </c>
      <c r="Q505" s="19">
        <f t="shared" ref="Q505:S505" si="1013">Q587-P587</f>
        <v>0</v>
      </c>
      <c r="R505" s="19">
        <f t="shared" si="1013"/>
        <v>0</v>
      </c>
      <c r="S505" s="19">
        <f t="shared" si="1013"/>
        <v>0</v>
      </c>
      <c r="T505" s="62">
        <f t="shared" ref="T505:T512" si="1014">S587</f>
        <v>0</v>
      </c>
      <c r="U505" s="19">
        <f t="shared" ref="U505:U512" si="1015">U587</f>
        <v>0</v>
      </c>
      <c r="V505" s="19">
        <f t="shared" ref="V505:X505" si="1016">V587-U587</f>
        <v>0</v>
      </c>
      <c r="W505" s="19">
        <f t="shared" si="1016"/>
        <v>0</v>
      </c>
      <c r="X505" s="19">
        <f t="shared" si="1016"/>
        <v>0</v>
      </c>
      <c r="Y505" s="62">
        <f t="shared" ref="Y505:Y512" si="1017">X587</f>
        <v>0</v>
      </c>
      <c r="Z505" s="19">
        <f t="shared" ref="Z505:Z512" si="1018">Z587</f>
        <v>3874</v>
      </c>
      <c r="AA505" s="19">
        <f t="shared" ref="AA505:AB512" si="1019">AA587-Z587</f>
        <v>7252</v>
      </c>
      <c r="AB505" s="19">
        <f t="shared" si="1019"/>
        <v>4829</v>
      </c>
      <c r="AC505" s="594">
        <v>0</v>
      </c>
      <c r="AD505" s="76">
        <f t="shared" ref="AD505:AD512" si="1020">SUM(Z505:AC505)</f>
        <v>15955</v>
      </c>
      <c r="AE505" s="594">
        <v>0</v>
      </c>
      <c r="AF505" s="594">
        <v>0</v>
      </c>
      <c r="AG505" s="594">
        <v>0</v>
      </c>
      <c r="AH505" s="594">
        <v>0</v>
      </c>
      <c r="AJ505" s="594">
        <v>0</v>
      </c>
      <c r="AK505" s="594">
        <v>0</v>
      </c>
      <c r="AL505" s="594">
        <v>0</v>
      </c>
      <c r="AM505" s="594">
        <v>0</v>
      </c>
      <c r="AO505" s="594">
        <v>0</v>
      </c>
      <c r="AP505" s="594">
        <v>0</v>
      </c>
      <c r="AQ505" s="594">
        <v>0</v>
      </c>
      <c r="AR505" s="594">
        <v>0</v>
      </c>
      <c r="AS505" s="76">
        <f t="shared" ref="AS505:AS512" si="1021">SUM(AO505:AR505)</f>
        <v>0</v>
      </c>
    </row>
    <row r="506" spans="1:269">
      <c r="A506" s="319" t="s">
        <v>339</v>
      </c>
      <c r="C506" s="62"/>
      <c r="D506" s="62"/>
      <c r="E506" s="62"/>
      <c r="I506" s="19">
        <f t="shared" si="1009"/>
        <v>-802</v>
      </c>
      <c r="J506" s="62"/>
      <c r="N506" s="19">
        <f t="shared" si="1010"/>
        <v>-802</v>
      </c>
      <c r="O506" s="62">
        <f t="shared" si="1011"/>
        <v>0</v>
      </c>
      <c r="P506" s="19">
        <f t="shared" si="1012"/>
        <v>0</v>
      </c>
      <c r="Q506" s="19">
        <f t="shared" ref="Q506:S506" si="1022">Q588-P588</f>
        <v>626</v>
      </c>
      <c r="R506" s="19">
        <f t="shared" si="1022"/>
        <v>330</v>
      </c>
      <c r="S506" s="19">
        <f t="shared" si="1022"/>
        <v>-956</v>
      </c>
      <c r="T506" s="62">
        <f t="shared" si="1014"/>
        <v>0</v>
      </c>
      <c r="U506" s="19">
        <f t="shared" si="1015"/>
        <v>404</v>
      </c>
      <c r="V506" s="19">
        <f t="shared" ref="V506:X506" si="1023">V588-U588</f>
        <v>499</v>
      </c>
      <c r="W506" s="19">
        <f t="shared" si="1023"/>
        <v>560</v>
      </c>
      <c r="X506" s="19">
        <f t="shared" si="1023"/>
        <v>-1463</v>
      </c>
      <c r="Y506" s="62">
        <f t="shared" si="1017"/>
        <v>0</v>
      </c>
      <c r="Z506" s="19">
        <f t="shared" si="1018"/>
        <v>548</v>
      </c>
      <c r="AA506" s="19">
        <f t="shared" si="1019"/>
        <v>559</v>
      </c>
      <c r="AB506" s="19">
        <f t="shared" si="1019"/>
        <v>644</v>
      </c>
      <c r="AC506" s="594">
        <v>0</v>
      </c>
      <c r="AD506" s="76">
        <f t="shared" si="1020"/>
        <v>1751</v>
      </c>
      <c r="AE506" s="594">
        <v>0</v>
      </c>
      <c r="AF506" s="594">
        <v>0</v>
      </c>
      <c r="AG506" s="594">
        <v>0</v>
      </c>
      <c r="AH506" s="594">
        <v>0</v>
      </c>
      <c r="AJ506" s="594">
        <v>0</v>
      </c>
      <c r="AK506" s="594">
        <v>0</v>
      </c>
      <c r="AL506" s="594">
        <v>0</v>
      </c>
      <c r="AM506" s="594">
        <v>0</v>
      </c>
      <c r="AO506" s="594">
        <v>0</v>
      </c>
      <c r="AP506" s="594">
        <v>0</v>
      </c>
      <c r="AQ506" s="594">
        <v>0</v>
      </c>
      <c r="AR506" s="594">
        <v>0</v>
      </c>
      <c r="AS506" s="76">
        <f t="shared" si="1021"/>
        <v>0</v>
      </c>
    </row>
    <row r="507" spans="1:269">
      <c r="A507" s="319" t="s">
        <v>341</v>
      </c>
      <c r="C507" s="62"/>
      <c r="D507" s="62"/>
      <c r="E507" s="62"/>
      <c r="I507" s="19">
        <f t="shared" si="1009"/>
        <v>0</v>
      </c>
      <c r="J507" s="62"/>
      <c r="N507" s="19">
        <f t="shared" si="1010"/>
        <v>0</v>
      </c>
      <c r="O507" s="62">
        <f t="shared" si="1011"/>
        <v>0</v>
      </c>
      <c r="P507" s="19">
        <f t="shared" si="1012"/>
        <v>0</v>
      </c>
      <c r="Q507" s="19">
        <f t="shared" ref="Q507:S507" si="1024">Q589-P589</f>
        <v>0</v>
      </c>
      <c r="R507" s="19">
        <f t="shared" si="1024"/>
        <v>0</v>
      </c>
      <c r="S507" s="19">
        <f t="shared" si="1024"/>
        <v>0</v>
      </c>
      <c r="T507" s="62">
        <f t="shared" si="1014"/>
        <v>0</v>
      </c>
      <c r="U507" s="19">
        <f t="shared" si="1015"/>
        <v>0</v>
      </c>
      <c r="V507" s="19">
        <f t="shared" ref="V507:X507" si="1025">V589-U589</f>
        <v>2282</v>
      </c>
      <c r="W507" s="19">
        <f t="shared" si="1025"/>
        <v>1265</v>
      </c>
      <c r="X507" s="19">
        <f t="shared" si="1025"/>
        <v>1014</v>
      </c>
      <c r="Y507" s="62">
        <f t="shared" si="1017"/>
        <v>4561</v>
      </c>
      <c r="Z507" s="19">
        <f t="shared" si="1018"/>
        <v>1058</v>
      </c>
      <c r="AA507" s="19">
        <f t="shared" si="1019"/>
        <v>1056</v>
      </c>
      <c r="AB507" s="19">
        <f t="shared" si="1019"/>
        <v>1058</v>
      </c>
      <c r="AC507" s="594">
        <v>0</v>
      </c>
      <c r="AD507" s="76">
        <f t="shared" si="1020"/>
        <v>3172</v>
      </c>
      <c r="AE507" s="594">
        <v>0</v>
      </c>
      <c r="AF507" s="594">
        <v>0</v>
      </c>
      <c r="AG507" s="594">
        <v>0</v>
      </c>
      <c r="AH507" s="594">
        <v>0</v>
      </c>
      <c r="AJ507" s="594">
        <v>0</v>
      </c>
      <c r="AK507" s="594">
        <v>0</v>
      </c>
      <c r="AL507" s="594">
        <v>0</v>
      </c>
      <c r="AM507" s="594">
        <v>0</v>
      </c>
      <c r="AO507" s="594">
        <v>0</v>
      </c>
      <c r="AP507" s="594">
        <v>0</v>
      </c>
      <c r="AQ507" s="594">
        <v>0</v>
      </c>
      <c r="AR507" s="594">
        <v>0</v>
      </c>
      <c r="AS507" s="76">
        <f t="shared" si="1021"/>
        <v>0</v>
      </c>
    </row>
    <row r="508" spans="1:269">
      <c r="A508" s="319" t="s">
        <v>342</v>
      </c>
      <c r="C508" s="62"/>
      <c r="D508" s="62"/>
      <c r="E508" s="62"/>
      <c r="I508" s="19">
        <f t="shared" si="1009"/>
        <v>0</v>
      </c>
      <c r="J508" s="62"/>
      <c r="N508" s="19">
        <f t="shared" si="1010"/>
        <v>0</v>
      </c>
      <c r="O508" s="62">
        <f t="shared" si="1011"/>
        <v>0</v>
      </c>
      <c r="P508" s="19">
        <f t="shared" si="1012"/>
        <v>0</v>
      </c>
      <c r="Q508" s="19">
        <f t="shared" ref="Q508:S508" si="1026">Q590-P590</f>
        <v>0</v>
      </c>
      <c r="R508" s="19">
        <f t="shared" si="1026"/>
        <v>0</v>
      </c>
      <c r="S508" s="19">
        <f t="shared" si="1026"/>
        <v>3352</v>
      </c>
      <c r="T508" s="62">
        <f t="shared" si="1014"/>
        <v>3352</v>
      </c>
      <c r="U508" s="19">
        <f t="shared" si="1015"/>
        <v>1055</v>
      </c>
      <c r="V508" s="19">
        <f t="shared" ref="V508:X508" si="1027">V590-U590</f>
        <v>-1055</v>
      </c>
      <c r="W508" s="19">
        <f t="shared" si="1027"/>
        <v>0</v>
      </c>
      <c r="X508" s="19">
        <f t="shared" si="1027"/>
        <v>0</v>
      </c>
      <c r="Y508" s="62">
        <f t="shared" si="1017"/>
        <v>0</v>
      </c>
      <c r="Z508" s="19">
        <f t="shared" si="1018"/>
        <v>0</v>
      </c>
      <c r="AA508" s="19">
        <f t="shared" si="1019"/>
        <v>0</v>
      </c>
      <c r="AB508" s="19">
        <f t="shared" si="1019"/>
        <v>0</v>
      </c>
      <c r="AC508" s="594">
        <v>0</v>
      </c>
      <c r="AD508" s="76">
        <f t="shared" si="1020"/>
        <v>0</v>
      </c>
      <c r="AE508" s="594">
        <v>0</v>
      </c>
      <c r="AF508" s="594">
        <v>0</v>
      </c>
      <c r="AG508" s="594">
        <v>0</v>
      </c>
      <c r="AH508" s="594">
        <v>0</v>
      </c>
      <c r="AJ508" s="594">
        <v>0</v>
      </c>
      <c r="AK508" s="594">
        <v>0</v>
      </c>
      <c r="AL508" s="594">
        <v>0</v>
      </c>
      <c r="AM508" s="594">
        <v>0</v>
      </c>
      <c r="AO508" s="594">
        <v>0</v>
      </c>
      <c r="AP508" s="594">
        <v>0</v>
      </c>
      <c r="AQ508" s="594">
        <v>0</v>
      </c>
      <c r="AR508" s="594">
        <v>0</v>
      </c>
      <c r="AS508" s="76">
        <f t="shared" si="1021"/>
        <v>0</v>
      </c>
    </row>
    <row r="509" spans="1:269">
      <c r="A509" s="319" t="s">
        <v>343</v>
      </c>
      <c r="C509" s="62"/>
      <c r="D509" s="62"/>
      <c r="E509" s="62"/>
      <c r="I509" s="19">
        <f t="shared" si="1009"/>
        <v>3184</v>
      </c>
      <c r="J509" s="62"/>
      <c r="N509" s="19">
        <f t="shared" si="1010"/>
        <v>3184</v>
      </c>
      <c r="O509" s="62">
        <f t="shared" si="1011"/>
        <v>11849</v>
      </c>
      <c r="P509" s="19">
        <f t="shared" si="1012"/>
        <v>2921</v>
      </c>
      <c r="Q509" s="19">
        <f t="shared" ref="Q509:S509" si="1028">Q591-P591</f>
        <v>2308</v>
      </c>
      <c r="R509" s="19">
        <f t="shared" si="1028"/>
        <v>3155</v>
      </c>
      <c r="S509" s="19">
        <f t="shared" si="1028"/>
        <v>4913</v>
      </c>
      <c r="T509" s="62">
        <f t="shared" si="1014"/>
        <v>13297</v>
      </c>
      <c r="U509" s="19">
        <f t="shared" si="1015"/>
        <v>3174</v>
      </c>
      <c r="V509" s="19">
        <f t="shared" ref="V509:X509" si="1029">V591-U591</f>
        <v>3294</v>
      </c>
      <c r="W509" s="19">
        <f t="shared" si="1029"/>
        <v>3132</v>
      </c>
      <c r="X509" s="19">
        <f t="shared" si="1029"/>
        <v>5252</v>
      </c>
      <c r="Y509" s="62">
        <f t="shared" si="1017"/>
        <v>14852</v>
      </c>
      <c r="Z509" s="19">
        <f t="shared" si="1018"/>
        <v>0</v>
      </c>
      <c r="AA509" s="19">
        <f t="shared" si="1019"/>
        <v>0</v>
      </c>
      <c r="AB509" s="19">
        <f t="shared" si="1019"/>
        <v>0</v>
      </c>
      <c r="AC509" s="594">
        <v>0</v>
      </c>
      <c r="AD509" s="76">
        <f t="shared" si="1020"/>
        <v>0</v>
      </c>
      <c r="AE509" s="594">
        <v>0</v>
      </c>
      <c r="AF509" s="594">
        <v>0</v>
      </c>
      <c r="AG509" s="594">
        <v>0</v>
      </c>
      <c r="AH509" s="594">
        <v>0</v>
      </c>
      <c r="AJ509" s="594">
        <v>0</v>
      </c>
      <c r="AK509" s="594">
        <v>0</v>
      </c>
      <c r="AL509" s="594">
        <v>0</v>
      </c>
      <c r="AM509" s="594">
        <v>0</v>
      </c>
      <c r="AO509" s="594">
        <v>0</v>
      </c>
      <c r="AP509" s="594">
        <v>0</v>
      </c>
      <c r="AQ509" s="594">
        <v>0</v>
      </c>
      <c r="AR509" s="594">
        <v>0</v>
      </c>
      <c r="AS509" s="76">
        <f t="shared" si="1021"/>
        <v>0</v>
      </c>
    </row>
    <row r="510" spans="1:269">
      <c r="A510" s="319" t="s">
        <v>344</v>
      </c>
      <c r="C510" s="62"/>
      <c r="D510" s="62"/>
      <c r="E510" s="62"/>
      <c r="I510" s="19">
        <f t="shared" si="1009"/>
        <v>33</v>
      </c>
      <c r="J510" s="62"/>
      <c r="N510" s="19">
        <f t="shared" si="1010"/>
        <v>33</v>
      </c>
      <c r="O510" s="62">
        <f t="shared" si="1011"/>
        <v>132</v>
      </c>
      <c r="P510" s="19">
        <f t="shared" si="1012"/>
        <v>33</v>
      </c>
      <c r="Q510" s="19">
        <f t="shared" ref="Q510:S510" si="1030">Q592-P592</f>
        <v>33</v>
      </c>
      <c r="R510" s="19">
        <f t="shared" si="1030"/>
        <v>33</v>
      </c>
      <c r="S510" s="19">
        <f t="shared" si="1030"/>
        <v>48</v>
      </c>
      <c r="T510" s="62">
        <f t="shared" si="1014"/>
        <v>147</v>
      </c>
      <c r="U510" s="19">
        <f t="shared" si="1015"/>
        <v>135</v>
      </c>
      <c r="V510" s="19">
        <f t="shared" ref="V510:X510" si="1031">V592-U592</f>
        <v>145</v>
      </c>
      <c r="W510" s="19">
        <f t="shared" si="1031"/>
        <v>245</v>
      </c>
      <c r="X510" s="19">
        <f t="shared" si="1031"/>
        <v>332</v>
      </c>
      <c r="Y510" s="62">
        <f t="shared" si="1017"/>
        <v>857</v>
      </c>
      <c r="Z510" s="19">
        <f t="shared" si="1018"/>
        <v>0</v>
      </c>
      <c r="AA510" s="19">
        <f t="shared" si="1019"/>
        <v>0</v>
      </c>
      <c r="AB510" s="19">
        <f t="shared" si="1019"/>
        <v>0</v>
      </c>
      <c r="AC510" s="594">
        <v>0</v>
      </c>
      <c r="AD510" s="76">
        <f t="shared" si="1020"/>
        <v>0</v>
      </c>
      <c r="AE510" s="594">
        <v>0</v>
      </c>
      <c r="AF510" s="594">
        <v>0</v>
      </c>
      <c r="AG510" s="594">
        <v>0</v>
      </c>
      <c r="AH510" s="594">
        <v>0</v>
      </c>
      <c r="AJ510" s="594">
        <v>0</v>
      </c>
      <c r="AK510" s="594">
        <v>0</v>
      </c>
      <c r="AL510" s="594">
        <v>0</v>
      </c>
      <c r="AM510" s="594">
        <v>0</v>
      </c>
      <c r="AO510" s="594">
        <v>0</v>
      </c>
      <c r="AP510" s="594">
        <v>0</v>
      </c>
      <c r="AQ510" s="594">
        <v>0</v>
      </c>
      <c r="AR510" s="594">
        <v>0</v>
      </c>
      <c r="AS510" s="76">
        <f t="shared" si="1021"/>
        <v>0</v>
      </c>
    </row>
    <row r="511" spans="1:269">
      <c r="A511" s="319" t="s">
        <v>345</v>
      </c>
      <c r="C511" s="62"/>
      <c r="D511" s="62"/>
      <c r="E511" s="62"/>
      <c r="I511" s="19">
        <f t="shared" si="1009"/>
        <v>460</v>
      </c>
      <c r="J511" s="62"/>
      <c r="N511" s="19">
        <f t="shared" si="1010"/>
        <v>460</v>
      </c>
      <c r="O511" s="62">
        <f t="shared" si="1011"/>
        <v>1515</v>
      </c>
      <c r="P511" s="19">
        <f t="shared" si="1012"/>
        <v>394</v>
      </c>
      <c r="Q511" s="19">
        <f t="shared" ref="Q511:S511" si="1032">Q593-P593</f>
        <v>2412</v>
      </c>
      <c r="R511" s="19">
        <f t="shared" si="1032"/>
        <v>199</v>
      </c>
      <c r="S511" s="19">
        <f t="shared" si="1032"/>
        <v>1056</v>
      </c>
      <c r="T511" s="62">
        <f t="shared" si="1014"/>
        <v>4061</v>
      </c>
      <c r="U511" s="19">
        <f t="shared" si="1015"/>
        <v>0</v>
      </c>
      <c r="V511" s="19">
        <f t="shared" ref="V511:X511" si="1033">V593-U593</f>
        <v>0</v>
      </c>
      <c r="W511" s="19">
        <f t="shared" si="1033"/>
        <v>0</v>
      </c>
      <c r="X511" s="19">
        <f t="shared" si="1033"/>
        <v>4229</v>
      </c>
      <c r="Y511" s="62">
        <f t="shared" si="1017"/>
        <v>4229</v>
      </c>
      <c r="Z511" s="19">
        <f t="shared" si="1018"/>
        <v>0</v>
      </c>
      <c r="AA511" s="19">
        <f t="shared" si="1019"/>
        <v>0</v>
      </c>
      <c r="AB511" s="19">
        <f t="shared" si="1019"/>
        <v>0</v>
      </c>
      <c r="AC511" s="594">
        <v>0</v>
      </c>
      <c r="AD511" s="76">
        <f t="shared" si="1020"/>
        <v>0</v>
      </c>
      <c r="AE511" s="594">
        <v>0</v>
      </c>
      <c r="AF511" s="594">
        <v>0</v>
      </c>
      <c r="AG511" s="594">
        <v>0</v>
      </c>
      <c r="AH511" s="594">
        <v>0</v>
      </c>
      <c r="AJ511" s="594">
        <v>0</v>
      </c>
      <c r="AK511" s="594">
        <v>0</v>
      </c>
      <c r="AL511" s="594">
        <v>0</v>
      </c>
      <c r="AM511" s="594">
        <v>0</v>
      </c>
      <c r="AO511" s="594">
        <v>0</v>
      </c>
      <c r="AP511" s="594">
        <v>0</v>
      </c>
      <c r="AQ511" s="594">
        <v>0</v>
      </c>
      <c r="AR511" s="594">
        <v>0</v>
      </c>
      <c r="AS511" s="76">
        <f t="shared" si="1021"/>
        <v>0</v>
      </c>
    </row>
    <row r="512" spans="1:269">
      <c r="A512" s="319" t="s">
        <v>354</v>
      </c>
      <c r="C512" s="62"/>
      <c r="D512" s="62"/>
      <c r="E512" s="62"/>
      <c r="I512" s="19">
        <f t="shared" si="1009"/>
        <v>0</v>
      </c>
      <c r="J512" s="62"/>
      <c r="N512" s="19">
        <f t="shared" si="1010"/>
        <v>0</v>
      </c>
      <c r="O512" s="62">
        <f t="shared" si="1011"/>
        <v>0</v>
      </c>
      <c r="P512" s="19">
        <f t="shared" si="1012"/>
        <v>0</v>
      </c>
      <c r="Q512" s="19">
        <f t="shared" ref="Q512:S512" si="1034">Q594-P594</f>
        <v>0</v>
      </c>
      <c r="R512" s="19">
        <f t="shared" si="1034"/>
        <v>0</v>
      </c>
      <c r="S512" s="19">
        <f t="shared" si="1034"/>
        <v>0</v>
      </c>
      <c r="T512" s="62">
        <f t="shared" si="1014"/>
        <v>0</v>
      </c>
      <c r="U512" s="19">
        <f t="shared" si="1015"/>
        <v>1057</v>
      </c>
      <c r="V512" s="19">
        <f t="shared" ref="V512:X512" si="1035">V594-U594</f>
        <v>1057</v>
      </c>
      <c r="W512" s="19">
        <f t="shared" si="1035"/>
        <v>1058</v>
      </c>
      <c r="X512" s="19">
        <f t="shared" si="1035"/>
        <v>-3172</v>
      </c>
      <c r="Y512" s="62">
        <f t="shared" si="1017"/>
        <v>0</v>
      </c>
      <c r="Z512" s="19">
        <f t="shared" si="1018"/>
        <v>0</v>
      </c>
      <c r="AA512" s="19">
        <f t="shared" si="1019"/>
        <v>0</v>
      </c>
      <c r="AB512" s="19">
        <f t="shared" si="1019"/>
        <v>0</v>
      </c>
      <c r="AC512" s="594">
        <v>0</v>
      </c>
      <c r="AD512" s="76">
        <f t="shared" si="1020"/>
        <v>0</v>
      </c>
      <c r="AE512" s="594">
        <v>0</v>
      </c>
      <c r="AF512" s="594">
        <v>0</v>
      </c>
      <c r="AG512" s="594">
        <v>0</v>
      </c>
      <c r="AH512" s="594">
        <v>0</v>
      </c>
      <c r="AJ512" s="594">
        <v>0</v>
      </c>
      <c r="AK512" s="594">
        <v>0</v>
      </c>
      <c r="AL512" s="594">
        <v>0</v>
      </c>
      <c r="AM512" s="594">
        <v>0</v>
      </c>
      <c r="AO512" s="594">
        <v>0</v>
      </c>
      <c r="AP512" s="594">
        <v>0</v>
      </c>
      <c r="AQ512" s="594">
        <v>0</v>
      </c>
      <c r="AR512" s="594">
        <v>0</v>
      </c>
      <c r="AS512" s="76">
        <f t="shared" si="1021"/>
        <v>0</v>
      </c>
    </row>
    <row r="513" spans="1:45">
      <c r="A513" s="319"/>
      <c r="C513" s="62"/>
      <c r="D513" s="62"/>
      <c r="E513" s="62"/>
      <c r="I513" s="19"/>
      <c r="J513" s="62"/>
      <c r="N513" s="19"/>
      <c r="O513" s="62"/>
      <c r="P513" s="19"/>
      <c r="Q513" s="19"/>
      <c r="R513" s="19"/>
      <c r="S513" s="19"/>
      <c r="T513" s="62"/>
      <c r="U513" s="19"/>
      <c r="V513" s="19"/>
      <c r="W513" s="19"/>
      <c r="X513" s="19"/>
      <c r="Y513" s="62"/>
      <c r="Z513" s="19"/>
      <c r="AA513" s="19"/>
      <c r="AB513" s="19"/>
      <c r="AC513" s="545"/>
    </row>
    <row r="514" spans="1:45">
      <c r="A514" s="281" t="s">
        <v>346</v>
      </c>
      <c r="C514" s="62"/>
      <c r="D514" s="62"/>
      <c r="E514" s="62"/>
      <c r="I514" s="19">
        <f t="shared" ref="I514:I524" si="1036">I596-H596</f>
        <v>37</v>
      </c>
      <c r="J514" s="62"/>
      <c r="N514" s="19">
        <f t="shared" ref="N514:N524" si="1037">N596-M596</f>
        <v>37</v>
      </c>
      <c r="O514" s="62">
        <f t="shared" ref="O514:O524" si="1038">N596</f>
        <v>363</v>
      </c>
      <c r="P514" s="19">
        <f t="shared" ref="P514:P524" si="1039">P596</f>
        <v>34</v>
      </c>
      <c r="Q514" s="19">
        <f t="shared" ref="Q514:S514" si="1040">Q596-P596</f>
        <v>3508</v>
      </c>
      <c r="R514" s="19">
        <f t="shared" si="1040"/>
        <v>5082</v>
      </c>
      <c r="S514" s="19">
        <f t="shared" si="1040"/>
        <v>3794</v>
      </c>
      <c r="T514" s="62">
        <f t="shared" ref="T514:T524" si="1041">S596</f>
        <v>12418</v>
      </c>
      <c r="U514" s="19">
        <f t="shared" ref="U514:U524" si="1042">U596</f>
        <v>7049</v>
      </c>
      <c r="V514" s="19">
        <f t="shared" ref="V514:X514" si="1043">V596-U596</f>
        <v>6378</v>
      </c>
      <c r="W514" s="19">
        <f t="shared" si="1043"/>
        <v>7449</v>
      </c>
      <c r="X514" s="19">
        <f t="shared" si="1043"/>
        <v>7619</v>
      </c>
      <c r="Y514" s="62">
        <f t="shared" ref="Y514:Y524" si="1044">X596</f>
        <v>28495</v>
      </c>
      <c r="Z514" s="19">
        <f t="shared" ref="Z514:Z524" si="1045">Z596</f>
        <v>3577</v>
      </c>
      <c r="AA514" s="19">
        <f t="shared" ref="AA514:AB524" si="1046">AA596-Z596</f>
        <v>8524</v>
      </c>
      <c r="AB514" s="19">
        <f t="shared" si="1046"/>
        <v>8185</v>
      </c>
      <c r="AC514" s="19">
        <f>AC237*1000</f>
        <v>3645.6383324068929</v>
      </c>
      <c r="AD514" s="76">
        <f t="shared" ref="AD514:AD523" si="1047">SUM(Z514:AC514)</f>
        <v>23931.638332406892</v>
      </c>
      <c r="AE514" s="19">
        <f>AE237*1000</f>
        <v>2626.6810386308066</v>
      </c>
      <c r="AF514" s="19">
        <f>AF237*1000</f>
        <v>2688.2931355378819</v>
      </c>
      <c r="AG514" s="19">
        <f>AG237*1000</f>
        <v>4040.1995385997766</v>
      </c>
      <c r="AH514" s="19">
        <f>AH237*1000</f>
        <v>4740.8653497021123</v>
      </c>
      <c r="AI514" s="76">
        <f t="shared" ref="AI514:AI524" si="1048">SUM(AE514:AH514)</f>
        <v>14096.039062470576</v>
      </c>
      <c r="AJ514" s="19">
        <f>AJ237*1000</f>
        <v>4648.3405776108038</v>
      </c>
      <c r="AK514" s="19">
        <f>AK237*1000</f>
        <v>5688.2587716227272</v>
      </c>
      <c r="AL514" s="19">
        <f>AL237*1000</f>
        <v>5505.1606665403542</v>
      </c>
      <c r="AM514" s="19">
        <f>AM237*1000</f>
        <v>6013.1044049979419</v>
      </c>
      <c r="AN514" s="76">
        <f t="shared" ref="AN514:AN524" si="1049">SUM(AJ514:AM514)</f>
        <v>21854.864420771828</v>
      </c>
      <c r="AO514" s="19">
        <f>AO237*1000</f>
        <v>5448.8835216159905</v>
      </c>
      <c r="AP514" s="19">
        <f>AP237*1000</f>
        <v>6479.1527298651508</v>
      </c>
      <c r="AQ514" s="19">
        <f>AQ237*1000</f>
        <v>6097.2619060805082</v>
      </c>
      <c r="AR514" s="19">
        <f>AR237*1000</f>
        <v>7112.8078120651535</v>
      </c>
      <c r="AS514" s="76">
        <f t="shared" ref="AS514:AS524" si="1050">SUM(AO514:AR514)</f>
        <v>25138.105969626806</v>
      </c>
    </row>
    <row r="515" spans="1:45">
      <c r="A515" s="281" t="s">
        <v>340</v>
      </c>
      <c r="C515" s="62"/>
      <c r="D515" s="62"/>
      <c r="E515" s="62"/>
      <c r="I515" s="19">
        <f t="shared" si="1036"/>
        <v>-457</v>
      </c>
      <c r="J515" s="62"/>
      <c r="N515" s="19">
        <f t="shared" si="1037"/>
        <v>-457</v>
      </c>
      <c r="O515" s="62">
        <f t="shared" si="1038"/>
        <v>1442</v>
      </c>
      <c r="P515" s="19">
        <f t="shared" si="1039"/>
        <v>19</v>
      </c>
      <c r="Q515" s="19">
        <f t="shared" ref="Q515:S515" si="1051">Q597-P597</f>
        <v>627</v>
      </c>
      <c r="R515" s="19">
        <f t="shared" si="1051"/>
        <v>112</v>
      </c>
      <c r="S515" s="19">
        <f t="shared" si="1051"/>
        <v>96</v>
      </c>
      <c r="T515" s="62">
        <f t="shared" si="1041"/>
        <v>854</v>
      </c>
      <c r="U515" s="19">
        <f t="shared" si="1042"/>
        <v>229</v>
      </c>
      <c r="V515" s="19">
        <f t="shared" ref="V515:X515" si="1052">V597-U597</f>
        <v>206</v>
      </c>
      <c r="W515" s="19">
        <f t="shared" si="1052"/>
        <v>1235</v>
      </c>
      <c r="X515" s="19">
        <f t="shared" si="1052"/>
        <v>-48</v>
      </c>
      <c r="Y515" s="62">
        <f t="shared" si="1044"/>
        <v>1622</v>
      </c>
      <c r="Z515" s="19">
        <f t="shared" si="1045"/>
        <v>1093</v>
      </c>
      <c r="AA515" s="19">
        <f t="shared" si="1046"/>
        <v>287</v>
      </c>
      <c r="AB515" s="19">
        <f t="shared" si="1046"/>
        <v>1380</v>
      </c>
      <c r="AC515" s="594">
        <v>0</v>
      </c>
      <c r="AD515" s="76">
        <f t="shared" si="1047"/>
        <v>2760</v>
      </c>
      <c r="AE515" s="594">
        <v>0</v>
      </c>
      <c r="AF515" s="594">
        <v>0</v>
      </c>
      <c r="AG515" s="594">
        <v>0</v>
      </c>
      <c r="AH515" s="594">
        <v>0</v>
      </c>
      <c r="AI515" s="76">
        <f t="shared" si="1048"/>
        <v>0</v>
      </c>
      <c r="AJ515" s="594">
        <v>0</v>
      </c>
      <c r="AK515" s="594">
        <v>0</v>
      </c>
      <c r="AL515" s="594">
        <v>0</v>
      </c>
      <c r="AM515" s="594">
        <v>0</v>
      </c>
      <c r="AN515" s="76">
        <f t="shared" si="1049"/>
        <v>0</v>
      </c>
      <c r="AO515" s="594">
        <v>0</v>
      </c>
      <c r="AP515" s="594">
        <v>0</v>
      </c>
      <c r="AQ515" s="594">
        <v>0</v>
      </c>
      <c r="AR515" s="594">
        <v>0</v>
      </c>
      <c r="AS515" s="76">
        <f t="shared" si="1050"/>
        <v>0</v>
      </c>
    </row>
    <row r="516" spans="1:45">
      <c r="A516" s="281" t="s">
        <v>348</v>
      </c>
      <c r="C516" s="62"/>
      <c r="D516" s="62"/>
      <c r="E516" s="62"/>
      <c r="I516" s="19">
        <f t="shared" si="1036"/>
        <v>0</v>
      </c>
      <c r="J516" s="62"/>
      <c r="N516" s="19">
        <f t="shared" si="1037"/>
        <v>0</v>
      </c>
      <c r="O516" s="62">
        <f t="shared" si="1038"/>
        <v>-384</v>
      </c>
      <c r="P516" s="19">
        <f t="shared" si="1039"/>
        <v>0</v>
      </c>
      <c r="Q516" s="19">
        <f t="shared" ref="Q516:S516" si="1053">Q598-P598</f>
        <v>0</v>
      </c>
      <c r="R516" s="19">
        <f t="shared" si="1053"/>
        <v>0</v>
      </c>
      <c r="S516" s="19">
        <f t="shared" si="1053"/>
        <v>0</v>
      </c>
      <c r="T516" s="62">
        <f t="shared" si="1041"/>
        <v>0</v>
      </c>
      <c r="U516" s="19">
        <f t="shared" si="1042"/>
        <v>0</v>
      </c>
      <c r="V516" s="19">
        <f t="shared" ref="V516:X516" si="1054">V598-U598</f>
        <v>0</v>
      </c>
      <c r="W516" s="19">
        <f t="shared" si="1054"/>
        <v>0</v>
      </c>
      <c r="X516" s="19">
        <f t="shared" si="1054"/>
        <v>0</v>
      </c>
      <c r="Y516" s="62">
        <f t="shared" si="1044"/>
        <v>0</v>
      </c>
      <c r="Z516" s="19">
        <f t="shared" si="1045"/>
        <v>0</v>
      </c>
      <c r="AA516" s="19">
        <f t="shared" si="1046"/>
        <v>0</v>
      </c>
      <c r="AB516" s="19">
        <f t="shared" si="1046"/>
        <v>0</v>
      </c>
      <c r="AC516" s="594">
        <v>0</v>
      </c>
      <c r="AD516" s="76">
        <f t="shared" si="1047"/>
        <v>0</v>
      </c>
      <c r="AE516" s="594">
        <v>0</v>
      </c>
      <c r="AF516" s="594">
        <v>0</v>
      </c>
      <c r="AG516" s="594">
        <v>0</v>
      </c>
      <c r="AH516" s="594">
        <v>0</v>
      </c>
      <c r="AI516" s="76">
        <f t="shared" si="1048"/>
        <v>0</v>
      </c>
      <c r="AJ516" s="594">
        <v>0</v>
      </c>
      <c r="AK516" s="594">
        <v>0</v>
      </c>
      <c r="AL516" s="594">
        <v>0</v>
      </c>
      <c r="AM516" s="594">
        <v>0</v>
      </c>
      <c r="AN516" s="76">
        <f t="shared" si="1049"/>
        <v>0</v>
      </c>
      <c r="AO516" s="594">
        <v>0</v>
      </c>
      <c r="AP516" s="594">
        <v>0</v>
      </c>
      <c r="AQ516" s="594">
        <v>0</v>
      </c>
      <c r="AR516" s="594">
        <v>0</v>
      </c>
      <c r="AS516" s="76">
        <f t="shared" si="1050"/>
        <v>0</v>
      </c>
    </row>
    <row r="517" spans="1:45">
      <c r="A517" s="281" t="s">
        <v>349</v>
      </c>
      <c r="C517" s="62"/>
      <c r="D517" s="62"/>
      <c r="E517" s="62"/>
      <c r="I517" s="19">
        <f t="shared" si="1036"/>
        <v>133</v>
      </c>
      <c r="J517" s="62"/>
      <c r="N517" s="19">
        <f t="shared" si="1037"/>
        <v>133</v>
      </c>
      <c r="O517" s="62">
        <f t="shared" si="1038"/>
        <v>110</v>
      </c>
      <c r="P517" s="19">
        <f t="shared" si="1039"/>
        <v>0</v>
      </c>
      <c r="Q517" s="19">
        <f t="shared" ref="Q517:S517" si="1055">Q599-P599</f>
        <v>0</v>
      </c>
      <c r="R517" s="19">
        <f t="shared" si="1055"/>
        <v>0</v>
      </c>
      <c r="S517" s="19">
        <f t="shared" si="1055"/>
        <v>0</v>
      </c>
      <c r="T517" s="62">
        <f t="shared" si="1041"/>
        <v>0</v>
      </c>
      <c r="U517" s="19">
        <f t="shared" si="1042"/>
        <v>829</v>
      </c>
      <c r="V517" s="19">
        <f t="shared" ref="V517:X517" si="1056">V599-U599</f>
        <v>159</v>
      </c>
      <c r="W517" s="19">
        <f t="shared" si="1056"/>
        <v>3709</v>
      </c>
      <c r="X517" s="19">
        <f t="shared" si="1056"/>
        <v>542</v>
      </c>
      <c r="Y517" s="62">
        <f t="shared" si="1044"/>
        <v>5239</v>
      </c>
      <c r="Z517" s="19">
        <f t="shared" si="1045"/>
        <v>0</v>
      </c>
      <c r="AA517" s="19">
        <f t="shared" si="1046"/>
        <v>0</v>
      </c>
      <c r="AB517" s="19">
        <f t="shared" si="1046"/>
        <v>0</v>
      </c>
      <c r="AC517" s="594">
        <v>0</v>
      </c>
      <c r="AD517" s="76">
        <f t="shared" si="1047"/>
        <v>0</v>
      </c>
      <c r="AE517" s="594">
        <v>0</v>
      </c>
      <c r="AF517" s="594">
        <v>0</v>
      </c>
      <c r="AG517" s="594">
        <v>0</v>
      </c>
      <c r="AH517" s="594">
        <v>0</v>
      </c>
      <c r="AI517" s="76">
        <f t="shared" si="1048"/>
        <v>0</v>
      </c>
      <c r="AJ517" s="594">
        <v>0</v>
      </c>
      <c r="AK517" s="594">
        <v>0</v>
      </c>
      <c r="AL517" s="594">
        <v>0</v>
      </c>
      <c r="AM517" s="594">
        <v>0</v>
      </c>
      <c r="AN517" s="76">
        <f t="shared" si="1049"/>
        <v>0</v>
      </c>
      <c r="AO517" s="594">
        <v>0</v>
      </c>
      <c r="AP517" s="594">
        <v>0</v>
      </c>
      <c r="AQ517" s="594">
        <v>0</v>
      </c>
      <c r="AR517" s="594">
        <v>0</v>
      </c>
      <c r="AS517" s="76">
        <f t="shared" si="1050"/>
        <v>0</v>
      </c>
    </row>
    <row r="518" spans="1:45">
      <c r="A518" s="281" t="s">
        <v>350</v>
      </c>
      <c r="C518" s="62"/>
      <c r="D518" s="62"/>
      <c r="E518" s="62"/>
      <c r="I518" s="19">
        <f t="shared" si="1036"/>
        <v>2181</v>
      </c>
      <c r="J518" s="62"/>
      <c r="N518" s="19">
        <f t="shared" si="1037"/>
        <v>2181</v>
      </c>
      <c r="O518" s="62">
        <f t="shared" si="1038"/>
        <v>6119</v>
      </c>
      <c r="P518" s="19">
        <f t="shared" si="1039"/>
        <v>2182</v>
      </c>
      <c r="Q518" s="19">
        <f t="shared" ref="Q518:S518" si="1057">Q600-P600</f>
        <v>1948</v>
      </c>
      <c r="R518" s="19">
        <f t="shared" si="1057"/>
        <v>0</v>
      </c>
      <c r="S518" s="19">
        <f t="shared" si="1057"/>
        <v>0</v>
      </c>
      <c r="T518" s="62">
        <f t="shared" si="1041"/>
        <v>4130</v>
      </c>
      <c r="U518" s="19">
        <f t="shared" si="1042"/>
        <v>0</v>
      </c>
      <c r="V518" s="19">
        <f t="shared" ref="V518:X518" si="1058">V600-U600</f>
        <v>0</v>
      </c>
      <c r="W518" s="19">
        <f t="shared" si="1058"/>
        <v>0</v>
      </c>
      <c r="X518" s="19">
        <f t="shared" si="1058"/>
        <v>0</v>
      </c>
      <c r="Y518" s="62">
        <f t="shared" si="1044"/>
        <v>0</v>
      </c>
      <c r="Z518" s="19">
        <f t="shared" si="1045"/>
        <v>0</v>
      </c>
      <c r="AA518" s="19">
        <f t="shared" si="1046"/>
        <v>0</v>
      </c>
      <c r="AB518" s="19">
        <f t="shared" si="1046"/>
        <v>0</v>
      </c>
      <c r="AC518" s="594">
        <v>0</v>
      </c>
      <c r="AD518" s="76">
        <f t="shared" si="1047"/>
        <v>0</v>
      </c>
      <c r="AE518" s="594">
        <v>0</v>
      </c>
      <c r="AF518" s="594">
        <v>0</v>
      </c>
      <c r="AG518" s="594">
        <v>0</v>
      </c>
      <c r="AH518" s="594">
        <v>0</v>
      </c>
      <c r="AI518" s="76">
        <f t="shared" si="1048"/>
        <v>0</v>
      </c>
      <c r="AJ518" s="594">
        <v>0</v>
      </c>
      <c r="AK518" s="594">
        <v>0</v>
      </c>
      <c r="AL518" s="594">
        <v>0</v>
      </c>
      <c r="AM518" s="594">
        <v>0</v>
      </c>
      <c r="AN518" s="76">
        <f t="shared" si="1049"/>
        <v>0</v>
      </c>
      <c r="AO518" s="594">
        <v>0</v>
      </c>
      <c r="AP518" s="594">
        <v>0</v>
      </c>
      <c r="AQ518" s="594">
        <v>0</v>
      </c>
      <c r="AR518" s="594">
        <v>0</v>
      </c>
      <c r="AS518" s="76">
        <f t="shared" si="1050"/>
        <v>0</v>
      </c>
    </row>
    <row r="519" spans="1:45">
      <c r="A519" s="281" t="s">
        <v>351</v>
      </c>
      <c r="C519" s="62"/>
      <c r="D519" s="62"/>
      <c r="E519" s="62"/>
      <c r="I519" s="19">
        <f t="shared" si="1036"/>
        <v>-3389</v>
      </c>
      <c r="J519" s="62"/>
      <c r="N519" s="19">
        <f t="shared" si="1037"/>
        <v>-3389</v>
      </c>
      <c r="O519" s="62">
        <f t="shared" si="1038"/>
        <v>-4341</v>
      </c>
      <c r="P519" s="19">
        <f t="shared" si="1039"/>
        <v>-842</v>
      </c>
      <c r="Q519" s="19">
        <f t="shared" ref="Q519:S519" si="1059">Q601-P601</f>
        <v>-2629</v>
      </c>
      <c r="R519" s="19">
        <f t="shared" si="1059"/>
        <v>-1859</v>
      </c>
      <c r="S519" s="19">
        <f t="shared" si="1059"/>
        <v>1567</v>
      </c>
      <c r="T519" s="62">
        <f t="shared" si="1041"/>
        <v>-3763</v>
      </c>
      <c r="U519" s="19">
        <f t="shared" si="1042"/>
        <v>0</v>
      </c>
      <c r="V519" s="19">
        <f t="shared" ref="V519:X519" si="1060">V601-U601</f>
        <v>0</v>
      </c>
      <c r="W519" s="19">
        <f t="shared" si="1060"/>
        <v>32</v>
      </c>
      <c r="X519" s="19">
        <f t="shared" si="1060"/>
        <v>-1819</v>
      </c>
      <c r="Y519" s="62">
        <f t="shared" si="1044"/>
        <v>-1787</v>
      </c>
      <c r="Z519" s="19">
        <f t="shared" si="1045"/>
        <v>-279</v>
      </c>
      <c r="AA519" s="19">
        <f t="shared" si="1046"/>
        <v>279</v>
      </c>
      <c r="AB519" s="19">
        <f t="shared" si="1046"/>
        <v>0</v>
      </c>
      <c r="AC519" s="594">
        <v>0</v>
      </c>
      <c r="AD519" s="76">
        <f t="shared" si="1047"/>
        <v>0</v>
      </c>
      <c r="AE519" s="594">
        <v>0</v>
      </c>
      <c r="AF519" s="594">
        <v>0</v>
      </c>
      <c r="AG519" s="594">
        <v>0</v>
      </c>
      <c r="AH519" s="594">
        <v>0</v>
      </c>
      <c r="AI519" s="76">
        <f t="shared" si="1048"/>
        <v>0</v>
      </c>
      <c r="AJ519" s="594">
        <v>0</v>
      </c>
      <c r="AK519" s="594">
        <v>0</v>
      </c>
      <c r="AL519" s="594">
        <v>0</v>
      </c>
      <c r="AM519" s="594">
        <v>0</v>
      </c>
      <c r="AN519" s="76">
        <f t="shared" si="1049"/>
        <v>0</v>
      </c>
      <c r="AO519" s="594">
        <v>0</v>
      </c>
      <c r="AP519" s="594">
        <v>0</v>
      </c>
      <c r="AQ519" s="594">
        <v>0</v>
      </c>
      <c r="AR519" s="594">
        <v>0</v>
      </c>
      <c r="AS519" s="76">
        <f t="shared" si="1050"/>
        <v>0</v>
      </c>
    </row>
    <row r="520" spans="1:45">
      <c r="A520" s="281" t="s">
        <v>352</v>
      </c>
      <c r="C520" s="62"/>
      <c r="D520" s="62"/>
      <c r="E520" s="62"/>
      <c r="I520" s="19">
        <f t="shared" si="1036"/>
        <v>0</v>
      </c>
      <c r="J520" s="62"/>
      <c r="N520" s="19">
        <f t="shared" si="1037"/>
        <v>0</v>
      </c>
      <c r="O520" s="62">
        <f t="shared" si="1038"/>
        <v>0</v>
      </c>
      <c r="P520" s="19">
        <f t="shared" si="1039"/>
        <v>0</v>
      </c>
      <c r="Q520" s="19">
        <f t="shared" ref="Q520:S520" si="1061">Q602-P602</f>
        <v>36525</v>
      </c>
      <c r="R520" s="19">
        <f t="shared" si="1061"/>
        <v>10575</v>
      </c>
      <c r="S520" s="19">
        <f t="shared" si="1061"/>
        <v>0</v>
      </c>
      <c r="T520" s="62">
        <f t="shared" si="1041"/>
        <v>47100</v>
      </c>
      <c r="U520" s="19">
        <f t="shared" si="1042"/>
        <v>0</v>
      </c>
      <c r="V520" s="19">
        <f t="shared" ref="V520:X520" si="1062">V602-U602</f>
        <v>0</v>
      </c>
      <c r="W520" s="19">
        <f t="shared" si="1062"/>
        <v>0</v>
      </c>
      <c r="X520" s="19">
        <f t="shared" si="1062"/>
        <v>0</v>
      </c>
      <c r="Y520" s="62">
        <f t="shared" si="1044"/>
        <v>0</v>
      </c>
      <c r="Z520" s="19">
        <f t="shared" si="1045"/>
        <v>0</v>
      </c>
      <c r="AA520" s="19">
        <f t="shared" si="1046"/>
        <v>0</v>
      </c>
      <c r="AB520" s="19">
        <f t="shared" si="1046"/>
        <v>0</v>
      </c>
      <c r="AC520" s="594">
        <v>0</v>
      </c>
      <c r="AD520" s="76">
        <f t="shared" si="1047"/>
        <v>0</v>
      </c>
      <c r="AE520" s="594">
        <v>0</v>
      </c>
      <c r="AF520" s="594">
        <v>0</v>
      </c>
      <c r="AG520" s="594">
        <v>0</v>
      </c>
      <c r="AH520" s="594">
        <v>0</v>
      </c>
      <c r="AI520" s="76">
        <f t="shared" si="1048"/>
        <v>0</v>
      </c>
      <c r="AJ520" s="594">
        <v>0</v>
      </c>
      <c r="AK520" s="594">
        <v>0</v>
      </c>
      <c r="AL520" s="594">
        <v>0</v>
      </c>
      <c r="AM520" s="594">
        <v>0</v>
      </c>
      <c r="AN520" s="76">
        <f t="shared" si="1049"/>
        <v>0</v>
      </c>
      <c r="AO520" s="594">
        <v>0</v>
      </c>
      <c r="AP520" s="594">
        <v>0</v>
      </c>
      <c r="AQ520" s="594">
        <v>0</v>
      </c>
      <c r="AR520" s="594">
        <v>0</v>
      </c>
      <c r="AS520" s="76">
        <f t="shared" si="1050"/>
        <v>0</v>
      </c>
    </row>
    <row r="521" spans="1:45">
      <c r="A521" s="281" t="s">
        <v>353</v>
      </c>
      <c r="C521" s="62"/>
      <c r="D521" s="62"/>
      <c r="E521" s="62"/>
      <c r="I521" s="19">
        <f t="shared" si="1036"/>
        <v>0</v>
      </c>
      <c r="J521" s="62"/>
      <c r="N521" s="19">
        <f t="shared" si="1037"/>
        <v>0</v>
      </c>
      <c r="O521" s="62">
        <f t="shared" si="1038"/>
        <v>0</v>
      </c>
      <c r="P521" s="19">
        <f t="shared" si="1039"/>
        <v>0</v>
      </c>
      <c r="Q521" s="19">
        <f t="shared" ref="Q521:S521" si="1063">Q603-P603</f>
        <v>72027</v>
      </c>
      <c r="R521" s="19">
        <f t="shared" si="1063"/>
        <v>199306</v>
      </c>
      <c r="S521" s="19">
        <f t="shared" si="1063"/>
        <v>5982</v>
      </c>
      <c r="T521" s="62">
        <f t="shared" si="1041"/>
        <v>277315</v>
      </c>
      <c r="U521" s="19">
        <f t="shared" si="1042"/>
        <v>-52052</v>
      </c>
      <c r="V521" s="19">
        <f t="shared" ref="V521:X521" si="1064">V603-U603</f>
        <v>-15185</v>
      </c>
      <c r="W521" s="19">
        <f t="shared" si="1064"/>
        <v>-4284</v>
      </c>
      <c r="X521" s="19">
        <f t="shared" si="1064"/>
        <v>-6822</v>
      </c>
      <c r="Y521" s="62">
        <f t="shared" si="1044"/>
        <v>-78343</v>
      </c>
      <c r="Z521" s="19">
        <f t="shared" si="1045"/>
        <v>9076</v>
      </c>
      <c r="AA521" s="19">
        <f t="shared" si="1046"/>
        <v>-11585</v>
      </c>
      <c r="AB521" s="19">
        <f t="shared" si="1046"/>
        <v>-5855</v>
      </c>
      <c r="AC521" s="594">
        <v>0</v>
      </c>
      <c r="AD521" s="76">
        <f t="shared" si="1047"/>
        <v>-8364</v>
      </c>
      <c r="AE521" s="594">
        <v>0</v>
      </c>
      <c r="AF521" s="594">
        <v>0</v>
      </c>
      <c r="AG521" s="594">
        <v>0</v>
      </c>
      <c r="AH521" s="594">
        <v>0</v>
      </c>
      <c r="AI521" s="76">
        <f t="shared" si="1048"/>
        <v>0</v>
      </c>
      <c r="AJ521" s="594">
        <v>0</v>
      </c>
      <c r="AK521" s="594">
        <v>0</v>
      </c>
      <c r="AL521" s="594">
        <v>0</v>
      </c>
      <c r="AM521" s="594">
        <v>0</v>
      </c>
      <c r="AN521" s="76">
        <f t="shared" si="1049"/>
        <v>0</v>
      </c>
      <c r="AO521" s="594">
        <v>0</v>
      </c>
      <c r="AP521" s="594">
        <v>0</v>
      </c>
      <c r="AQ521" s="594">
        <v>0</v>
      </c>
      <c r="AR521" s="594">
        <v>0</v>
      </c>
      <c r="AS521" s="76">
        <f t="shared" si="1050"/>
        <v>0</v>
      </c>
    </row>
    <row r="522" spans="1:45">
      <c r="A522" s="281" t="s">
        <v>355</v>
      </c>
      <c r="C522" s="62"/>
      <c r="D522" s="62"/>
      <c r="E522" s="62"/>
      <c r="I522" s="19">
        <f t="shared" si="1036"/>
        <v>0</v>
      </c>
      <c r="J522" s="62"/>
      <c r="N522" s="19">
        <f t="shared" si="1037"/>
        <v>0</v>
      </c>
      <c r="O522" s="62">
        <f t="shared" si="1038"/>
        <v>0</v>
      </c>
      <c r="P522" s="19">
        <f t="shared" si="1039"/>
        <v>0</v>
      </c>
      <c r="Q522" s="19">
        <f t="shared" ref="Q522:S522" si="1065">Q604-P604</f>
        <v>2014</v>
      </c>
      <c r="R522" s="19">
        <f t="shared" si="1065"/>
        <v>0</v>
      </c>
      <c r="S522" s="19">
        <f t="shared" si="1065"/>
        <v>0</v>
      </c>
      <c r="T522" s="62">
        <f t="shared" si="1041"/>
        <v>2014</v>
      </c>
      <c r="U522" s="19">
        <f t="shared" si="1042"/>
        <v>0</v>
      </c>
      <c r="V522" s="19">
        <f t="shared" ref="V522:X522" si="1066">V604-U604</f>
        <v>0</v>
      </c>
      <c r="W522" s="19">
        <f t="shared" si="1066"/>
        <v>0</v>
      </c>
      <c r="X522" s="19">
        <f t="shared" si="1066"/>
        <v>0</v>
      </c>
      <c r="Y522" s="62">
        <f t="shared" si="1044"/>
        <v>0</v>
      </c>
      <c r="Z522" s="19">
        <f t="shared" si="1045"/>
        <v>0</v>
      </c>
      <c r="AA522" s="19">
        <f t="shared" si="1046"/>
        <v>0</v>
      </c>
      <c r="AB522" s="19">
        <f t="shared" si="1046"/>
        <v>0</v>
      </c>
      <c r="AC522" s="594">
        <v>0</v>
      </c>
      <c r="AD522" s="76">
        <f t="shared" si="1047"/>
        <v>0</v>
      </c>
      <c r="AE522" s="594">
        <v>0</v>
      </c>
      <c r="AF522" s="594">
        <v>0</v>
      </c>
      <c r="AG522" s="594">
        <v>0</v>
      </c>
      <c r="AH522" s="594">
        <v>0</v>
      </c>
      <c r="AI522" s="76">
        <f t="shared" si="1048"/>
        <v>0</v>
      </c>
      <c r="AJ522" s="594">
        <v>0</v>
      </c>
      <c r="AK522" s="594">
        <v>0</v>
      </c>
      <c r="AL522" s="594">
        <v>0</v>
      </c>
      <c r="AM522" s="594">
        <v>0</v>
      </c>
      <c r="AN522" s="76">
        <f t="shared" si="1049"/>
        <v>0</v>
      </c>
      <c r="AO522" s="594">
        <v>0</v>
      </c>
      <c r="AP522" s="594">
        <v>0</v>
      </c>
      <c r="AQ522" s="594">
        <v>0</v>
      </c>
      <c r="AR522" s="594">
        <v>0</v>
      </c>
      <c r="AS522" s="76">
        <f t="shared" si="1050"/>
        <v>0</v>
      </c>
    </row>
    <row r="523" spans="1:45">
      <c r="A523" s="281" t="s">
        <v>356</v>
      </c>
      <c r="C523" s="62"/>
      <c r="D523" s="62"/>
      <c r="E523" s="62"/>
      <c r="I523" s="19">
        <f t="shared" si="1036"/>
        <v>0</v>
      </c>
      <c r="J523" s="62"/>
      <c r="N523" s="19">
        <f t="shared" si="1037"/>
        <v>0</v>
      </c>
      <c r="O523" s="62">
        <f t="shared" si="1038"/>
        <v>0</v>
      </c>
      <c r="P523" s="19">
        <f t="shared" si="1039"/>
        <v>0</v>
      </c>
      <c r="Q523" s="19">
        <f t="shared" ref="Q523:S523" si="1067">Q605-P605</f>
        <v>0</v>
      </c>
      <c r="R523" s="19">
        <f t="shared" si="1067"/>
        <v>0</v>
      </c>
      <c r="S523" s="19">
        <f t="shared" si="1067"/>
        <v>0</v>
      </c>
      <c r="T523" s="62">
        <f t="shared" si="1041"/>
        <v>0</v>
      </c>
      <c r="U523" s="19">
        <f t="shared" si="1042"/>
        <v>0</v>
      </c>
      <c r="V523" s="19">
        <f t="shared" ref="V523:X523" si="1068">V605-U605</f>
        <v>0</v>
      </c>
      <c r="W523" s="19">
        <f t="shared" si="1068"/>
        <v>0</v>
      </c>
      <c r="X523" s="19">
        <f t="shared" si="1068"/>
        <v>2410</v>
      </c>
      <c r="Y523" s="62">
        <f t="shared" si="1044"/>
        <v>2410</v>
      </c>
      <c r="Z523" s="19">
        <f t="shared" si="1045"/>
        <v>0</v>
      </c>
      <c r="AA523" s="19">
        <f t="shared" si="1046"/>
        <v>0</v>
      </c>
      <c r="AB523" s="19">
        <f t="shared" si="1046"/>
        <v>0</v>
      </c>
      <c r="AC523" s="594">
        <v>0</v>
      </c>
      <c r="AD523" s="76">
        <f t="shared" si="1047"/>
        <v>0</v>
      </c>
      <c r="AE523" s="594">
        <v>0</v>
      </c>
      <c r="AF523" s="594">
        <v>0</v>
      </c>
      <c r="AG523" s="594">
        <v>0</v>
      </c>
      <c r="AH523" s="594">
        <v>0</v>
      </c>
      <c r="AI523" s="76">
        <f t="shared" si="1048"/>
        <v>0</v>
      </c>
      <c r="AJ523" s="594">
        <v>0</v>
      </c>
      <c r="AK523" s="594">
        <v>0</v>
      </c>
      <c r="AL523" s="594">
        <v>0</v>
      </c>
      <c r="AM523" s="594">
        <v>0</v>
      </c>
      <c r="AN523" s="76">
        <f t="shared" si="1049"/>
        <v>0</v>
      </c>
      <c r="AO523" s="594">
        <v>0</v>
      </c>
      <c r="AP523" s="594">
        <v>0</v>
      </c>
      <c r="AQ523" s="594">
        <v>0</v>
      </c>
      <c r="AR523" s="594">
        <v>0</v>
      </c>
      <c r="AS523" s="76">
        <f t="shared" si="1050"/>
        <v>0</v>
      </c>
    </row>
    <row r="524" spans="1:45">
      <c r="A524" s="281" t="s">
        <v>398</v>
      </c>
      <c r="C524" s="62"/>
      <c r="D524" s="62"/>
      <c r="E524" s="62"/>
      <c r="I524" s="19">
        <f t="shared" si="1036"/>
        <v>0</v>
      </c>
      <c r="J524" s="62"/>
      <c r="N524" s="19">
        <f t="shared" si="1037"/>
        <v>0</v>
      </c>
      <c r="O524" s="62">
        <f t="shared" si="1038"/>
        <v>0</v>
      </c>
      <c r="P524" s="19">
        <f t="shared" si="1039"/>
        <v>0</v>
      </c>
      <c r="Q524" s="19">
        <f t="shared" ref="Q524:S524" si="1069">Q606-P606</f>
        <v>0</v>
      </c>
      <c r="R524" s="19">
        <f t="shared" si="1069"/>
        <v>0</v>
      </c>
      <c r="S524" s="19">
        <f t="shared" si="1069"/>
        <v>0</v>
      </c>
      <c r="T524" s="62">
        <f t="shared" si="1041"/>
        <v>0</v>
      </c>
      <c r="U524" s="19">
        <f t="shared" si="1042"/>
        <v>0</v>
      </c>
      <c r="V524" s="19">
        <f t="shared" ref="V524:X524" si="1070">V606-U606</f>
        <v>0</v>
      </c>
      <c r="W524" s="19">
        <f t="shared" si="1070"/>
        <v>0</v>
      </c>
      <c r="X524" s="19">
        <f t="shared" si="1070"/>
        <v>0</v>
      </c>
      <c r="Y524" s="62">
        <f t="shared" si="1044"/>
        <v>0</v>
      </c>
      <c r="Z524" s="19">
        <f t="shared" si="1045"/>
        <v>1511</v>
      </c>
      <c r="AA524" s="19">
        <f t="shared" si="1046"/>
        <v>285</v>
      </c>
      <c r="AB524" s="19">
        <f t="shared" si="1046"/>
        <v>7101</v>
      </c>
      <c r="AC524" s="594">
        <v>0</v>
      </c>
      <c r="AD524" s="76">
        <f>SUM(Z524:AC524)</f>
        <v>8897</v>
      </c>
      <c r="AE524" s="594">
        <v>0</v>
      </c>
      <c r="AF524" s="594">
        <v>0</v>
      </c>
      <c r="AG524" s="594">
        <v>0</v>
      </c>
      <c r="AH524" s="594">
        <v>0</v>
      </c>
      <c r="AI524" s="76">
        <f t="shared" si="1048"/>
        <v>0</v>
      </c>
      <c r="AJ524" s="594">
        <v>0</v>
      </c>
      <c r="AK524" s="594">
        <v>0</v>
      </c>
      <c r="AL524" s="594">
        <v>0</v>
      </c>
      <c r="AM524" s="594">
        <v>0</v>
      </c>
      <c r="AN524" s="76">
        <f t="shared" si="1049"/>
        <v>0</v>
      </c>
      <c r="AO524" s="594">
        <v>0</v>
      </c>
      <c r="AP524" s="594">
        <v>0</v>
      </c>
      <c r="AQ524" s="594">
        <v>0</v>
      </c>
      <c r="AR524" s="594">
        <v>0</v>
      </c>
      <c r="AS524" s="76">
        <f t="shared" si="1050"/>
        <v>0</v>
      </c>
    </row>
    <row r="525" spans="1:45">
      <c r="A525" s="281"/>
      <c r="C525" s="62"/>
      <c r="D525" s="62"/>
      <c r="E525" s="62"/>
      <c r="I525" s="19"/>
      <c r="J525" s="62"/>
      <c r="N525" s="19"/>
      <c r="O525" s="62"/>
      <c r="P525" s="19"/>
      <c r="Q525" s="19"/>
      <c r="R525" s="19"/>
      <c r="S525" s="19"/>
      <c r="T525" s="62"/>
      <c r="U525" s="19"/>
      <c r="V525" s="19"/>
      <c r="W525" s="19"/>
      <c r="X525" s="19"/>
      <c r="Y525" s="62"/>
      <c r="Z525" s="19"/>
      <c r="AA525" s="19"/>
      <c r="AB525" s="19"/>
      <c r="AC525" s="545"/>
    </row>
    <row r="526" spans="1:45">
      <c r="A526" s="281" t="s">
        <v>357</v>
      </c>
      <c r="C526" s="62"/>
      <c r="D526" s="62"/>
      <c r="E526" s="62"/>
      <c r="I526" s="19"/>
      <c r="J526" s="62"/>
      <c r="N526" s="19"/>
      <c r="O526" s="62"/>
      <c r="P526" s="19"/>
      <c r="Q526" s="19"/>
      <c r="R526" s="19"/>
      <c r="S526" s="19"/>
      <c r="T526" s="62"/>
      <c r="U526" s="19"/>
      <c r="V526" s="19"/>
      <c r="W526" s="19"/>
      <c r="X526" s="19"/>
      <c r="Y526" s="62"/>
      <c r="Z526" s="19"/>
      <c r="AA526" s="19"/>
      <c r="AB526" s="19"/>
      <c r="AC526" s="545"/>
    </row>
    <row r="527" spans="1:45">
      <c r="A527" s="319" t="s">
        <v>358</v>
      </c>
      <c r="C527" s="62"/>
      <c r="D527" s="62"/>
      <c r="E527" s="62"/>
      <c r="I527" s="19">
        <f t="shared" ref="I527:I536" si="1071">I609-H609</f>
        <v>-354</v>
      </c>
      <c r="J527" s="62"/>
      <c r="N527" s="19">
        <f t="shared" ref="N527:N536" si="1072">N609-M609</f>
        <v>-354</v>
      </c>
      <c r="O527" s="62">
        <f t="shared" ref="O527:O536" si="1073">N609</f>
        <v>3701</v>
      </c>
      <c r="P527" s="19">
        <f t="shared" ref="P527:P536" si="1074">P609</f>
        <v>-8457</v>
      </c>
      <c r="Q527" s="19">
        <f t="shared" ref="Q527:S527" si="1075">Q609-P609</f>
        <v>-12632</v>
      </c>
      <c r="R527" s="19">
        <f t="shared" si="1075"/>
        <v>3799</v>
      </c>
      <c r="S527" s="19">
        <f t="shared" si="1075"/>
        <v>-13723</v>
      </c>
      <c r="T527" s="62">
        <f t="shared" ref="T527:T536" si="1076">S609</f>
        <v>-31013</v>
      </c>
      <c r="U527" s="19">
        <f t="shared" ref="U527:U536" si="1077">U609</f>
        <v>-14152</v>
      </c>
      <c r="V527" s="19">
        <f t="shared" ref="V527:X527" si="1078">V609-U609</f>
        <v>-20258</v>
      </c>
      <c r="W527" s="19">
        <f t="shared" si="1078"/>
        <v>-6220</v>
      </c>
      <c r="X527" s="19">
        <f t="shared" si="1078"/>
        <v>8605</v>
      </c>
      <c r="Y527" s="62">
        <f t="shared" ref="Y527:Y536" si="1079">X609</f>
        <v>-32025</v>
      </c>
      <c r="Z527" s="19">
        <f t="shared" ref="Z527:Z536" si="1080">Z609</f>
        <v>4793</v>
      </c>
      <c r="AA527" s="19">
        <f t="shared" ref="AA527:AB536" si="1081">AA609-Z609</f>
        <v>-4931</v>
      </c>
      <c r="AB527" s="19">
        <f t="shared" si="1081"/>
        <v>6145</v>
      </c>
      <c r="AC527" s="19">
        <f>AB440-AC440</f>
        <v>35551.113533140131</v>
      </c>
      <c r="AD527" s="76">
        <f t="shared" ref="AD527:AD536" si="1082">SUM(Z527:AC527)</f>
        <v>41558.113533140131</v>
      </c>
      <c r="AE527" s="19">
        <f t="shared" ref="AE527:AH527" si="1083">AD440-AE440</f>
        <v>562.19500190156396</v>
      </c>
      <c r="AF527" s="19">
        <f t="shared" si="1083"/>
        <v>-374.77848351487773</v>
      </c>
      <c r="AG527" s="19">
        <f t="shared" si="1083"/>
        <v>-15117.362182654892</v>
      </c>
      <c r="AH527" s="19">
        <f t="shared" si="1083"/>
        <v>-8010.0585513237384</v>
      </c>
      <c r="AI527" s="76">
        <f t="shared" ref="AI527:AI536" si="1084">SUM(AE527:AH527)</f>
        <v>-22940.004215591944</v>
      </c>
      <c r="AJ527" s="19">
        <f t="shared" ref="AJ527:AM527" si="1085">AI440-AJ440</f>
        <v>620.98111635762325</v>
      </c>
      <c r="AK527" s="19">
        <f t="shared" si="1085"/>
        <v>-11986.127545187315</v>
      </c>
      <c r="AL527" s="19">
        <f t="shared" si="1085"/>
        <v>2110.3941189188045</v>
      </c>
      <c r="AM527" s="19">
        <f t="shared" si="1085"/>
        <v>-5854.5743982455169</v>
      </c>
      <c r="AN527" s="76">
        <f t="shared" ref="AN527:AN536" si="1086">SUM(AJ527:AM527)</f>
        <v>-15109.326708156404</v>
      </c>
      <c r="AO527" s="19">
        <f t="shared" ref="AO527:AR527" si="1087">AN440-AO440</f>
        <v>6503.2264180164857</v>
      </c>
      <c r="AP527" s="19">
        <f t="shared" si="1087"/>
        <v>-11874.913052835771</v>
      </c>
      <c r="AQ527" s="19">
        <f t="shared" si="1087"/>
        <v>4401.6848138411442</v>
      </c>
      <c r="AR527" s="19">
        <f t="shared" si="1087"/>
        <v>-11705.211839947107</v>
      </c>
      <c r="AS527" s="76">
        <f t="shared" ref="AS527:AS536" si="1088">SUM(AO527:AR527)</f>
        <v>-12675.213660925248</v>
      </c>
    </row>
    <row r="528" spans="1:45">
      <c r="A528" s="319" t="s">
        <v>359</v>
      </c>
      <c r="C528" s="62"/>
      <c r="D528" s="62"/>
      <c r="E528" s="62"/>
      <c r="I528" s="19">
        <f t="shared" si="1071"/>
        <v>259</v>
      </c>
      <c r="J528" s="62"/>
      <c r="N528" s="19">
        <f t="shared" si="1072"/>
        <v>259</v>
      </c>
      <c r="O528" s="62">
        <f t="shared" si="1073"/>
        <v>489</v>
      </c>
      <c r="P528" s="19">
        <f t="shared" si="1074"/>
        <v>-975</v>
      </c>
      <c r="Q528" s="19">
        <f t="shared" ref="Q528:S528" si="1089">Q610-P610</f>
        <v>-587</v>
      </c>
      <c r="R528" s="19">
        <f t="shared" si="1089"/>
        <v>-2941</v>
      </c>
      <c r="S528" s="19">
        <f t="shared" si="1089"/>
        <v>-931</v>
      </c>
      <c r="T528" s="62">
        <f t="shared" si="1076"/>
        <v>-5434</v>
      </c>
      <c r="U528" s="19">
        <f t="shared" si="1077"/>
        <v>-2052</v>
      </c>
      <c r="V528" s="19">
        <f t="shared" ref="V528:X528" si="1090">V610-U610</f>
        <v>-7322</v>
      </c>
      <c r="W528" s="19">
        <f t="shared" si="1090"/>
        <v>-1783</v>
      </c>
      <c r="X528" s="19">
        <f t="shared" si="1090"/>
        <v>-5244</v>
      </c>
      <c r="Y528" s="62">
        <f t="shared" si="1079"/>
        <v>-16401</v>
      </c>
      <c r="Z528" s="19">
        <f t="shared" si="1080"/>
        <v>-203</v>
      </c>
      <c r="AA528" s="19">
        <f t="shared" si="1081"/>
        <v>-11985</v>
      </c>
      <c r="AB528" s="19">
        <f t="shared" si="1081"/>
        <v>-4010</v>
      </c>
      <c r="AC528" s="594">
        <v>0</v>
      </c>
      <c r="AD528" s="76">
        <f t="shared" si="1082"/>
        <v>-16198</v>
      </c>
      <c r="AE528" s="594">
        <v>0</v>
      </c>
      <c r="AF528" s="594">
        <v>0</v>
      </c>
      <c r="AG528" s="594">
        <v>0</v>
      </c>
      <c r="AH528" s="594">
        <v>0</v>
      </c>
      <c r="AI528" s="76">
        <f t="shared" si="1084"/>
        <v>0</v>
      </c>
      <c r="AJ528" s="594">
        <v>0</v>
      </c>
      <c r="AK528" s="594">
        <v>0</v>
      </c>
      <c r="AL528" s="594">
        <v>0</v>
      </c>
      <c r="AM528" s="594">
        <v>0</v>
      </c>
      <c r="AN528" s="76">
        <f t="shared" si="1086"/>
        <v>0</v>
      </c>
      <c r="AO528" s="594">
        <v>0</v>
      </c>
      <c r="AP528" s="594">
        <v>0</v>
      </c>
      <c r="AQ528" s="594">
        <v>0</v>
      </c>
      <c r="AR528" s="594">
        <v>0</v>
      </c>
      <c r="AS528" s="76">
        <f t="shared" si="1088"/>
        <v>0</v>
      </c>
    </row>
    <row r="529" spans="1:45">
      <c r="A529" s="319" t="s">
        <v>360</v>
      </c>
      <c r="C529" s="62"/>
      <c r="D529" s="62"/>
      <c r="E529" s="62"/>
      <c r="I529" s="19">
        <f t="shared" si="1071"/>
        <v>507</v>
      </c>
      <c r="J529" s="62"/>
      <c r="N529" s="19">
        <f t="shared" si="1072"/>
        <v>507</v>
      </c>
      <c r="O529" s="62">
        <f t="shared" si="1073"/>
        <v>-4611</v>
      </c>
      <c r="P529" s="19">
        <f t="shared" si="1074"/>
        <v>217</v>
      </c>
      <c r="Q529" s="19">
        <f t="shared" ref="Q529:S529" si="1091">Q611-P611</f>
        <v>116</v>
      </c>
      <c r="R529" s="19">
        <f t="shared" si="1091"/>
        <v>-669</v>
      </c>
      <c r="S529" s="19">
        <f t="shared" si="1091"/>
        <v>371</v>
      </c>
      <c r="T529" s="62">
        <f t="shared" si="1076"/>
        <v>35</v>
      </c>
      <c r="U529" s="19">
        <f t="shared" si="1077"/>
        <v>3342</v>
      </c>
      <c r="V529" s="19">
        <f t="shared" ref="V529:X529" si="1092">V611-U611</f>
        <v>823</v>
      </c>
      <c r="W529" s="19">
        <f t="shared" si="1092"/>
        <v>269</v>
      </c>
      <c r="X529" s="19">
        <f t="shared" si="1092"/>
        <v>-563</v>
      </c>
      <c r="Y529" s="62">
        <f t="shared" si="1079"/>
        <v>3871</v>
      </c>
      <c r="Z529" s="19">
        <f t="shared" si="1080"/>
        <v>0</v>
      </c>
      <c r="AA529" s="19">
        <f t="shared" si="1081"/>
        <v>0</v>
      </c>
      <c r="AB529" s="19">
        <f t="shared" si="1081"/>
        <v>0</v>
      </c>
      <c r="AC529" s="594">
        <v>0</v>
      </c>
      <c r="AD529" s="76">
        <f t="shared" si="1082"/>
        <v>0</v>
      </c>
      <c r="AE529" s="594">
        <v>0</v>
      </c>
      <c r="AF529" s="594">
        <v>0</v>
      </c>
      <c r="AG529" s="594">
        <v>0</v>
      </c>
      <c r="AH529" s="594">
        <v>0</v>
      </c>
      <c r="AI529" s="76">
        <f t="shared" si="1084"/>
        <v>0</v>
      </c>
      <c r="AJ529" s="594">
        <v>0</v>
      </c>
      <c r="AK529" s="594">
        <v>0</v>
      </c>
      <c r="AL529" s="594">
        <v>0</v>
      </c>
      <c r="AM529" s="594">
        <v>0</v>
      </c>
      <c r="AN529" s="76">
        <f t="shared" si="1086"/>
        <v>0</v>
      </c>
      <c r="AO529" s="594">
        <v>0</v>
      </c>
      <c r="AP529" s="594">
        <v>0</v>
      </c>
      <c r="AQ529" s="594">
        <v>0</v>
      </c>
      <c r="AR529" s="594">
        <v>0</v>
      </c>
      <c r="AS529" s="76">
        <f t="shared" si="1088"/>
        <v>0</v>
      </c>
    </row>
    <row r="530" spans="1:45">
      <c r="A530" s="59" t="s">
        <v>397</v>
      </c>
      <c r="C530" s="62"/>
      <c r="D530" s="62"/>
      <c r="E530" s="62"/>
      <c r="I530" s="19">
        <f t="shared" si="1071"/>
        <v>0</v>
      </c>
      <c r="J530" s="62"/>
      <c r="N530" s="19">
        <f t="shared" si="1072"/>
        <v>0</v>
      </c>
      <c r="O530" s="62">
        <f t="shared" si="1073"/>
        <v>0</v>
      </c>
      <c r="P530" s="19">
        <f t="shared" si="1074"/>
        <v>0</v>
      </c>
      <c r="Q530" s="19">
        <f t="shared" ref="Q530:S530" si="1093">Q612-P612</f>
        <v>0</v>
      </c>
      <c r="R530" s="19">
        <f t="shared" si="1093"/>
        <v>0</v>
      </c>
      <c r="S530" s="19">
        <f t="shared" si="1093"/>
        <v>0</v>
      </c>
      <c r="T530" s="62">
        <f t="shared" si="1076"/>
        <v>0</v>
      </c>
      <c r="U530" s="19">
        <f t="shared" si="1077"/>
        <v>0</v>
      </c>
      <c r="V530" s="19">
        <f t="shared" ref="V530:X530" si="1094">V612-U612</f>
        <v>0</v>
      </c>
      <c r="W530" s="19">
        <f t="shared" si="1094"/>
        <v>0</v>
      </c>
      <c r="X530" s="19">
        <f t="shared" si="1094"/>
        <v>0</v>
      </c>
      <c r="Y530" s="62">
        <f t="shared" si="1079"/>
        <v>0</v>
      </c>
      <c r="Z530" s="19">
        <f t="shared" si="1080"/>
        <v>0</v>
      </c>
      <c r="AA530" s="19">
        <f t="shared" si="1081"/>
        <v>0</v>
      </c>
      <c r="AB530" s="19">
        <f t="shared" si="1081"/>
        <v>18809</v>
      </c>
      <c r="AC530" s="594">
        <v>0</v>
      </c>
      <c r="AD530" s="76">
        <f t="shared" si="1082"/>
        <v>18809</v>
      </c>
      <c r="AE530" s="594">
        <v>0</v>
      </c>
      <c r="AF530" s="594">
        <v>0</v>
      </c>
      <c r="AG530" s="594">
        <v>0</v>
      </c>
      <c r="AH530" s="594">
        <v>0</v>
      </c>
      <c r="AI530" s="76">
        <f t="shared" si="1084"/>
        <v>0</v>
      </c>
      <c r="AJ530" s="594">
        <v>0</v>
      </c>
      <c r="AK530" s="594">
        <v>0</v>
      </c>
      <c r="AL530" s="594">
        <v>0</v>
      </c>
      <c r="AM530" s="594">
        <v>0</v>
      </c>
      <c r="AN530" s="76">
        <f t="shared" si="1086"/>
        <v>0</v>
      </c>
      <c r="AO530" s="594">
        <v>0</v>
      </c>
      <c r="AP530" s="594">
        <v>0</v>
      </c>
      <c r="AQ530" s="594">
        <v>0</v>
      </c>
      <c r="AR530" s="594">
        <v>0</v>
      </c>
      <c r="AS530" s="76">
        <f t="shared" si="1088"/>
        <v>0</v>
      </c>
    </row>
    <row r="531" spans="1:45">
      <c r="A531" s="319" t="s">
        <v>211</v>
      </c>
      <c r="C531" s="62"/>
      <c r="D531" s="62"/>
      <c r="E531" s="62"/>
      <c r="I531" s="19">
        <f t="shared" si="1071"/>
        <v>-2071</v>
      </c>
      <c r="J531" s="62"/>
      <c r="N531" s="19">
        <f t="shared" si="1072"/>
        <v>-2071</v>
      </c>
      <c r="O531" s="62">
        <f t="shared" si="1073"/>
        <v>-3211</v>
      </c>
      <c r="P531" s="19">
        <f t="shared" si="1074"/>
        <v>1411</v>
      </c>
      <c r="Q531" s="19">
        <f t="shared" ref="Q531:S531" si="1095">Q613-P613</f>
        <v>-1640</v>
      </c>
      <c r="R531" s="19">
        <f t="shared" si="1095"/>
        <v>-2270</v>
      </c>
      <c r="S531" s="19">
        <f t="shared" si="1095"/>
        <v>-6944</v>
      </c>
      <c r="T531" s="62">
        <f t="shared" si="1076"/>
        <v>-9443</v>
      </c>
      <c r="U531" s="19">
        <f t="shared" si="1077"/>
        <v>-11875</v>
      </c>
      <c r="V531" s="19">
        <f t="shared" ref="V531:X531" si="1096">V613-U613</f>
        <v>-27359</v>
      </c>
      <c r="W531" s="19">
        <f t="shared" si="1096"/>
        <v>-30106</v>
      </c>
      <c r="X531" s="19">
        <f t="shared" si="1096"/>
        <v>-12757</v>
      </c>
      <c r="Y531" s="62">
        <f t="shared" si="1079"/>
        <v>-82097</v>
      </c>
      <c r="Z531" s="19">
        <f t="shared" si="1080"/>
        <v>-15771</v>
      </c>
      <c r="AA531" s="19">
        <f t="shared" si="1081"/>
        <v>13166</v>
      </c>
      <c r="AB531" s="19">
        <f t="shared" si="1081"/>
        <v>6031</v>
      </c>
      <c r="AC531" s="19">
        <f>AB443-AC443</f>
        <v>64490.247287140199</v>
      </c>
      <c r="AD531" s="76">
        <f t="shared" si="1082"/>
        <v>67916.247287140199</v>
      </c>
      <c r="AE531" s="19">
        <f t="shared" ref="AE531:AH531" si="1097">AD443-AE443</f>
        <v>-1121.3394251461705</v>
      </c>
      <c r="AF531" s="19">
        <f t="shared" si="1097"/>
        <v>-324.89713333382315</v>
      </c>
      <c r="AG531" s="19">
        <f t="shared" si="1097"/>
        <v>-5656.6670181533664</v>
      </c>
      <c r="AH531" s="19">
        <f t="shared" si="1097"/>
        <v>-3778.4234181727334</v>
      </c>
      <c r="AI531" s="76">
        <f t="shared" si="1084"/>
        <v>-10881.326994806093</v>
      </c>
      <c r="AJ531" s="19">
        <f t="shared" ref="AJ531:AM531" si="1098">AI443-AJ443</f>
        <v>-562.49511775322389</v>
      </c>
      <c r="AK531" s="19">
        <f t="shared" si="1098"/>
        <v>-4261.5980780266036</v>
      </c>
      <c r="AL531" s="19">
        <f t="shared" si="1098"/>
        <v>-367.4465157547711</v>
      </c>
      <c r="AM531" s="19">
        <f t="shared" si="1098"/>
        <v>-1451.0213670586963</v>
      </c>
      <c r="AN531" s="76">
        <f t="shared" si="1086"/>
        <v>-6642.561078593295</v>
      </c>
      <c r="AO531" s="19">
        <f t="shared" ref="AO531:AR531" si="1099">AN443-AO443</f>
        <v>1786.3523209880514</v>
      </c>
      <c r="AP531" s="19">
        <f t="shared" si="1099"/>
        <v>-3714.048781658621</v>
      </c>
      <c r="AQ531" s="19">
        <f t="shared" si="1099"/>
        <v>844.5572649657006</v>
      </c>
      <c r="AR531" s="19">
        <f t="shared" si="1099"/>
        <v>-4825.4174278574646</v>
      </c>
      <c r="AS531" s="76">
        <f t="shared" si="1088"/>
        <v>-5908.5566235623337</v>
      </c>
    </row>
    <row r="532" spans="1:45">
      <c r="A532" s="319" t="s">
        <v>309</v>
      </c>
      <c r="C532" s="62"/>
      <c r="D532" s="62"/>
      <c r="E532" s="62"/>
      <c r="I532" s="19">
        <f t="shared" si="1071"/>
        <v>-2062</v>
      </c>
      <c r="J532" s="62"/>
      <c r="N532" s="19">
        <f t="shared" si="1072"/>
        <v>-2062</v>
      </c>
      <c r="O532" s="62">
        <f t="shared" si="1073"/>
        <v>-2286</v>
      </c>
      <c r="P532" s="19">
        <f t="shared" si="1074"/>
        <v>-1182</v>
      </c>
      <c r="Q532" s="19">
        <f t="shared" ref="Q532:S532" si="1100">Q614-P614</f>
        <v>1912</v>
      </c>
      <c r="R532" s="19">
        <f t="shared" si="1100"/>
        <v>-2739</v>
      </c>
      <c r="S532" s="19">
        <f t="shared" si="1100"/>
        <v>-4120</v>
      </c>
      <c r="T532" s="62">
        <f t="shared" si="1076"/>
        <v>-6129</v>
      </c>
      <c r="U532" s="19">
        <f t="shared" si="1077"/>
        <v>-1587</v>
      </c>
      <c r="V532" s="19">
        <f t="shared" ref="V532:X532" si="1101">V614-U614</f>
        <v>-1047</v>
      </c>
      <c r="W532" s="19">
        <f t="shared" si="1101"/>
        <v>-2774</v>
      </c>
      <c r="X532" s="19">
        <f t="shared" si="1101"/>
        <v>-2637</v>
      </c>
      <c r="Y532" s="62">
        <f t="shared" si="1079"/>
        <v>-8045</v>
      </c>
      <c r="Z532" s="19">
        <f t="shared" si="1080"/>
        <v>0</v>
      </c>
      <c r="AA532" s="19">
        <f t="shared" si="1081"/>
        <v>0</v>
      </c>
      <c r="AB532" s="19">
        <f t="shared" si="1081"/>
        <v>0</v>
      </c>
      <c r="AC532" s="594">
        <v>0</v>
      </c>
      <c r="AD532" s="76">
        <f t="shared" si="1082"/>
        <v>0</v>
      </c>
      <c r="AE532" s="594">
        <v>0</v>
      </c>
      <c r="AF532" s="594">
        <v>0</v>
      </c>
      <c r="AG532" s="594">
        <v>0</v>
      </c>
      <c r="AH532" s="594">
        <v>0</v>
      </c>
      <c r="AI532" s="76">
        <f t="shared" si="1084"/>
        <v>0</v>
      </c>
      <c r="AJ532" s="594">
        <v>0</v>
      </c>
      <c r="AK532" s="594">
        <v>0</v>
      </c>
      <c r="AL532" s="594">
        <v>0</v>
      </c>
      <c r="AM532" s="594">
        <v>0</v>
      </c>
      <c r="AN532" s="76">
        <f t="shared" si="1086"/>
        <v>0</v>
      </c>
      <c r="AO532" s="594">
        <v>0</v>
      </c>
      <c r="AP532" s="594">
        <v>0</v>
      </c>
      <c r="AQ532" s="594">
        <v>0</v>
      </c>
      <c r="AR532" s="594">
        <v>0</v>
      </c>
      <c r="AS532" s="76">
        <f t="shared" si="1088"/>
        <v>0</v>
      </c>
    </row>
    <row r="533" spans="1:45">
      <c r="A533" s="319" t="s">
        <v>281</v>
      </c>
      <c r="C533" s="62"/>
      <c r="D533" s="62"/>
      <c r="E533" s="62"/>
      <c r="I533" s="19">
        <f t="shared" si="1071"/>
        <v>6287</v>
      </c>
      <c r="J533" s="62"/>
      <c r="N533" s="19">
        <f t="shared" si="1072"/>
        <v>6287</v>
      </c>
      <c r="O533" s="62">
        <f t="shared" si="1073"/>
        <v>4889</v>
      </c>
      <c r="P533" s="19">
        <f t="shared" si="1074"/>
        <v>3067</v>
      </c>
      <c r="Q533" s="19">
        <f t="shared" ref="Q533:S533" si="1102">Q615-P615</f>
        <v>-5436</v>
      </c>
      <c r="R533" s="19">
        <f t="shared" si="1102"/>
        <v>-5679</v>
      </c>
      <c r="S533" s="19">
        <f t="shared" si="1102"/>
        <v>18571</v>
      </c>
      <c r="T533" s="62">
        <f t="shared" si="1076"/>
        <v>10523</v>
      </c>
      <c r="U533" s="19">
        <f t="shared" si="1077"/>
        <v>-2664</v>
      </c>
      <c r="V533" s="19">
        <f t="shared" ref="V533:X533" si="1103">V615-U615</f>
        <v>10339</v>
      </c>
      <c r="W533" s="19">
        <f t="shared" si="1103"/>
        <v>-616</v>
      </c>
      <c r="X533" s="19">
        <f t="shared" si="1103"/>
        <v>-5453</v>
      </c>
      <c r="Y533" s="62">
        <f t="shared" si="1079"/>
        <v>1606</v>
      </c>
      <c r="Z533" s="19">
        <f t="shared" si="1080"/>
        <v>-3085</v>
      </c>
      <c r="AA533" s="19">
        <f t="shared" si="1081"/>
        <v>12324</v>
      </c>
      <c r="AB533" s="19">
        <f t="shared" si="1081"/>
        <v>40879</v>
      </c>
      <c r="AC533" s="19">
        <f>AC457-AB457</f>
        <v>-26649.442033013511</v>
      </c>
      <c r="AD533" s="76">
        <f t="shared" si="1082"/>
        <v>23468.557966986489</v>
      </c>
      <c r="AE533" s="19">
        <f t="shared" ref="AE533:AH533" si="1104">AE457-AD457</f>
        <v>-26.284256581713635</v>
      </c>
      <c r="AF533" s="19">
        <f t="shared" si="1104"/>
        <v>2626.7155609350175</v>
      </c>
      <c r="AG533" s="19">
        <f t="shared" si="1104"/>
        <v>5656.6670181533664</v>
      </c>
      <c r="AH533" s="19">
        <f t="shared" si="1104"/>
        <v>3778.4234181727334</v>
      </c>
      <c r="AI533" s="76">
        <f t="shared" si="1084"/>
        <v>12035.521740679404</v>
      </c>
      <c r="AJ533" s="19">
        <f t="shared" ref="AJ533:AM533" si="1105">AJ457-AI457</f>
        <v>562.49511775322389</v>
      </c>
      <c r="AK533" s="19">
        <f t="shared" si="1105"/>
        <v>4261.5980780266036</v>
      </c>
      <c r="AL533" s="19">
        <f t="shared" si="1105"/>
        <v>367.4465157547711</v>
      </c>
      <c r="AM533" s="19">
        <f t="shared" si="1105"/>
        <v>1451.0213670586963</v>
      </c>
      <c r="AN533" s="76">
        <f t="shared" si="1086"/>
        <v>6642.561078593295</v>
      </c>
      <c r="AO533" s="19">
        <f t="shared" ref="AO533:AR533" si="1106">AO457-AN457</f>
        <v>-1786.3523209880514</v>
      </c>
      <c r="AP533" s="19">
        <f t="shared" si="1106"/>
        <v>3714.048781658621</v>
      </c>
      <c r="AQ533" s="19">
        <f t="shared" si="1106"/>
        <v>-844.5572649657006</v>
      </c>
      <c r="AR533" s="19">
        <f t="shared" si="1106"/>
        <v>4825.4174278574646</v>
      </c>
      <c r="AS533" s="76">
        <f t="shared" si="1088"/>
        <v>5908.5566235623337</v>
      </c>
    </row>
    <row r="534" spans="1:45">
      <c r="A534" s="319" t="s">
        <v>361</v>
      </c>
      <c r="C534" s="62"/>
      <c r="D534" s="62"/>
      <c r="E534" s="62"/>
      <c r="I534" s="19">
        <f t="shared" si="1071"/>
        <v>1705</v>
      </c>
      <c r="J534" s="62"/>
      <c r="N534" s="19">
        <f t="shared" si="1072"/>
        <v>1705</v>
      </c>
      <c r="O534" s="62">
        <f t="shared" si="1073"/>
        <v>-118</v>
      </c>
      <c r="P534" s="19">
        <f t="shared" si="1074"/>
        <v>5018</v>
      </c>
      <c r="Q534" s="19">
        <f t="shared" ref="Q534:S534" si="1107">Q616-P616</f>
        <v>4029</v>
      </c>
      <c r="R534" s="19">
        <f t="shared" si="1107"/>
        <v>6577</v>
      </c>
      <c r="S534" s="19">
        <f t="shared" si="1107"/>
        <v>9160</v>
      </c>
      <c r="T534" s="62">
        <f t="shared" si="1076"/>
        <v>24784</v>
      </c>
      <c r="U534" s="19">
        <f t="shared" si="1077"/>
        <v>-8252</v>
      </c>
      <c r="V534" s="19">
        <f t="shared" ref="V534:X534" si="1108">V616-U616</f>
        <v>8637</v>
      </c>
      <c r="W534" s="19">
        <f t="shared" si="1108"/>
        <v>-4470</v>
      </c>
      <c r="X534" s="19">
        <f t="shared" si="1108"/>
        <v>728</v>
      </c>
      <c r="Y534" s="62">
        <f t="shared" si="1079"/>
        <v>-3357</v>
      </c>
      <c r="Z534" s="19">
        <f t="shared" si="1080"/>
        <v>0</v>
      </c>
      <c r="AA534" s="19">
        <f t="shared" si="1081"/>
        <v>0</v>
      </c>
      <c r="AB534" s="19">
        <f t="shared" si="1081"/>
        <v>0</v>
      </c>
      <c r="AC534" s="594">
        <v>0</v>
      </c>
      <c r="AD534" s="76">
        <f t="shared" si="1082"/>
        <v>0</v>
      </c>
      <c r="AE534" s="594">
        <v>0</v>
      </c>
      <c r="AF534" s="594">
        <v>0</v>
      </c>
      <c r="AG534" s="594">
        <v>0</v>
      </c>
      <c r="AH534" s="594">
        <v>0</v>
      </c>
      <c r="AI534" s="76">
        <f t="shared" si="1084"/>
        <v>0</v>
      </c>
      <c r="AJ534" s="594">
        <v>0</v>
      </c>
      <c r="AK534" s="594">
        <v>0</v>
      </c>
      <c r="AL534" s="594">
        <v>0</v>
      </c>
      <c r="AM534" s="594">
        <v>0</v>
      </c>
      <c r="AN534" s="76">
        <f t="shared" si="1086"/>
        <v>0</v>
      </c>
      <c r="AO534" s="594">
        <v>0</v>
      </c>
      <c r="AP534" s="594">
        <v>0</v>
      </c>
      <c r="AQ534" s="594">
        <v>0</v>
      </c>
      <c r="AR534" s="594">
        <v>0</v>
      </c>
      <c r="AS534" s="76">
        <f t="shared" si="1088"/>
        <v>0</v>
      </c>
    </row>
    <row r="535" spans="1:45">
      <c r="A535" s="319" t="s">
        <v>202</v>
      </c>
      <c r="C535" s="62"/>
      <c r="D535" s="62"/>
      <c r="E535" s="62"/>
      <c r="I535" s="19">
        <f t="shared" si="1071"/>
        <v>616</v>
      </c>
      <c r="J535" s="62"/>
      <c r="N535" s="19">
        <f t="shared" si="1072"/>
        <v>616</v>
      </c>
      <c r="O535" s="62">
        <f t="shared" si="1073"/>
        <v>1529</v>
      </c>
      <c r="P535" s="19">
        <f t="shared" si="1074"/>
        <v>-81</v>
      </c>
      <c r="Q535" s="19">
        <f t="shared" ref="Q535:S535" si="1109">Q617-P617</f>
        <v>-6</v>
      </c>
      <c r="R535" s="19">
        <f t="shared" si="1109"/>
        <v>-13</v>
      </c>
      <c r="S535" s="19">
        <f t="shared" si="1109"/>
        <v>100</v>
      </c>
      <c r="T535" s="62">
        <f t="shared" si="1076"/>
        <v>0</v>
      </c>
      <c r="U535" s="19">
        <f t="shared" si="1077"/>
        <v>11</v>
      </c>
      <c r="V535" s="19">
        <f t="shared" ref="V535:X535" si="1110">V617-U617</f>
        <v>-11</v>
      </c>
      <c r="W535" s="19">
        <f t="shared" si="1110"/>
        <v>0</v>
      </c>
      <c r="X535" s="19">
        <f t="shared" si="1110"/>
        <v>0</v>
      </c>
      <c r="Y535" s="62">
        <f t="shared" si="1079"/>
        <v>0</v>
      </c>
      <c r="Z535" s="19">
        <f t="shared" si="1080"/>
        <v>0</v>
      </c>
      <c r="AA535" s="19">
        <f t="shared" si="1081"/>
        <v>0</v>
      </c>
      <c r="AB535" s="19">
        <f t="shared" si="1081"/>
        <v>0</v>
      </c>
      <c r="AC535" s="594">
        <v>0</v>
      </c>
      <c r="AD535" s="76">
        <f t="shared" si="1082"/>
        <v>0</v>
      </c>
      <c r="AE535" s="594">
        <v>0</v>
      </c>
      <c r="AF535" s="594">
        <v>0</v>
      </c>
      <c r="AG535" s="594">
        <v>0</v>
      </c>
      <c r="AH535" s="594">
        <v>0</v>
      </c>
      <c r="AI535" s="76">
        <f t="shared" si="1084"/>
        <v>0</v>
      </c>
      <c r="AJ535" s="594">
        <v>0</v>
      </c>
      <c r="AK535" s="594">
        <v>0</v>
      </c>
      <c r="AL535" s="594">
        <v>0</v>
      </c>
      <c r="AM535" s="594">
        <v>0</v>
      </c>
      <c r="AN535" s="76">
        <f t="shared" si="1086"/>
        <v>0</v>
      </c>
      <c r="AO535" s="594">
        <v>0</v>
      </c>
      <c r="AP535" s="594">
        <v>0</v>
      </c>
      <c r="AQ535" s="594">
        <v>0</v>
      </c>
      <c r="AR535" s="594">
        <v>0</v>
      </c>
      <c r="AS535" s="76">
        <f t="shared" si="1088"/>
        <v>0</v>
      </c>
    </row>
    <row r="536" spans="1:45">
      <c r="A536" s="319" t="s">
        <v>399</v>
      </c>
      <c r="C536" s="62"/>
      <c r="D536" s="62"/>
      <c r="E536" s="62"/>
      <c r="I536" s="19">
        <f t="shared" si="1071"/>
        <v>0</v>
      </c>
      <c r="J536" s="62"/>
      <c r="N536" s="19">
        <f t="shared" si="1072"/>
        <v>0</v>
      </c>
      <c r="O536" s="62">
        <f t="shared" si="1073"/>
        <v>0</v>
      </c>
      <c r="P536" s="19">
        <f t="shared" si="1074"/>
        <v>0</v>
      </c>
      <c r="Q536" s="19">
        <f t="shared" ref="Q536:S536" si="1111">Q618-P618</f>
        <v>0</v>
      </c>
      <c r="R536" s="19">
        <f t="shared" si="1111"/>
        <v>0</v>
      </c>
      <c r="S536" s="19">
        <f t="shared" si="1111"/>
        <v>0</v>
      </c>
      <c r="T536" s="62">
        <f t="shared" si="1076"/>
        <v>0</v>
      </c>
      <c r="U536" s="19">
        <f t="shared" si="1077"/>
        <v>0</v>
      </c>
      <c r="V536" s="19">
        <f t="shared" ref="V536:X536" si="1112">V618-U618</f>
        <v>0</v>
      </c>
      <c r="W536" s="19">
        <f t="shared" si="1112"/>
        <v>0</v>
      </c>
      <c r="X536" s="19">
        <f t="shared" si="1112"/>
        <v>0</v>
      </c>
      <c r="Y536" s="62">
        <f t="shared" si="1079"/>
        <v>0</v>
      </c>
      <c r="Z536" s="19">
        <f t="shared" si="1080"/>
        <v>-2088</v>
      </c>
      <c r="AA536" s="19">
        <f t="shared" si="1081"/>
        <v>-2332</v>
      </c>
      <c r="AB536" s="19">
        <f t="shared" si="1081"/>
        <v>-3467</v>
      </c>
      <c r="AC536" s="594">
        <v>0</v>
      </c>
      <c r="AD536" s="76">
        <f t="shared" si="1082"/>
        <v>-7887</v>
      </c>
      <c r="AE536" s="594">
        <v>0</v>
      </c>
      <c r="AF536" s="594">
        <v>0</v>
      </c>
      <c r="AG536" s="594">
        <v>0</v>
      </c>
      <c r="AH536" s="594">
        <v>0</v>
      </c>
      <c r="AI536" s="76">
        <f t="shared" si="1084"/>
        <v>0</v>
      </c>
      <c r="AJ536" s="594">
        <v>0</v>
      </c>
      <c r="AK536" s="594">
        <v>0</v>
      </c>
      <c r="AL536" s="594">
        <v>0</v>
      </c>
      <c r="AM536" s="594">
        <v>0</v>
      </c>
      <c r="AN536" s="76">
        <f t="shared" si="1086"/>
        <v>0</v>
      </c>
      <c r="AO536" s="594">
        <v>0</v>
      </c>
      <c r="AP536" s="594">
        <v>0</v>
      </c>
      <c r="AQ536" s="594">
        <v>0</v>
      </c>
      <c r="AR536" s="594">
        <v>0</v>
      </c>
      <c r="AS536" s="76">
        <f t="shared" si="1088"/>
        <v>0</v>
      </c>
    </row>
    <row r="537" spans="1:45">
      <c r="A537" s="319"/>
      <c r="C537" s="62"/>
      <c r="D537" s="62"/>
      <c r="E537" s="62"/>
      <c r="I537" s="19"/>
      <c r="J537" s="62"/>
      <c r="N537" s="19"/>
      <c r="O537" s="62"/>
      <c r="P537" s="19"/>
      <c r="Q537" s="19"/>
      <c r="R537" s="19"/>
      <c r="S537" s="19"/>
      <c r="T537" s="62"/>
      <c r="U537" s="19"/>
      <c r="V537" s="19"/>
      <c r="W537" s="19"/>
      <c r="X537" s="19"/>
      <c r="Y537" s="62"/>
      <c r="Z537" s="19"/>
      <c r="AA537" s="19"/>
      <c r="AB537" s="19"/>
      <c r="AC537" s="545"/>
    </row>
    <row r="538" spans="1:45">
      <c r="A538" s="281" t="s">
        <v>362</v>
      </c>
      <c r="C538" s="62"/>
      <c r="D538" s="62"/>
      <c r="E538" s="62"/>
      <c r="I538" s="19">
        <f>I620-H620</f>
        <v>0</v>
      </c>
      <c r="J538" s="62"/>
      <c r="N538" s="19">
        <f>N620-M620</f>
        <v>0</v>
      </c>
      <c r="O538" s="62">
        <f>N620</f>
        <v>0</v>
      </c>
      <c r="P538" s="19">
        <f>P620</f>
        <v>0</v>
      </c>
      <c r="Q538" s="19">
        <f t="shared" ref="Q538:S538" si="1113">Q620-P620</f>
        <v>0</v>
      </c>
      <c r="R538" s="19">
        <f t="shared" si="1113"/>
        <v>0</v>
      </c>
      <c r="S538" s="19">
        <f t="shared" si="1113"/>
        <v>-1393</v>
      </c>
      <c r="T538" s="62">
        <f>S620</f>
        <v>-1393</v>
      </c>
      <c r="U538" s="19">
        <f>U620</f>
        <v>-954</v>
      </c>
      <c r="V538" s="19">
        <f t="shared" ref="V538:X538" si="1114">V620-U620</f>
        <v>-1018</v>
      </c>
      <c r="W538" s="19">
        <f t="shared" si="1114"/>
        <v>-845</v>
      </c>
      <c r="X538" s="19">
        <f t="shared" si="1114"/>
        <v>-1216</v>
      </c>
      <c r="Y538" s="62">
        <f>X620</f>
        <v>-4033</v>
      </c>
      <c r="Z538" s="19">
        <f>Z620</f>
        <v>0</v>
      </c>
      <c r="AA538" s="19">
        <f t="shared" ref="AA538:AB540" si="1115">AA620-Z620</f>
        <v>0</v>
      </c>
      <c r="AB538" s="19">
        <f t="shared" si="1115"/>
        <v>0</v>
      </c>
      <c r="AC538" s="594">
        <v>0</v>
      </c>
      <c r="AD538" s="76">
        <f>SUM(Z538:AC538)</f>
        <v>0</v>
      </c>
      <c r="AE538" s="594">
        <v>0</v>
      </c>
      <c r="AF538" s="594">
        <v>0</v>
      </c>
      <c r="AG538" s="594">
        <v>0</v>
      </c>
      <c r="AH538" s="594">
        <v>0</v>
      </c>
      <c r="AI538" s="76">
        <f>SUM(AE538:AH538)</f>
        <v>0</v>
      </c>
      <c r="AJ538" s="594">
        <v>0</v>
      </c>
      <c r="AK538" s="594">
        <v>0</v>
      </c>
      <c r="AL538" s="594">
        <v>0</v>
      </c>
      <c r="AM538" s="594">
        <v>0</v>
      </c>
      <c r="AN538" s="76">
        <f>SUM(AJ538:AM538)</f>
        <v>0</v>
      </c>
      <c r="AO538" s="594">
        <v>0</v>
      </c>
      <c r="AP538" s="594">
        <v>0</v>
      </c>
      <c r="AQ538" s="594">
        <v>0</v>
      </c>
      <c r="AR538" s="594">
        <v>0</v>
      </c>
      <c r="AS538" s="76">
        <f>SUM(AO538:AR538)</f>
        <v>0</v>
      </c>
    </row>
    <row r="539" spans="1:45">
      <c r="A539" s="281" t="s">
        <v>363</v>
      </c>
      <c r="C539" s="62"/>
      <c r="D539" s="62"/>
      <c r="E539" s="62"/>
      <c r="I539" s="19">
        <f>I621-H621</f>
        <v>-296</v>
      </c>
      <c r="J539" s="62"/>
      <c r="N539" s="19">
        <f>N621-M621</f>
        <v>-296</v>
      </c>
      <c r="O539" s="62">
        <f>N621</f>
        <v>-2964</v>
      </c>
      <c r="P539" s="19">
        <f>P621</f>
        <v>86</v>
      </c>
      <c r="Q539" s="19">
        <f t="shared" ref="Q539:S539" si="1116">Q621-P621</f>
        <v>296</v>
      </c>
      <c r="R539" s="19">
        <f t="shared" si="1116"/>
        <v>1417</v>
      </c>
      <c r="S539" s="19">
        <f t="shared" si="1116"/>
        <v>-2393</v>
      </c>
      <c r="T539" s="62">
        <f>S621</f>
        <v>-594</v>
      </c>
      <c r="U539" s="19">
        <f>U621</f>
        <v>3909</v>
      </c>
      <c r="V539" s="19">
        <f t="shared" ref="V539:X539" si="1117">V621-U621</f>
        <v>-1682</v>
      </c>
      <c r="W539" s="19">
        <f t="shared" si="1117"/>
        <v>-1389</v>
      </c>
      <c r="X539" s="19">
        <f t="shared" si="1117"/>
        <v>-640</v>
      </c>
      <c r="Y539" s="62">
        <f>X621</f>
        <v>198</v>
      </c>
      <c r="Z539" s="19">
        <f>Z621</f>
        <v>0</v>
      </c>
      <c r="AA539" s="19">
        <f t="shared" si="1115"/>
        <v>0</v>
      </c>
      <c r="AB539" s="19">
        <f t="shared" si="1115"/>
        <v>0</v>
      </c>
      <c r="AC539" s="594">
        <v>0</v>
      </c>
      <c r="AD539" s="76">
        <f>SUM(Z539:AC539)</f>
        <v>0</v>
      </c>
      <c r="AE539" s="594">
        <v>0</v>
      </c>
      <c r="AF539" s="594">
        <v>0</v>
      </c>
      <c r="AG539" s="594">
        <v>0</v>
      </c>
      <c r="AH539" s="594">
        <v>0</v>
      </c>
      <c r="AI539" s="76">
        <f>SUM(AE539:AH539)</f>
        <v>0</v>
      </c>
      <c r="AJ539" s="594">
        <v>0</v>
      </c>
      <c r="AK539" s="594">
        <v>0</v>
      </c>
      <c r="AL539" s="594">
        <v>0</v>
      </c>
      <c r="AM539" s="594">
        <v>0</v>
      </c>
      <c r="AN539" s="76">
        <f>SUM(AJ539:AM539)</f>
        <v>0</v>
      </c>
      <c r="AO539" s="594">
        <v>0</v>
      </c>
      <c r="AP539" s="594">
        <v>0</v>
      </c>
      <c r="AQ539" s="594">
        <v>0</v>
      </c>
      <c r="AR539" s="594">
        <v>0</v>
      </c>
      <c r="AS539" s="76">
        <f>SUM(AO539:AR539)</f>
        <v>0</v>
      </c>
    </row>
    <row r="540" spans="1:45" ht="15" thickBot="1">
      <c r="A540" s="530" t="s">
        <v>364</v>
      </c>
      <c r="B540" s="67"/>
      <c r="C540" s="546"/>
      <c r="D540" s="546"/>
      <c r="E540" s="546"/>
      <c r="F540" s="67"/>
      <c r="G540" s="67"/>
      <c r="H540" s="67"/>
      <c r="I540" s="70">
        <f>I622-H622</f>
        <v>-411</v>
      </c>
      <c r="J540" s="546"/>
      <c r="K540" s="67"/>
      <c r="L540" s="67"/>
      <c r="M540" s="67"/>
      <c r="N540" s="70">
        <f>N622-M622</f>
        <v>-411</v>
      </c>
      <c r="O540" s="546">
        <f>N622</f>
        <v>-12436</v>
      </c>
      <c r="P540" s="70">
        <f>P622</f>
        <v>1261</v>
      </c>
      <c r="Q540" s="70">
        <f t="shared" ref="Q540:S540" si="1118">Q622-P622</f>
        <v>-33199</v>
      </c>
      <c r="R540" s="70">
        <f t="shared" si="1118"/>
        <v>298</v>
      </c>
      <c r="S540" s="70">
        <f t="shared" si="1118"/>
        <v>3279</v>
      </c>
      <c r="T540" s="546">
        <f>S622</f>
        <v>-28361</v>
      </c>
      <c r="U540" s="70">
        <f>U622</f>
        <v>-38471</v>
      </c>
      <c r="V540" s="70">
        <f t="shared" ref="V540:X540" si="1119">V622-U622</f>
        <v>-31335</v>
      </c>
      <c r="W540" s="70">
        <f t="shared" si="1119"/>
        <v>-31401</v>
      </c>
      <c r="X540" s="70">
        <f t="shared" si="1119"/>
        <v>-5393</v>
      </c>
      <c r="Y540" s="546">
        <f>X622</f>
        <v>-106600</v>
      </c>
      <c r="Z540" s="70">
        <f>Z622</f>
        <v>-13010</v>
      </c>
      <c r="AA540" s="70">
        <f t="shared" si="1115"/>
        <v>21966</v>
      </c>
      <c r="AB540" s="70">
        <f t="shared" si="1115"/>
        <v>17964</v>
      </c>
      <c r="AC540" s="70">
        <f>AC501+AC502+AC503+AC505+AC506+AC507+AC508+AC509+AC510+AC511+AC512+AC514+AC515+AC516+AC517+AC518+AC519+AC520+AC521+AC522+AC523+AC524+AC527+AC528+AC529+AC530+AC531+AC532+AC533+AC534+AC535+AC536+AC538+AC539</f>
        <v>86053.5323590193</v>
      </c>
      <c r="AD540" s="572">
        <f t="shared" ref="AD540:AS540" si="1120">AD501+AD502+AD503+AD505+AD506+AD507+AD508+AD509+AD510+AD511+AD512+AD514+AD515+AD516+AD517+AD518+AD519+AD520+AD521+AD522+AD523+AD524+AD527+AD528+AD529+AD530+AD531+AD532+AD533+AD534+AD535+AD536+AD538+AD539</f>
        <v>101068.53235901927</v>
      </c>
      <c r="AE540" s="70">
        <f t="shared" si="1120"/>
        <v>1291.6988668337958</v>
      </c>
      <c r="AF540" s="70">
        <f t="shared" si="1120"/>
        <v>2410.5243768332916</v>
      </c>
      <c r="AG540" s="70">
        <f t="shared" si="1120"/>
        <v>-1606.1503916444562</v>
      </c>
      <c r="AH540" s="70">
        <f t="shared" si="1120"/>
        <v>20261.57103186773</v>
      </c>
      <c r="AI540" s="572">
        <f t="shared" si="1120"/>
        <v>22357.643883890363</v>
      </c>
      <c r="AJ540" s="70">
        <f t="shared" si="1120"/>
        <v>15369.416243085187</v>
      </c>
      <c r="AK540" s="70">
        <f t="shared" si="1120"/>
        <v>10921.009042400754</v>
      </c>
      <c r="AL540" s="70">
        <f t="shared" si="1120"/>
        <v>23644.865356040842</v>
      </c>
      <c r="AM540" s="70">
        <f t="shared" si="1120"/>
        <v>26254.90227511217</v>
      </c>
      <c r="AN540" s="572">
        <f t="shared" si="1120"/>
        <v>76190.192916638945</v>
      </c>
      <c r="AO540" s="70">
        <f t="shared" si="1120"/>
        <v>24623.347121498042</v>
      </c>
      <c r="AP540" s="70">
        <f t="shared" si="1120"/>
        <v>15739.322591406155</v>
      </c>
      <c r="AQ540" s="70">
        <f t="shared" si="1120"/>
        <v>29648.268705862502</v>
      </c>
      <c r="AR540" s="70">
        <f t="shared" si="1120"/>
        <v>27682.642905495712</v>
      </c>
      <c r="AS540" s="572">
        <f t="shared" si="1120"/>
        <v>97693.581324262399</v>
      </c>
    </row>
    <row r="541" spans="1:45" ht="15" thickTop="1">
      <c r="A541" s="526"/>
      <c r="C541" s="62"/>
      <c r="D541" s="62"/>
      <c r="E541" s="62"/>
      <c r="I541" s="19"/>
      <c r="J541" s="62"/>
      <c r="N541" s="19"/>
      <c r="O541" s="62"/>
      <c r="P541" s="19"/>
      <c r="Q541" s="19"/>
      <c r="R541" s="19"/>
      <c r="S541" s="19"/>
      <c r="T541" s="62"/>
      <c r="U541" s="19"/>
      <c r="V541" s="19"/>
      <c r="W541" s="19"/>
      <c r="X541" s="19"/>
      <c r="Y541" s="62"/>
      <c r="Z541" s="19"/>
      <c r="AA541" s="19"/>
      <c r="AB541" s="19"/>
      <c r="AC541" s="545"/>
    </row>
    <row r="542" spans="1:45">
      <c r="A542" s="85" t="s">
        <v>365</v>
      </c>
      <c r="C542" s="62"/>
      <c r="D542" s="62"/>
      <c r="E542" s="62"/>
      <c r="I542" s="19"/>
      <c r="J542" s="62"/>
      <c r="N542" s="19"/>
      <c r="O542" s="62"/>
      <c r="P542" s="19"/>
      <c r="Q542" s="19"/>
      <c r="R542" s="19"/>
      <c r="S542" s="19"/>
      <c r="T542" s="62"/>
      <c r="U542" s="19"/>
      <c r="V542" s="19"/>
      <c r="W542" s="19"/>
      <c r="X542" s="19"/>
      <c r="Y542" s="62"/>
      <c r="Z542" s="19"/>
      <c r="AA542" s="19"/>
      <c r="AB542" s="19"/>
      <c r="AC542" s="545"/>
    </row>
    <row r="543" spans="1:45">
      <c r="A543" s="527" t="s">
        <v>366</v>
      </c>
      <c r="C543" s="62"/>
      <c r="D543" s="62"/>
      <c r="E543" s="62"/>
      <c r="I543" s="19">
        <f t="shared" ref="I543:I548" si="1121">I626-H626</f>
        <v>0</v>
      </c>
      <c r="J543" s="62"/>
      <c r="N543" s="19">
        <f t="shared" ref="N543:N548" si="1122">N626-M626</f>
        <v>0</v>
      </c>
      <c r="O543" s="62">
        <f t="shared" ref="O543:O548" si="1123">N626</f>
        <v>0</v>
      </c>
      <c r="P543" s="19">
        <f t="shared" ref="P543:P548" si="1124">P626</f>
        <v>0</v>
      </c>
      <c r="Q543" s="19">
        <f t="shared" ref="Q543:S543" si="1125">Q626-P626</f>
        <v>-4920</v>
      </c>
      <c r="R543" s="19">
        <f t="shared" si="1125"/>
        <v>-17976</v>
      </c>
      <c r="S543" s="19">
        <f t="shared" si="1125"/>
        <v>0</v>
      </c>
      <c r="T543" s="62">
        <f t="shared" ref="T543:T548" si="1126">S626</f>
        <v>-22896</v>
      </c>
      <c r="U543" s="19">
        <f t="shared" ref="U543:U548" si="1127">U626</f>
        <v>0</v>
      </c>
      <c r="V543" s="19">
        <f t="shared" ref="V543:X543" si="1128">V626-U626</f>
        <v>0</v>
      </c>
      <c r="W543" s="19">
        <f t="shared" si="1128"/>
        <v>0</v>
      </c>
      <c r="X543" s="19">
        <f t="shared" si="1128"/>
        <v>0</v>
      </c>
      <c r="Y543" s="62">
        <f t="shared" ref="Y543:Y548" si="1129">X626</f>
        <v>0</v>
      </c>
      <c r="Z543" s="19">
        <f t="shared" ref="Z543:Z548" si="1130">Z626</f>
        <v>0</v>
      </c>
      <c r="AA543" s="19">
        <f t="shared" ref="AA543:AB548" si="1131">AA626-Z626</f>
        <v>0</v>
      </c>
      <c r="AB543" s="19">
        <f t="shared" si="1131"/>
        <v>0</v>
      </c>
      <c r="AC543" s="594">
        <v>0</v>
      </c>
      <c r="AD543" s="76">
        <f>SUM(Z543:AC543)</f>
        <v>0</v>
      </c>
      <c r="AE543" s="594">
        <v>0</v>
      </c>
      <c r="AF543" s="594">
        <v>0</v>
      </c>
      <c r="AG543" s="594">
        <v>0</v>
      </c>
      <c r="AH543" s="594">
        <v>0</v>
      </c>
      <c r="AI543" s="76">
        <f>SUM(AE543:AH543)</f>
        <v>0</v>
      </c>
      <c r="AJ543" s="594">
        <v>0</v>
      </c>
      <c r="AK543" s="594">
        <v>0</v>
      </c>
      <c r="AL543" s="594">
        <v>0</v>
      </c>
      <c r="AM543" s="594">
        <v>0</v>
      </c>
      <c r="AN543" s="76">
        <f>SUM(AJ543:AM543)</f>
        <v>0</v>
      </c>
      <c r="AO543" s="594">
        <v>0</v>
      </c>
      <c r="AP543" s="594">
        <v>0</v>
      </c>
      <c r="AQ543" s="594">
        <v>0</v>
      </c>
      <c r="AR543" s="594">
        <v>0</v>
      </c>
      <c r="AS543" s="76">
        <f>SUM(AO543:AR543)</f>
        <v>0</v>
      </c>
    </row>
    <row r="544" spans="1:45">
      <c r="A544" s="527" t="s">
        <v>367</v>
      </c>
      <c r="C544" s="62"/>
      <c r="D544" s="62"/>
      <c r="E544" s="62"/>
      <c r="I544" s="19">
        <f t="shared" si="1121"/>
        <v>0</v>
      </c>
      <c r="J544" s="62"/>
      <c r="N544" s="19">
        <f t="shared" si="1122"/>
        <v>0</v>
      </c>
      <c r="O544" s="62">
        <f t="shared" si="1123"/>
        <v>0</v>
      </c>
      <c r="P544" s="19">
        <f t="shared" si="1124"/>
        <v>0</v>
      </c>
      <c r="Q544" s="19">
        <f t="shared" ref="Q544:S544" si="1132">Q627-P627</f>
        <v>0</v>
      </c>
      <c r="R544" s="19">
        <f t="shared" si="1132"/>
        <v>0</v>
      </c>
      <c r="S544" s="19">
        <f t="shared" si="1132"/>
        <v>0</v>
      </c>
      <c r="T544" s="62">
        <f t="shared" si="1126"/>
        <v>0</v>
      </c>
      <c r="U544" s="19">
        <f t="shared" si="1127"/>
        <v>0</v>
      </c>
      <c r="V544" s="19">
        <f t="shared" ref="V544:X544" si="1133">V627-U627</f>
        <v>-1475</v>
      </c>
      <c r="W544" s="19">
        <f t="shared" si="1133"/>
        <v>0</v>
      </c>
      <c r="X544" s="19">
        <f t="shared" si="1133"/>
        <v>0</v>
      </c>
      <c r="Y544" s="62">
        <f t="shared" si="1129"/>
        <v>-1475</v>
      </c>
      <c r="Z544" s="19">
        <f t="shared" si="1130"/>
        <v>-16915</v>
      </c>
      <c r="AA544" s="19">
        <f t="shared" si="1131"/>
        <v>0</v>
      </c>
      <c r="AB544" s="19">
        <f t="shared" si="1131"/>
        <v>-1543</v>
      </c>
      <c r="AC544" s="594">
        <v>0</v>
      </c>
      <c r="AD544" s="76">
        <f>SUM(Z544:AC544)</f>
        <v>-18458</v>
      </c>
      <c r="AE544" s="594">
        <v>0</v>
      </c>
      <c r="AF544" s="594">
        <v>0</v>
      </c>
      <c r="AG544" s="594">
        <v>0</v>
      </c>
      <c r="AH544" s="594">
        <v>0</v>
      </c>
      <c r="AI544" s="76">
        <f>SUM(AE544:AH544)</f>
        <v>0</v>
      </c>
      <c r="AJ544" s="594">
        <v>0</v>
      </c>
      <c r="AK544" s="594">
        <v>0</v>
      </c>
      <c r="AL544" s="594">
        <v>0</v>
      </c>
      <c r="AM544" s="594">
        <v>0</v>
      </c>
      <c r="AN544" s="76">
        <f>SUM(AJ544:AM544)</f>
        <v>0</v>
      </c>
      <c r="AO544" s="594">
        <v>0</v>
      </c>
      <c r="AP544" s="594">
        <v>0</v>
      </c>
      <c r="AQ544" s="594">
        <v>0</v>
      </c>
      <c r="AR544" s="594">
        <v>0</v>
      </c>
      <c r="AS544" s="76">
        <f>SUM(AO544:AR544)</f>
        <v>0</v>
      </c>
    </row>
    <row r="545" spans="1:45">
      <c r="A545" s="527" t="s">
        <v>368</v>
      </c>
      <c r="C545" s="62"/>
      <c r="D545" s="62"/>
      <c r="E545" s="62"/>
      <c r="I545" s="19">
        <f t="shared" si="1121"/>
        <v>0</v>
      </c>
      <c r="J545" s="62"/>
      <c r="N545" s="19">
        <f t="shared" si="1122"/>
        <v>0</v>
      </c>
      <c r="O545" s="62">
        <f t="shared" si="1123"/>
        <v>0</v>
      </c>
      <c r="P545" s="19">
        <f t="shared" si="1124"/>
        <v>0</v>
      </c>
      <c r="Q545" s="19">
        <f t="shared" ref="Q545:S545" si="1134">Q628-P628</f>
        <v>781</v>
      </c>
      <c r="R545" s="19">
        <f t="shared" si="1134"/>
        <v>0</v>
      </c>
      <c r="S545" s="19">
        <f t="shared" si="1134"/>
        <v>0</v>
      </c>
      <c r="T545" s="62">
        <f t="shared" si="1126"/>
        <v>781</v>
      </c>
      <c r="U545" s="19">
        <f t="shared" si="1127"/>
        <v>0</v>
      </c>
      <c r="V545" s="19">
        <f t="shared" ref="V545:X545" si="1135">V628-U628</f>
        <v>0</v>
      </c>
      <c r="W545" s="19">
        <f t="shared" si="1135"/>
        <v>0</v>
      </c>
      <c r="X545" s="19">
        <f t="shared" si="1135"/>
        <v>0</v>
      </c>
      <c r="Y545" s="62">
        <f t="shared" si="1129"/>
        <v>0</v>
      </c>
      <c r="Z545" s="19">
        <f t="shared" si="1130"/>
        <v>0</v>
      </c>
      <c r="AA545" s="19">
        <f t="shared" si="1131"/>
        <v>0</v>
      </c>
      <c r="AB545" s="19">
        <f t="shared" si="1131"/>
        <v>0</v>
      </c>
      <c r="AC545" s="594">
        <v>0</v>
      </c>
      <c r="AD545" s="76">
        <f>SUM(Z545:AC545)</f>
        <v>0</v>
      </c>
      <c r="AE545" s="594">
        <v>0</v>
      </c>
      <c r="AF545" s="594">
        <v>0</v>
      </c>
      <c r="AG545" s="594">
        <v>0</v>
      </c>
      <c r="AH545" s="594">
        <v>0</v>
      </c>
      <c r="AI545" s="76">
        <f>SUM(AE545:AH545)</f>
        <v>0</v>
      </c>
      <c r="AJ545" s="594">
        <v>0</v>
      </c>
      <c r="AK545" s="594">
        <v>0</v>
      </c>
      <c r="AL545" s="594">
        <v>0</v>
      </c>
      <c r="AM545" s="594">
        <v>0</v>
      </c>
      <c r="AN545" s="76">
        <f>SUM(AJ545:AM545)</f>
        <v>0</v>
      </c>
      <c r="AO545" s="594">
        <v>0</v>
      </c>
      <c r="AP545" s="594">
        <v>0</v>
      </c>
      <c r="AQ545" s="594">
        <v>0</v>
      </c>
      <c r="AR545" s="594">
        <v>0</v>
      </c>
      <c r="AS545" s="76">
        <f>SUM(AO545:AR545)</f>
        <v>0</v>
      </c>
    </row>
    <row r="546" spans="1:45">
      <c r="A546" s="527" t="s">
        <v>369</v>
      </c>
      <c r="C546" s="62"/>
      <c r="D546" s="62"/>
      <c r="E546" s="62"/>
      <c r="I546" s="19">
        <f t="shared" si="1121"/>
        <v>-208</v>
      </c>
      <c r="J546" s="62"/>
      <c r="N546" s="19">
        <f t="shared" si="1122"/>
        <v>-208</v>
      </c>
      <c r="O546" s="62">
        <f t="shared" si="1123"/>
        <v>-316</v>
      </c>
      <c r="P546" s="19">
        <f t="shared" si="1124"/>
        <v>-170</v>
      </c>
      <c r="Q546" s="19">
        <f t="shared" ref="Q546:S546" si="1136">Q629-P629</f>
        <v>-103</v>
      </c>
      <c r="R546" s="19">
        <f t="shared" si="1136"/>
        <v>-1956</v>
      </c>
      <c r="S546" s="19">
        <f t="shared" si="1136"/>
        <v>-2186</v>
      </c>
      <c r="T546" s="62">
        <f t="shared" si="1126"/>
        <v>-4415</v>
      </c>
      <c r="U546" s="19">
        <f t="shared" si="1127"/>
        <v>-276</v>
      </c>
      <c r="V546" s="19">
        <f t="shared" ref="V546:X546" si="1137">V629-U629</f>
        <v>-976</v>
      </c>
      <c r="W546" s="19">
        <f t="shared" si="1137"/>
        <v>-3438</v>
      </c>
      <c r="X546" s="19">
        <f t="shared" si="1137"/>
        <v>-1857</v>
      </c>
      <c r="Y546" s="62">
        <f t="shared" si="1129"/>
        <v>-6547</v>
      </c>
      <c r="Z546" s="19">
        <f t="shared" si="1130"/>
        <v>-2450</v>
      </c>
      <c r="AA546" s="19">
        <f t="shared" si="1131"/>
        <v>-1915</v>
      </c>
      <c r="AB546" s="19">
        <f t="shared" si="1131"/>
        <v>-2719</v>
      </c>
      <c r="AC546" s="594">
        <v>0</v>
      </c>
      <c r="AD546" s="76">
        <f>SUM(Z546:AC546)</f>
        <v>-7084</v>
      </c>
      <c r="AE546" s="594">
        <v>0</v>
      </c>
      <c r="AF546" s="594">
        <v>0</v>
      </c>
      <c r="AG546" s="594">
        <v>0</v>
      </c>
      <c r="AH546" s="594">
        <v>0</v>
      </c>
      <c r="AI546" s="76">
        <f>SUM(AE546:AH546)</f>
        <v>0</v>
      </c>
      <c r="AJ546" s="594">
        <v>0</v>
      </c>
      <c r="AK546" s="594">
        <v>0</v>
      </c>
      <c r="AL546" s="594">
        <v>0</v>
      </c>
      <c r="AM546" s="594">
        <v>0</v>
      </c>
      <c r="AN546" s="76">
        <f>SUM(AJ546:AM546)</f>
        <v>0</v>
      </c>
      <c r="AO546" s="594">
        <v>0</v>
      </c>
      <c r="AP546" s="594">
        <v>0</v>
      </c>
      <c r="AQ546" s="594">
        <v>0</v>
      </c>
      <c r="AR546" s="594">
        <v>0</v>
      </c>
      <c r="AS546" s="76">
        <f>SUM(AO546:AR546)</f>
        <v>0</v>
      </c>
    </row>
    <row r="547" spans="1:45">
      <c r="A547" s="527" t="s">
        <v>370</v>
      </c>
      <c r="C547" s="62"/>
      <c r="D547" s="62"/>
      <c r="E547" s="62"/>
      <c r="I547" s="19">
        <f t="shared" si="1121"/>
        <v>-912</v>
      </c>
      <c r="J547" s="62"/>
      <c r="N547" s="19">
        <f t="shared" si="1122"/>
        <v>-912</v>
      </c>
      <c r="O547" s="62">
        <f t="shared" si="1123"/>
        <v>-3501</v>
      </c>
      <c r="P547" s="19">
        <f t="shared" si="1124"/>
        <v>-818</v>
      </c>
      <c r="Q547" s="19">
        <f t="shared" ref="Q547:S547" si="1138">Q630-P630</f>
        <v>-3889</v>
      </c>
      <c r="R547" s="19">
        <f t="shared" si="1138"/>
        <v>-150</v>
      </c>
      <c r="S547" s="19">
        <f t="shared" si="1138"/>
        <v>-6344</v>
      </c>
      <c r="T547" s="62">
        <f t="shared" si="1126"/>
        <v>-11201</v>
      </c>
      <c r="U547" s="19">
        <f t="shared" si="1127"/>
        <v>-3149</v>
      </c>
      <c r="V547" s="19">
        <f t="shared" ref="V547:X547" si="1139">V630-U630</f>
        <v>-2428</v>
      </c>
      <c r="W547" s="19">
        <f t="shared" si="1139"/>
        <v>-4303</v>
      </c>
      <c r="X547" s="19">
        <f t="shared" si="1139"/>
        <v>-967</v>
      </c>
      <c r="Y547" s="62">
        <f t="shared" si="1129"/>
        <v>-10847</v>
      </c>
      <c r="Z547" s="19">
        <f t="shared" si="1130"/>
        <v>-2319</v>
      </c>
      <c r="AA547" s="19">
        <f t="shared" si="1131"/>
        <v>-1304</v>
      </c>
      <c r="AB547" s="19">
        <f t="shared" si="1131"/>
        <v>-174</v>
      </c>
      <c r="AC547" s="19">
        <f>AC576*AB446</f>
        <v>-160.62</v>
      </c>
      <c r="AD547" s="76">
        <f>SUM(Z547:AC547)</f>
        <v>-3957.62</v>
      </c>
      <c r="AE547" s="19">
        <f>AE576*AD446</f>
        <v>-84.929996377219339</v>
      </c>
      <c r="AF547" s="19">
        <f>AF576*AE446</f>
        <v>-15.732485477225866</v>
      </c>
      <c r="AG547" s="19">
        <f>AG576*AF446</f>
        <v>47.529441931555056</v>
      </c>
      <c r="AH547" s="19">
        <f>AH576*AG446</f>
        <v>105.36492484737545</v>
      </c>
      <c r="AI547" s="76">
        <f>SUM(AE547:AH547)</f>
        <v>52.2318849244853</v>
      </c>
      <c r="AJ547" s="19">
        <f>AJ576*AI446</f>
        <v>158.23942964221143</v>
      </c>
      <c r="AK547" s="19">
        <f>AK576*AJ446</f>
        <v>206.57849618667674</v>
      </c>
      <c r="AL547" s="19">
        <f>AL576*AK446</f>
        <v>250.77116264203167</v>
      </c>
      <c r="AM547" s="19">
        <f>AM576*AL446</f>
        <v>291.17309648239177</v>
      </c>
      <c r="AN547" s="76">
        <f>SUM(AJ547:AM547)</f>
        <v>906.76218495331159</v>
      </c>
      <c r="AO547" s="19">
        <f>AO576*AN446</f>
        <v>328.10945694595102</v>
      </c>
      <c r="AP547" s="19">
        <f>AP576*AO446</f>
        <v>361.87751195254339</v>
      </c>
      <c r="AQ547" s="19">
        <f>AQ576*AP446</f>
        <v>392.74903054878473</v>
      </c>
      <c r="AR547" s="19">
        <f>AR576*AQ446</f>
        <v>420.97247013545984</v>
      </c>
      <c r="AS547" s="76">
        <f>SUM(AO547:AR547)</f>
        <v>1503.7084695827389</v>
      </c>
    </row>
    <row r="548" spans="1:45" ht="15" thickBot="1">
      <c r="A548" s="529" t="s">
        <v>371</v>
      </c>
      <c r="B548" s="67"/>
      <c r="C548" s="546"/>
      <c r="D548" s="546"/>
      <c r="E548" s="546"/>
      <c r="F548" s="67"/>
      <c r="G548" s="67"/>
      <c r="H548" s="67"/>
      <c r="I548" s="70">
        <f t="shared" si="1121"/>
        <v>-1120</v>
      </c>
      <c r="J548" s="546"/>
      <c r="K548" s="67"/>
      <c r="L548" s="67"/>
      <c r="M548" s="67"/>
      <c r="N548" s="70">
        <f t="shared" si="1122"/>
        <v>-1120</v>
      </c>
      <c r="O548" s="546">
        <f t="shared" si="1123"/>
        <v>-3817</v>
      </c>
      <c r="P548" s="70">
        <f t="shared" si="1124"/>
        <v>-988</v>
      </c>
      <c r="Q548" s="70">
        <f t="shared" ref="Q548:S548" si="1140">Q631-P631</f>
        <v>-8131</v>
      </c>
      <c r="R548" s="70">
        <f t="shared" si="1140"/>
        <v>-20082</v>
      </c>
      <c r="S548" s="70">
        <f t="shared" si="1140"/>
        <v>-8530</v>
      </c>
      <c r="T548" s="546">
        <f t="shared" si="1126"/>
        <v>-37731</v>
      </c>
      <c r="U548" s="70">
        <f t="shared" si="1127"/>
        <v>-3425</v>
      </c>
      <c r="V548" s="70">
        <f t="shared" ref="V548:X548" si="1141">V631-U631</f>
        <v>-4879</v>
      </c>
      <c r="W548" s="70">
        <f t="shared" si="1141"/>
        <v>-7741</v>
      </c>
      <c r="X548" s="70">
        <f t="shared" si="1141"/>
        <v>-2824</v>
      </c>
      <c r="Y548" s="546">
        <f t="shared" si="1129"/>
        <v>-18869</v>
      </c>
      <c r="Z548" s="70">
        <f t="shared" si="1130"/>
        <v>-21684</v>
      </c>
      <c r="AA548" s="70">
        <f t="shared" si="1131"/>
        <v>-3219</v>
      </c>
      <c r="AB548" s="70">
        <f t="shared" si="1131"/>
        <v>-4436</v>
      </c>
      <c r="AC548" s="70">
        <f>AC543+AC544+AC545+AC546+AC547</f>
        <v>-160.62</v>
      </c>
      <c r="AD548" s="572">
        <f t="shared" ref="AD548:AS548" si="1142">AD543+AD544+AD545+AD546+AD547</f>
        <v>-29499.62</v>
      </c>
      <c r="AE548" s="70">
        <f t="shared" si="1142"/>
        <v>-84.929996377219339</v>
      </c>
      <c r="AF548" s="70">
        <f t="shared" si="1142"/>
        <v>-15.732485477225866</v>
      </c>
      <c r="AG548" s="70">
        <f t="shared" si="1142"/>
        <v>47.529441931555056</v>
      </c>
      <c r="AH548" s="70">
        <f t="shared" si="1142"/>
        <v>105.36492484737545</v>
      </c>
      <c r="AI548" s="572">
        <f t="shared" si="1142"/>
        <v>52.2318849244853</v>
      </c>
      <c r="AJ548" s="70">
        <f t="shared" si="1142"/>
        <v>158.23942964221143</v>
      </c>
      <c r="AK548" s="70">
        <f t="shared" si="1142"/>
        <v>206.57849618667674</v>
      </c>
      <c r="AL548" s="70">
        <f t="shared" si="1142"/>
        <v>250.77116264203167</v>
      </c>
      <c r="AM548" s="70">
        <f t="shared" si="1142"/>
        <v>291.17309648239177</v>
      </c>
      <c r="AN548" s="572">
        <f t="shared" si="1142"/>
        <v>906.76218495331159</v>
      </c>
      <c r="AO548" s="70">
        <f t="shared" si="1142"/>
        <v>328.10945694595102</v>
      </c>
      <c r="AP548" s="70">
        <f t="shared" si="1142"/>
        <v>361.87751195254339</v>
      </c>
      <c r="AQ548" s="70">
        <f t="shared" si="1142"/>
        <v>392.74903054878473</v>
      </c>
      <c r="AR548" s="70">
        <f t="shared" si="1142"/>
        <v>420.97247013545984</v>
      </c>
      <c r="AS548" s="572">
        <f t="shared" si="1142"/>
        <v>1503.7084695827389</v>
      </c>
    </row>
    <row r="549" spans="1:45" ht="15" thickTop="1">
      <c r="A549" s="143"/>
      <c r="C549" s="62"/>
      <c r="D549" s="62"/>
      <c r="E549" s="62"/>
      <c r="I549" s="19"/>
      <c r="J549" s="62"/>
      <c r="N549" s="19"/>
      <c r="O549" s="62"/>
      <c r="P549" s="19"/>
      <c r="Q549" s="19"/>
      <c r="R549" s="19"/>
      <c r="S549" s="19"/>
      <c r="T549" s="62"/>
      <c r="U549" s="19"/>
      <c r="V549" s="19"/>
      <c r="W549" s="19"/>
      <c r="X549" s="19"/>
      <c r="Y549" s="62"/>
      <c r="Z549" s="19"/>
      <c r="AA549" s="19"/>
      <c r="AB549" s="19"/>
      <c r="AC549" s="545"/>
    </row>
    <row r="550" spans="1:45">
      <c r="A550" s="438" t="s">
        <v>372</v>
      </c>
      <c r="C550" s="62"/>
      <c r="D550" s="62"/>
      <c r="E550" s="62"/>
      <c r="I550" s="19"/>
      <c r="J550" s="62"/>
      <c r="N550" s="19"/>
      <c r="O550" s="62"/>
      <c r="P550" s="19"/>
      <c r="Q550" s="19"/>
      <c r="R550" s="19"/>
      <c r="S550" s="19"/>
      <c r="T550" s="62"/>
      <c r="U550" s="19"/>
      <c r="V550" s="19"/>
      <c r="W550" s="19"/>
      <c r="X550" s="19"/>
      <c r="Y550" s="62"/>
      <c r="Z550" s="19"/>
      <c r="AA550" s="19"/>
      <c r="AB550" s="19"/>
      <c r="AC550" s="545"/>
    </row>
    <row r="551" spans="1:45">
      <c r="A551" s="58" t="s">
        <v>373</v>
      </c>
      <c r="C551" s="62"/>
      <c r="D551" s="62"/>
      <c r="E551" s="62"/>
      <c r="I551" s="19">
        <f t="shared" ref="I551:I562" si="1143">I634-H634</f>
        <v>0</v>
      </c>
      <c r="J551" s="62"/>
      <c r="N551" s="19">
        <f t="shared" ref="N551:N562" si="1144">N634-M634</f>
        <v>0</v>
      </c>
      <c r="O551" s="62">
        <f t="shared" ref="O551:O562" si="1145">N634</f>
        <v>0</v>
      </c>
      <c r="P551" s="19">
        <f t="shared" ref="P551:P562" si="1146">P634</f>
        <v>0</v>
      </c>
      <c r="Q551" s="19">
        <f t="shared" ref="Q551:S551" si="1147">Q634-P634</f>
        <v>0</v>
      </c>
      <c r="R551" s="19">
        <f t="shared" si="1147"/>
        <v>750000</v>
      </c>
      <c r="S551" s="19">
        <f t="shared" si="1147"/>
        <v>-750000</v>
      </c>
      <c r="T551" s="62">
        <f t="shared" ref="T551:T562" si="1148">S634</f>
        <v>0</v>
      </c>
      <c r="U551" s="19">
        <f t="shared" ref="U551:U562" si="1149">U634</f>
        <v>0</v>
      </c>
      <c r="V551" s="19">
        <f t="shared" ref="V551:X551" si="1150">V634-U634</f>
        <v>0</v>
      </c>
      <c r="W551" s="19">
        <f t="shared" si="1150"/>
        <v>0</v>
      </c>
      <c r="X551" s="19">
        <f t="shared" si="1150"/>
        <v>0</v>
      </c>
      <c r="Y551" s="62">
        <f t="shared" ref="Y551:Y562" si="1151">X634</f>
        <v>0</v>
      </c>
      <c r="Z551" s="19">
        <f t="shared" ref="Z551:Z562" si="1152">Z634</f>
        <v>0</v>
      </c>
      <c r="AA551" s="19">
        <f t="shared" ref="AA551:AB562" si="1153">AA634-Z634</f>
        <v>0</v>
      </c>
      <c r="AB551" s="19">
        <f t="shared" si="1153"/>
        <v>0</v>
      </c>
      <c r="AC551" s="594">
        <v>0</v>
      </c>
      <c r="AD551" s="76">
        <f t="shared" ref="AD551:AD561" si="1154">SUM(Z551:AC551)</f>
        <v>0</v>
      </c>
      <c r="AE551" s="594">
        <v>0</v>
      </c>
      <c r="AF551" s="594">
        <v>0</v>
      </c>
      <c r="AG551" s="594">
        <v>0</v>
      </c>
      <c r="AH551" s="594">
        <v>0</v>
      </c>
      <c r="AI551" s="76">
        <f t="shared" ref="AI551:AI561" si="1155">SUM(AE551:AH551)</f>
        <v>0</v>
      </c>
      <c r="AJ551" s="594">
        <v>0</v>
      </c>
      <c r="AK551" s="594">
        <v>0</v>
      </c>
      <c r="AL551" s="594">
        <v>0</v>
      </c>
      <c r="AM551" s="594">
        <v>0</v>
      </c>
      <c r="AN551" s="76">
        <f t="shared" ref="AN551:AN561" si="1156">SUM(AJ551:AM551)</f>
        <v>0</v>
      </c>
      <c r="AO551" s="594">
        <v>0</v>
      </c>
      <c r="AP551" s="594">
        <v>0</v>
      </c>
      <c r="AQ551" s="594">
        <v>0</v>
      </c>
      <c r="AR551" s="594">
        <v>0</v>
      </c>
      <c r="AS551" s="76">
        <f t="shared" ref="AS551:AS561" si="1157">SUM(AO551:AR551)</f>
        <v>0</v>
      </c>
    </row>
    <row r="552" spans="1:45">
      <c r="A552" s="58" t="s">
        <v>374</v>
      </c>
      <c r="C552" s="62"/>
      <c r="D552" s="62"/>
      <c r="E552" s="62"/>
      <c r="I552" s="19">
        <f t="shared" si="1143"/>
        <v>0</v>
      </c>
      <c r="J552" s="62"/>
      <c r="N552" s="19">
        <f t="shared" si="1144"/>
        <v>0</v>
      </c>
      <c r="O552" s="62">
        <f t="shared" si="1145"/>
        <v>0</v>
      </c>
      <c r="P552" s="19">
        <f t="shared" si="1146"/>
        <v>0</v>
      </c>
      <c r="Q552" s="19">
        <f t="shared" ref="Q552:S552" si="1158">Q635-P635</f>
        <v>0</v>
      </c>
      <c r="R552" s="19">
        <f t="shared" si="1158"/>
        <v>-90150</v>
      </c>
      <c r="S552" s="19">
        <f t="shared" si="1158"/>
        <v>90150</v>
      </c>
      <c r="T552" s="62">
        <f t="shared" si="1148"/>
        <v>0</v>
      </c>
      <c r="U552" s="19">
        <f t="shared" si="1149"/>
        <v>0</v>
      </c>
      <c r="V552" s="19">
        <f t="shared" ref="V552:X552" si="1159">V635-U635</f>
        <v>0</v>
      </c>
      <c r="W552" s="19">
        <f t="shared" si="1159"/>
        <v>0</v>
      </c>
      <c r="X552" s="19">
        <f t="shared" si="1159"/>
        <v>0</v>
      </c>
      <c r="Y552" s="62">
        <f t="shared" si="1151"/>
        <v>0</v>
      </c>
      <c r="Z552" s="19">
        <f t="shared" si="1152"/>
        <v>0</v>
      </c>
      <c r="AA552" s="19">
        <f t="shared" si="1153"/>
        <v>-2240</v>
      </c>
      <c r="AB552" s="19">
        <f t="shared" si="1153"/>
        <v>0</v>
      </c>
      <c r="AC552" s="594">
        <v>0</v>
      </c>
      <c r="AD552" s="76">
        <f t="shared" si="1154"/>
        <v>-2240</v>
      </c>
      <c r="AE552" s="594">
        <v>0</v>
      </c>
      <c r="AF552" s="594">
        <v>0</v>
      </c>
      <c r="AG552" s="594">
        <v>0</v>
      </c>
      <c r="AH552" s="594">
        <v>0</v>
      </c>
      <c r="AI552" s="76">
        <f t="shared" si="1155"/>
        <v>0</v>
      </c>
      <c r="AJ552" s="594">
        <v>0</v>
      </c>
      <c r="AK552" s="594">
        <v>0</v>
      </c>
      <c r="AL552" s="594">
        <v>0</v>
      </c>
      <c r="AM552" s="594">
        <v>0</v>
      </c>
      <c r="AN552" s="76">
        <f t="shared" si="1156"/>
        <v>0</v>
      </c>
      <c r="AO552" s="594">
        <v>0</v>
      </c>
      <c r="AP552" s="594">
        <v>0</v>
      </c>
      <c r="AQ552" s="594">
        <v>0</v>
      </c>
      <c r="AR552" s="594">
        <v>0</v>
      </c>
      <c r="AS552" s="76">
        <f t="shared" si="1157"/>
        <v>0</v>
      </c>
    </row>
    <row r="553" spans="1:45">
      <c r="A553" s="58" t="s">
        <v>375</v>
      </c>
      <c r="C553" s="62"/>
      <c r="D553" s="62"/>
      <c r="E553" s="62"/>
      <c r="I553" s="19">
        <f t="shared" si="1143"/>
        <v>0</v>
      </c>
      <c r="J553" s="62"/>
      <c r="N553" s="19">
        <f t="shared" si="1144"/>
        <v>0</v>
      </c>
      <c r="O553" s="62">
        <f t="shared" si="1145"/>
        <v>0</v>
      </c>
      <c r="P553" s="19">
        <f t="shared" si="1146"/>
        <v>0</v>
      </c>
      <c r="Q553" s="19">
        <f t="shared" ref="Q553:S553" si="1160">Q636-P636</f>
        <v>0</v>
      </c>
      <c r="R553" s="19">
        <f t="shared" si="1160"/>
        <v>0</v>
      </c>
      <c r="S553" s="19">
        <f t="shared" si="1160"/>
        <v>0</v>
      </c>
      <c r="T553" s="62">
        <f t="shared" si="1148"/>
        <v>0</v>
      </c>
      <c r="U553" s="19">
        <f t="shared" si="1149"/>
        <v>-783</v>
      </c>
      <c r="V553" s="19">
        <f t="shared" ref="V553:X553" si="1161">V636-U636</f>
        <v>783</v>
      </c>
      <c r="W553" s="19">
        <f t="shared" si="1161"/>
        <v>0</v>
      </c>
      <c r="X553" s="19">
        <f t="shared" si="1161"/>
        <v>0</v>
      </c>
      <c r="Y553" s="62">
        <f t="shared" si="1151"/>
        <v>0</v>
      </c>
      <c r="Z553" s="19">
        <f t="shared" si="1152"/>
        <v>0</v>
      </c>
      <c r="AA553" s="19">
        <f t="shared" si="1153"/>
        <v>0</v>
      </c>
      <c r="AB553" s="19">
        <f t="shared" si="1153"/>
        <v>0</v>
      </c>
      <c r="AC553" s="594">
        <v>0</v>
      </c>
      <c r="AD553" s="76">
        <f t="shared" si="1154"/>
        <v>0</v>
      </c>
      <c r="AE553" s="594">
        <v>0</v>
      </c>
      <c r="AF553" s="594">
        <v>0</v>
      </c>
      <c r="AG553" s="594">
        <v>0</v>
      </c>
      <c r="AH553" s="594">
        <v>0</v>
      </c>
      <c r="AI553" s="76">
        <f t="shared" si="1155"/>
        <v>0</v>
      </c>
      <c r="AJ553" s="594">
        <v>0</v>
      </c>
      <c r="AK553" s="594">
        <v>0</v>
      </c>
      <c r="AL553" s="594">
        <v>0</v>
      </c>
      <c r="AM553" s="594">
        <v>0</v>
      </c>
      <c r="AN553" s="76">
        <f t="shared" si="1156"/>
        <v>0</v>
      </c>
      <c r="AO553" s="594">
        <v>0</v>
      </c>
      <c r="AP553" s="594">
        <v>0</v>
      </c>
      <c r="AQ553" s="594">
        <v>0</v>
      </c>
      <c r="AR553" s="594">
        <v>0</v>
      </c>
      <c r="AS553" s="76">
        <f t="shared" si="1157"/>
        <v>0</v>
      </c>
    </row>
    <row r="554" spans="1:45">
      <c r="A554" s="58" t="s">
        <v>376</v>
      </c>
      <c r="C554" s="62"/>
      <c r="D554" s="62"/>
      <c r="E554" s="62"/>
      <c r="I554" s="19">
        <f t="shared" si="1143"/>
        <v>0</v>
      </c>
      <c r="J554" s="62"/>
      <c r="N554" s="19">
        <f t="shared" si="1144"/>
        <v>0</v>
      </c>
      <c r="O554" s="62">
        <f t="shared" si="1145"/>
        <v>0</v>
      </c>
      <c r="P554" s="19">
        <f t="shared" si="1146"/>
        <v>0</v>
      </c>
      <c r="Q554" s="19">
        <f t="shared" ref="Q554:S554" si="1162">Q637-P637</f>
        <v>0</v>
      </c>
      <c r="R554" s="19">
        <f t="shared" si="1162"/>
        <v>0</v>
      </c>
      <c r="S554" s="19">
        <f t="shared" si="1162"/>
        <v>0</v>
      </c>
      <c r="T554" s="62">
        <f t="shared" si="1148"/>
        <v>0</v>
      </c>
      <c r="U554" s="19">
        <f t="shared" si="1149"/>
        <v>0</v>
      </c>
      <c r="V554" s="19">
        <f t="shared" ref="V554:X554" si="1163">V637-U637</f>
        <v>-2763</v>
      </c>
      <c r="W554" s="19">
        <f t="shared" si="1163"/>
        <v>2763</v>
      </c>
      <c r="X554" s="19">
        <f t="shared" si="1163"/>
        <v>0</v>
      </c>
      <c r="Y554" s="62">
        <f t="shared" si="1151"/>
        <v>0</v>
      </c>
      <c r="Z554" s="19">
        <f t="shared" si="1152"/>
        <v>0</v>
      </c>
      <c r="AA554" s="19">
        <f t="shared" si="1153"/>
        <v>0</v>
      </c>
      <c r="AB554" s="19">
        <f t="shared" si="1153"/>
        <v>-1819</v>
      </c>
      <c r="AC554" s="594">
        <v>0</v>
      </c>
      <c r="AD554" s="76">
        <f t="shared" si="1154"/>
        <v>-1819</v>
      </c>
      <c r="AE554" s="594">
        <v>0</v>
      </c>
      <c r="AF554" s="594">
        <v>0</v>
      </c>
      <c r="AG554" s="594">
        <v>0</v>
      </c>
      <c r="AH554" s="594">
        <v>0</v>
      </c>
      <c r="AI554" s="76">
        <f t="shared" si="1155"/>
        <v>0</v>
      </c>
      <c r="AJ554" s="594">
        <v>0</v>
      </c>
      <c r="AK554" s="594">
        <v>0</v>
      </c>
      <c r="AL554" s="594">
        <v>0</v>
      </c>
      <c r="AM554" s="594">
        <v>0</v>
      </c>
      <c r="AN554" s="76">
        <f t="shared" si="1156"/>
        <v>0</v>
      </c>
      <c r="AO554" s="594">
        <v>0</v>
      </c>
      <c r="AP554" s="594">
        <v>0</v>
      </c>
      <c r="AQ554" s="594">
        <v>0</v>
      </c>
      <c r="AR554" s="594">
        <v>0</v>
      </c>
      <c r="AS554" s="76">
        <f t="shared" si="1157"/>
        <v>0</v>
      </c>
    </row>
    <row r="555" spans="1:45">
      <c r="A555" s="58" t="s">
        <v>377</v>
      </c>
      <c r="C555" s="62"/>
      <c r="D555" s="62"/>
      <c r="E555" s="62"/>
      <c r="I555" s="19">
        <f t="shared" si="1143"/>
        <v>-6500</v>
      </c>
      <c r="J555" s="62"/>
      <c r="N555" s="19">
        <f t="shared" si="1144"/>
        <v>-6500</v>
      </c>
      <c r="O555" s="62">
        <f t="shared" si="1145"/>
        <v>0</v>
      </c>
      <c r="P555" s="19">
        <f t="shared" si="1146"/>
        <v>5000</v>
      </c>
      <c r="Q555" s="19">
        <f t="shared" ref="Q555:S555" si="1164">Q638-P638</f>
        <v>0</v>
      </c>
      <c r="R555" s="19">
        <f t="shared" si="1164"/>
        <v>0</v>
      </c>
      <c r="S555" s="19">
        <f t="shared" si="1164"/>
        <v>-5000</v>
      </c>
      <c r="T555" s="62">
        <f t="shared" si="1148"/>
        <v>0</v>
      </c>
      <c r="U555" s="19">
        <f t="shared" si="1149"/>
        <v>0</v>
      </c>
      <c r="V555" s="19">
        <f t="shared" ref="V555:X555" si="1165">V638-U638</f>
        <v>0</v>
      </c>
      <c r="W555" s="19">
        <f t="shared" si="1165"/>
        <v>0</v>
      </c>
      <c r="X555" s="19">
        <f t="shared" si="1165"/>
        <v>0</v>
      </c>
      <c r="Y555" s="62">
        <f t="shared" si="1151"/>
        <v>0</v>
      </c>
      <c r="Z555" s="19">
        <f t="shared" si="1152"/>
        <v>0</v>
      </c>
      <c r="AA555" s="19">
        <f t="shared" si="1153"/>
        <v>0</v>
      </c>
      <c r="AB555" s="19">
        <f t="shared" si="1153"/>
        <v>0</v>
      </c>
      <c r="AC555" s="594">
        <v>0</v>
      </c>
      <c r="AD555" s="76">
        <f t="shared" si="1154"/>
        <v>0</v>
      </c>
      <c r="AE555" s="594">
        <v>0</v>
      </c>
      <c r="AF555" s="594">
        <v>0</v>
      </c>
      <c r="AG555" s="594">
        <v>0</v>
      </c>
      <c r="AH555" s="594">
        <v>0</v>
      </c>
      <c r="AI555" s="76">
        <f t="shared" si="1155"/>
        <v>0</v>
      </c>
      <c r="AJ555" s="594">
        <v>0</v>
      </c>
      <c r="AK555" s="594">
        <v>0</v>
      </c>
      <c r="AL555" s="594">
        <v>0</v>
      </c>
      <c r="AM555" s="594">
        <v>0</v>
      </c>
      <c r="AN555" s="76">
        <f t="shared" si="1156"/>
        <v>0</v>
      </c>
      <c r="AO555" s="594">
        <v>0</v>
      </c>
      <c r="AP555" s="594">
        <v>0</v>
      </c>
      <c r="AQ555" s="594">
        <v>0</v>
      </c>
      <c r="AR555" s="594">
        <v>0</v>
      </c>
      <c r="AS555" s="76">
        <f t="shared" si="1157"/>
        <v>0</v>
      </c>
    </row>
    <row r="556" spans="1:45">
      <c r="A556" s="58" t="s">
        <v>378</v>
      </c>
      <c r="C556" s="62"/>
      <c r="D556" s="62"/>
      <c r="E556" s="62"/>
      <c r="I556" s="19">
        <f t="shared" si="1143"/>
        <v>15000</v>
      </c>
      <c r="J556" s="62"/>
      <c r="N556" s="19">
        <f t="shared" si="1144"/>
        <v>15000</v>
      </c>
      <c r="O556" s="62">
        <f t="shared" si="1145"/>
        <v>0</v>
      </c>
      <c r="P556" s="19">
        <f t="shared" si="1146"/>
        <v>0</v>
      </c>
      <c r="Q556" s="19">
        <f t="shared" ref="Q556:S556" si="1166">Q639-P639</f>
        <v>-5000</v>
      </c>
      <c r="R556" s="19">
        <f t="shared" si="1166"/>
        <v>0</v>
      </c>
      <c r="S556" s="19">
        <f t="shared" si="1166"/>
        <v>5000</v>
      </c>
      <c r="T556" s="62">
        <f t="shared" si="1148"/>
        <v>0</v>
      </c>
      <c r="U556" s="19">
        <f t="shared" si="1149"/>
        <v>0</v>
      </c>
      <c r="V556" s="19">
        <f t="shared" ref="V556:X556" si="1167">V639-U639</f>
        <v>0</v>
      </c>
      <c r="W556" s="19">
        <f t="shared" si="1167"/>
        <v>0</v>
      </c>
      <c r="X556" s="19">
        <f t="shared" si="1167"/>
        <v>0</v>
      </c>
      <c r="Y556" s="62">
        <f t="shared" si="1151"/>
        <v>0</v>
      </c>
      <c r="Z556" s="19">
        <f t="shared" si="1152"/>
        <v>0</v>
      </c>
      <c r="AA556" s="19">
        <f t="shared" si="1153"/>
        <v>0</v>
      </c>
      <c r="AB556" s="19">
        <f t="shared" si="1153"/>
        <v>0</v>
      </c>
      <c r="AC556" s="594">
        <v>0</v>
      </c>
      <c r="AD556" s="76">
        <f t="shared" si="1154"/>
        <v>0</v>
      </c>
      <c r="AE556" s="594">
        <v>0</v>
      </c>
      <c r="AF556" s="594">
        <v>0</v>
      </c>
      <c r="AG556" s="594">
        <v>0</v>
      </c>
      <c r="AH556" s="594">
        <v>0</v>
      </c>
      <c r="AI556" s="76">
        <f t="shared" si="1155"/>
        <v>0</v>
      </c>
      <c r="AJ556" s="594">
        <v>0</v>
      </c>
      <c r="AK556" s="594">
        <v>0</v>
      </c>
      <c r="AL556" s="594">
        <v>0</v>
      </c>
      <c r="AM556" s="594">
        <v>0</v>
      </c>
      <c r="AN556" s="76">
        <f t="shared" si="1156"/>
        <v>0</v>
      </c>
      <c r="AO556" s="594">
        <v>0</v>
      </c>
      <c r="AP556" s="594">
        <v>0</v>
      </c>
      <c r="AQ556" s="594">
        <v>0</v>
      </c>
      <c r="AR556" s="594">
        <v>0</v>
      </c>
      <c r="AS556" s="76">
        <f t="shared" si="1157"/>
        <v>0</v>
      </c>
    </row>
    <row r="557" spans="1:45">
      <c r="A557" s="58" t="s">
        <v>379</v>
      </c>
      <c r="C557" s="62"/>
      <c r="D557" s="62"/>
      <c r="E557" s="62"/>
      <c r="I557" s="19">
        <f t="shared" si="1143"/>
        <v>-30000</v>
      </c>
      <c r="J557" s="62"/>
      <c r="N557" s="19">
        <f t="shared" si="1144"/>
        <v>-30000</v>
      </c>
      <c r="O557" s="62">
        <f t="shared" si="1145"/>
        <v>0</v>
      </c>
      <c r="P557" s="19">
        <f t="shared" si="1146"/>
        <v>0</v>
      </c>
      <c r="Q557" s="19">
        <f t="shared" ref="Q557:S557" si="1168">Q640-P640</f>
        <v>0</v>
      </c>
      <c r="R557" s="19">
        <f t="shared" si="1168"/>
        <v>0</v>
      </c>
      <c r="S557" s="19">
        <f t="shared" si="1168"/>
        <v>0</v>
      </c>
      <c r="T557" s="62">
        <f t="shared" si="1148"/>
        <v>0</v>
      </c>
      <c r="U557" s="19">
        <f t="shared" si="1149"/>
        <v>0</v>
      </c>
      <c r="V557" s="19">
        <f t="shared" ref="V557:X557" si="1169">V640-U640</f>
        <v>0</v>
      </c>
      <c r="W557" s="19">
        <f t="shared" si="1169"/>
        <v>0</v>
      </c>
      <c r="X557" s="19">
        <f t="shared" si="1169"/>
        <v>0</v>
      </c>
      <c r="Y557" s="62">
        <f t="shared" si="1151"/>
        <v>0</v>
      </c>
      <c r="Z557" s="19">
        <f t="shared" si="1152"/>
        <v>0</v>
      </c>
      <c r="AA557" s="19">
        <f t="shared" si="1153"/>
        <v>0</v>
      </c>
      <c r="AB557" s="19">
        <f t="shared" si="1153"/>
        <v>0</v>
      </c>
      <c r="AC557" s="594">
        <v>0</v>
      </c>
      <c r="AD557" s="76">
        <f t="shared" si="1154"/>
        <v>0</v>
      </c>
      <c r="AE557" s="594">
        <v>0</v>
      </c>
      <c r="AF557" s="594">
        <v>0</v>
      </c>
      <c r="AG557" s="594">
        <v>0</v>
      </c>
      <c r="AH557" s="594">
        <v>0</v>
      </c>
      <c r="AI557" s="76">
        <f t="shared" si="1155"/>
        <v>0</v>
      </c>
      <c r="AJ557" s="594">
        <v>0</v>
      </c>
      <c r="AK557" s="594">
        <v>0</v>
      </c>
      <c r="AL557" s="594">
        <v>0</v>
      </c>
      <c r="AM557" s="594">
        <v>0</v>
      </c>
      <c r="AN557" s="76">
        <f t="shared" si="1156"/>
        <v>0</v>
      </c>
      <c r="AO557" s="594">
        <v>0</v>
      </c>
      <c r="AP557" s="594">
        <v>0</v>
      </c>
      <c r="AQ557" s="594">
        <v>0</v>
      </c>
      <c r="AR557" s="594">
        <v>0</v>
      </c>
      <c r="AS557" s="76">
        <f t="shared" si="1157"/>
        <v>0</v>
      </c>
    </row>
    <row r="558" spans="1:45">
      <c r="A558" s="58" t="s">
        <v>380</v>
      </c>
      <c r="C558" s="62"/>
      <c r="D558" s="62"/>
      <c r="E558" s="62"/>
      <c r="I558" s="19">
        <f t="shared" si="1143"/>
        <v>77</v>
      </c>
      <c r="J558" s="62"/>
      <c r="N558" s="19">
        <f t="shared" si="1144"/>
        <v>77</v>
      </c>
      <c r="O558" s="62">
        <f t="shared" si="1145"/>
        <v>0</v>
      </c>
      <c r="P558" s="19">
        <f t="shared" si="1146"/>
        <v>0</v>
      </c>
      <c r="Q558" s="19">
        <f t="shared" ref="Q558:S558" si="1170">Q641-P641</f>
        <v>0</v>
      </c>
      <c r="R558" s="19">
        <f t="shared" si="1170"/>
        <v>-21341</v>
      </c>
      <c r="S558" s="19">
        <f t="shared" si="1170"/>
        <v>21341</v>
      </c>
      <c r="T558" s="62">
        <f t="shared" si="1148"/>
        <v>0</v>
      </c>
      <c r="U558" s="19">
        <f t="shared" si="1149"/>
        <v>0</v>
      </c>
      <c r="V558" s="19">
        <f t="shared" ref="V558:X558" si="1171">V641-U641</f>
        <v>0</v>
      </c>
      <c r="W558" s="19">
        <f t="shared" si="1171"/>
        <v>0</v>
      </c>
      <c r="X558" s="19">
        <f t="shared" si="1171"/>
        <v>0</v>
      </c>
      <c r="Y558" s="62">
        <f t="shared" si="1151"/>
        <v>0</v>
      </c>
      <c r="Z558" s="19">
        <f t="shared" si="1152"/>
        <v>0</v>
      </c>
      <c r="AA558" s="19">
        <f t="shared" si="1153"/>
        <v>0</v>
      </c>
      <c r="AB558" s="19">
        <f t="shared" si="1153"/>
        <v>0</v>
      </c>
      <c r="AC558" s="594">
        <v>0</v>
      </c>
      <c r="AD558" s="76">
        <f t="shared" si="1154"/>
        <v>0</v>
      </c>
      <c r="AE558" s="594">
        <v>0</v>
      </c>
      <c r="AF558" s="594">
        <v>0</v>
      </c>
      <c r="AG558" s="594">
        <v>0</v>
      </c>
      <c r="AH558" s="594">
        <v>0</v>
      </c>
      <c r="AI558" s="76">
        <f t="shared" si="1155"/>
        <v>0</v>
      </c>
      <c r="AJ558" s="594">
        <v>0</v>
      </c>
      <c r="AK558" s="594">
        <v>0</v>
      </c>
      <c r="AL558" s="594">
        <v>0</v>
      </c>
      <c r="AM558" s="594">
        <v>0</v>
      </c>
      <c r="AN558" s="76">
        <f t="shared" si="1156"/>
        <v>0</v>
      </c>
      <c r="AO558" s="594">
        <v>0</v>
      </c>
      <c r="AP558" s="594">
        <v>0</v>
      </c>
      <c r="AQ558" s="594">
        <v>0</v>
      </c>
      <c r="AR558" s="594">
        <v>0</v>
      </c>
      <c r="AS558" s="76">
        <f t="shared" si="1157"/>
        <v>0</v>
      </c>
    </row>
    <row r="559" spans="1:45">
      <c r="A559" s="58" t="s">
        <v>381</v>
      </c>
      <c r="C559" s="62"/>
      <c r="D559" s="62"/>
      <c r="E559" s="62"/>
      <c r="I559" s="19">
        <f t="shared" si="1143"/>
        <v>1329</v>
      </c>
      <c r="J559" s="62"/>
      <c r="N559" s="19">
        <f t="shared" si="1144"/>
        <v>1329</v>
      </c>
      <c r="O559" s="62">
        <f t="shared" si="1145"/>
        <v>0</v>
      </c>
      <c r="P559" s="19">
        <f t="shared" si="1146"/>
        <v>-443</v>
      </c>
      <c r="Q559" s="19">
        <f t="shared" ref="Q559:S559" si="1172">Q642-P642</f>
        <v>-225044</v>
      </c>
      <c r="R559" s="75">
        <f t="shared" si="1172"/>
        <v>1</v>
      </c>
      <c r="S559" s="19">
        <f t="shared" si="1172"/>
        <v>225486</v>
      </c>
      <c r="T559" s="62">
        <f t="shared" si="1148"/>
        <v>0</v>
      </c>
      <c r="U559" s="19">
        <f t="shared" si="1149"/>
        <v>0</v>
      </c>
      <c r="V559" s="19">
        <f t="shared" ref="V559:X559" si="1173">V642-U642</f>
        <v>0</v>
      </c>
      <c r="W559" s="19">
        <f t="shared" si="1173"/>
        <v>0</v>
      </c>
      <c r="X559" s="19">
        <f t="shared" si="1173"/>
        <v>0</v>
      </c>
      <c r="Y559" s="62">
        <f t="shared" si="1151"/>
        <v>0</v>
      </c>
      <c r="Z559" s="19">
        <f t="shared" si="1152"/>
        <v>0</v>
      </c>
      <c r="AA559" s="19">
        <f t="shared" si="1153"/>
        <v>0</v>
      </c>
      <c r="AB559" s="19">
        <f t="shared" si="1153"/>
        <v>0</v>
      </c>
      <c r="AC559" s="594">
        <v>0</v>
      </c>
      <c r="AD559" s="76">
        <f t="shared" si="1154"/>
        <v>0</v>
      </c>
      <c r="AE559" s="594">
        <v>0</v>
      </c>
      <c r="AF559" s="594">
        <v>0</v>
      </c>
      <c r="AG559" s="594">
        <v>0</v>
      </c>
      <c r="AH559" s="594">
        <v>0</v>
      </c>
      <c r="AI559" s="76">
        <f t="shared" si="1155"/>
        <v>0</v>
      </c>
      <c r="AJ559" s="594">
        <v>0</v>
      </c>
      <c r="AK559" s="594">
        <v>0</v>
      </c>
      <c r="AL559" s="594">
        <v>0</v>
      </c>
      <c r="AM559" s="594">
        <v>0</v>
      </c>
      <c r="AN559" s="76">
        <f t="shared" si="1156"/>
        <v>0</v>
      </c>
      <c r="AO559" s="594">
        <v>0</v>
      </c>
      <c r="AP559" s="594">
        <v>0</v>
      </c>
      <c r="AQ559" s="594">
        <v>0</v>
      </c>
      <c r="AR559" s="594">
        <v>0</v>
      </c>
      <c r="AS559" s="76">
        <f t="shared" si="1157"/>
        <v>0</v>
      </c>
    </row>
    <row r="560" spans="1:45">
      <c r="A560" s="58" t="s">
        <v>382</v>
      </c>
      <c r="C560" s="62"/>
      <c r="D560" s="62"/>
      <c r="E560" s="62"/>
      <c r="I560" s="19">
        <f t="shared" si="1143"/>
        <v>0</v>
      </c>
      <c r="J560" s="62"/>
      <c r="N560" s="19">
        <f t="shared" si="1144"/>
        <v>0</v>
      </c>
      <c r="O560" s="62">
        <f t="shared" si="1145"/>
        <v>0</v>
      </c>
      <c r="P560" s="19">
        <f t="shared" si="1146"/>
        <v>-180</v>
      </c>
      <c r="Q560" s="19">
        <f t="shared" ref="Q560:S560" si="1174">Q643-P643</f>
        <v>180</v>
      </c>
      <c r="R560" s="19">
        <f t="shared" si="1174"/>
        <v>0</v>
      </c>
      <c r="S560" s="19">
        <f t="shared" si="1174"/>
        <v>0</v>
      </c>
      <c r="T560" s="62">
        <f t="shared" si="1148"/>
        <v>0</v>
      </c>
      <c r="U560" s="19">
        <f t="shared" si="1149"/>
        <v>0</v>
      </c>
      <c r="V560" s="19">
        <f t="shared" ref="V560:X560" si="1175">V643-U643</f>
        <v>0</v>
      </c>
      <c r="W560" s="19">
        <f t="shared" si="1175"/>
        <v>0</v>
      </c>
      <c r="X560" s="19">
        <f t="shared" si="1175"/>
        <v>0</v>
      </c>
      <c r="Y560" s="62">
        <f t="shared" si="1151"/>
        <v>0</v>
      </c>
      <c r="Z560" s="19">
        <f t="shared" si="1152"/>
        <v>0</v>
      </c>
      <c r="AA560" s="19">
        <f t="shared" si="1153"/>
        <v>0</v>
      </c>
      <c r="AB560" s="19">
        <f t="shared" si="1153"/>
        <v>0</v>
      </c>
      <c r="AC560" s="594">
        <v>0</v>
      </c>
      <c r="AD560" s="76">
        <f t="shared" si="1154"/>
        <v>0</v>
      </c>
      <c r="AE560" s="594">
        <v>0</v>
      </c>
      <c r="AF560" s="594">
        <v>0</v>
      </c>
      <c r="AG560" s="594">
        <v>0</v>
      </c>
      <c r="AH560" s="594">
        <v>0</v>
      </c>
      <c r="AI560" s="76">
        <f t="shared" si="1155"/>
        <v>0</v>
      </c>
      <c r="AJ560" s="594">
        <v>0</v>
      </c>
      <c r="AK560" s="594">
        <v>0</v>
      </c>
      <c r="AL560" s="594">
        <v>0</v>
      </c>
      <c r="AM560" s="594">
        <v>0</v>
      </c>
      <c r="AN560" s="76">
        <f t="shared" si="1156"/>
        <v>0</v>
      </c>
      <c r="AO560" s="594">
        <v>0</v>
      </c>
      <c r="AP560" s="594">
        <v>0</v>
      </c>
      <c r="AQ560" s="594">
        <v>0</v>
      </c>
      <c r="AR560" s="594">
        <v>0</v>
      </c>
      <c r="AS560" s="76">
        <f t="shared" si="1157"/>
        <v>0</v>
      </c>
    </row>
    <row r="561" spans="1:269">
      <c r="A561" s="58" t="s">
        <v>400</v>
      </c>
      <c r="C561" s="62"/>
      <c r="D561" s="62"/>
      <c r="E561" s="62"/>
      <c r="I561" s="19">
        <f t="shared" si="1143"/>
        <v>0</v>
      </c>
      <c r="J561" s="62"/>
      <c r="N561" s="19">
        <f t="shared" si="1144"/>
        <v>0</v>
      </c>
      <c r="O561" s="62">
        <f t="shared" si="1145"/>
        <v>0</v>
      </c>
      <c r="P561" s="19">
        <f t="shared" si="1146"/>
        <v>0</v>
      </c>
      <c r="Q561" s="19">
        <f t="shared" ref="Q561:S561" si="1176">Q644-P644</f>
        <v>0</v>
      </c>
      <c r="R561" s="19">
        <f t="shared" si="1176"/>
        <v>0</v>
      </c>
      <c r="S561" s="19">
        <f t="shared" si="1176"/>
        <v>0</v>
      </c>
      <c r="T561" s="62">
        <f t="shared" si="1148"/>
        <v>0</v>
      </c>
      <c r="U561" s="19">
        <f t="shared" si="1149"/>
        <v>0</v>
      </c>
      <c r="V561" s="19">
        <f t="shared" ref="V561:X561" si="1177">V644-U644</f>
        <v>0</v>
      </c>
      <c r="W561" s="19">
        <f t="shared" si="1177"/>
        <v>0</v>
      </c>
      <c r="X561" s="19">
        <f t="shared" si="1177"/>
        <v>0</v>
      </c>
      <c r="Y561" s="62">
        <f t="shared" si="1151"/>
        <v>0</v>
      </c>
      <c r="Z561" s="19">
        <f t="shared" si="1152"/>
        <v>-2195</v>
      </c>
      <c r="AA561" s="19">
        <f t="shared" si="1153"/>
        <v>112</v>
      </c>
      <c r="AB561" s="19">
        <f t="shared" si="1153"/>
        <v>-305</v>
      </c>
      <c r="AC561" s="594">
        <v>0</v>
      </c>
      <c r="AD561" s="76">
        <f t="shared" si="1154"/>
        <v>-2388</v>
      </c>
      <c r="AE561" s="594">
        <v>0</v>
      </c>
      <c r="AF561" s="594">
        <v>0</v>
      </c>
      <c r="AG561" s="594">
        <v>0</v>
      </c>
      <c r="AH561" s="594">
        <v>0</v>
      </c>
      <c r="AI561" s="76">
        <f t="shared" si="1155"/>
        <v>0</v>
      </c>
      <c r="AJ561" s="594">
        <v>0</v>
      </c>
      <c r="AK561" s="594">
        <v>0</v>
      </c>
      <c r="AL561" s="594">
        <v>0</v>
      </c>
      <c r="AM561" s="594">
        <v>0</v>
      </c>
      <c r="AN561" s="76">
        <f t="shared" si="1156"/>
        <v>0</v>
      </c>
      <c r="AO561" s="594">
        <v>0</v>
      </c>
      <c r="AP561" s="594">
        <v>0</v>
      </c>
      <c r="AQ561" s="594">
        <v>0</v>
      </c>
      <c r="AR561" s="594">
        <v>0</v>
      </c>
      <c r="AS561" s="76">
        <f t="shared" si="1157"/>
        <v>0</v>
      </c>
    </row>
    <row r="562" spans="1:269" ht="15" thickBot="1">
      <c r="A562" s="530" t="s">
        <v>383</v>
      </c>
      <c r="B562" s="67"/>
      <c r="C562" s="546"/>
      <c r="D562" s="546"/>
      <c r="E562" s="546"/>
      <c r="F562" s="67"/>
      <c r="G562" s="67"/>
      <c r="H562" s="67"/>
      <c r="I562" s="70">
        <f t="shared" si="1143"/>
        <v>-19193</v>
      </c>
      <c r="J562" s="546"/>
      <c r="K562" s="67"/>
      <c r="L562" s="67"/>
      <c r="M562" s="67"/>
      <c r="N562" s="70">
        <f t="shared" si="1144"/>
        <v>-19193</v>
      </c>
      <c r="O562" s="546">
        <f t="shared" si="1145"/>
        <v>0</v>
      </c>
      <c r="P562" s="70">
        <f t="shared" si="1146"/>
        <v>4377</v>
      </c>
      <c r="Q562" s="70">
        <f t="shared" ref="Q562:S562" si="1178">Q645-P645</f>
        <v>128672</v>
      </c>
      <c r="R562" s="70">
        <f t="shared" si="1178"/>
        <v>637776</v>
      </c>
      <c r="S562" s="70">
        <f t="shared" si="1178"/>
        <v>-770825</v>
      </c>
      <c r="T562" s="546">
        <f t="shared" si="1148"/>
        <v>0</v>
      </c>
      <c r="U562" s="70">
        <f t="shared" si="1149"/>
        <v>-783</v>
      </c>
      <c r="V562" s="70">
        <f t="shared" ref="V562:X562" si="1179">V645-U645</f>
        <v>-1980</v>
      </c>
      <c r="W562" s="70">
        <f t="shared" si="1179"/>
        <v>2763</v>
      </c>
      <c r="X562" s="70">
        <f t="shared" si="1179"/>
        <v>0</v>
      </c>
      <c r="Y562" s="546">
        <f t="shared" si="1151"/>
        <v>0</v>
      </c>
      <c r="Z562" s="70">
        <f t="shared" si="1152"/>
        <v>-2195</v>
      </c>
      <c r="AA562" s="70">
        <f t="shared" si="1153"/>
        <v>-1546</v>
      </c>
      <c r="AB562" s="70">
        <f t="shared" si="1153"/>
        <v>-2350</v>
      </c>
      <c r="AC562" s="70">
        <f>AC551+AC552+AC553+AC554+AC555+AC556+AC557+AC558+AC559+AC560+AC561</f>
        <v>0</v>
      </c>
      <c r="AD562" s="572">
        <f t="shared" ref="AD562:AS562" si="1180">AD551+AD552+AD553+AD554+AD555+AD556+AD557+AD558+AD559+AD560+AD561</f>
        <v>-6447</v>
      </c>
      <c r="AE562" s="70">
        <f t="shared" si="1180"/>
        <v>0</v>
      </c>
      <c r="AF562" s="70">
        <f t="shared" si="1180"/>
        <v>0</v>
      </c>
      <c r="AG562" s="70">
        <f t="shared" si="1180"/>
        <v>0</v>
      </c>
      <c r="AH562" s="70">
        <f t="shared" si="1180"/>
        <v>0</v>
      </c>
      <c r="AI562" s="572">
        <f t="shared" si="1180"/>
        <v>0</v>
      </c>
      <c r="AJ562" s="70">
        <f t="shared" si="1180"/>
        <v>0</v>
      </c>
      <c r="AK562" s="70">
        <f t="shared" si="1180"/>
        <v>0</v>
      </c>
      <c r="AL562" s="70">
        <f t="shared" si="1180"/>
        <v>0</v>
      </c>
      <c r="AM562" s="70">
        <f t="shared" si="1180"/>
        <v>0</v>
      </c>
      <c r="AN562" s="572">
        <f t="shared" si="1180"/>
        <v>0</v>
      </c>
      <c r="AO562" s="70">
        <f t="shared" si="1180"/>
        <v>0</v>
      </c>
      <c r="AP562" s="70">
        <f t="shared" si="1180"/>
        <v>0</v>
      </c>
      <c r="AQ562" s="70">
        <f t="shared" si="1180"/>
        <v>0</v>
      </c>
      <c r="AR562" s="70">
        <f t="shared" si="1180"/>
        <v>0</v>
      </c>
      <c r="AS562" s="572">
        <f t="shared" si="1180"/>
        <v>0</v>
      </c>
    </row>
    <row r="563" spans="1:269" ht="15" thickTop="1">
      <c r="A563" s="58"/>
      <c r="C563" s="62"/>
      <c r="D563" s="62"/>
      <c r="E563" s="62"/>
      <c r="I563" s="19"/>
      <c r="J563" s="62"/>
      <c r="N563" s="19"/>
      <c r="O563" s="62"/>
      <c r="P563" s="19"/>
      <c r="Q563" s="19"/>
      <c r="R563" s="19"/>
      <c r="S563" s="19"/>
      <c r="T563" s="62"/>
      <c r="U563" s="19"/>
      <c r="V563" s="19"/>
      <c r="W563" s="19"/>
      <c r="X563" s="19"/>
      <c r="Y563" s="62"/>
      <c r="Z563" s="19"/>
      <c r="AA563" s="19"/>
      <c r="AB563" s="19"/>
      <c r="AC563" s="545"/>
    </row>
    <row r="564" spans="1:269">
      <c r="A564" s="58" t="s">
        <v>384</v>
      </c>
      <c r="C564" s="62"/>
      <c r="D564" s="62"/>
      <c r="E564" s="62"/>
      <c r="I564" s="19">
        <f>I647-H647</f>
        <v>0</v>
      </c>
      <c r="J564" s="62"/>
      <c r="N564" s="19">
        <f>N647-M647</f>
        <v>0</v>
      </c>
      <c r="O564" s="62">
        <f>N647</f>
        <v>0</v>
      </c>
      <c r="P564" s="19">
        <f>P647</f>
        <v>0</v>
      </c>
      <c r="Q564" s="19">
        <f t="shared" ref="Q564:S564" si="1181">Q647-P647</f>
        <v>358536</v>
      </c>
      <c r="R564" s="19">
        <f t="shared" si="1181"/>
        <v>-734</v>
      </c>
      <c r="S564" s="19">
        <f t="shared" si="1181"/>
        <v>-357802</v>
      </c>
      <c r="T564" s="62">
        <f>S647</f>
        <v>0</v>
      </c>
      <c r="U564" s="19">
        <f>U647</f>
        <v>0</v>
      </c>
      <c r="V564" s="19">
        <f t="shared" ref="V564:X564" si="1182">V647-U647</f>
        <v>0</v>
      </c>
      <c r="W564" s="19">
        <f t="shared" si="1182"/>
        <v>0</v>
      </c>
      <c r="X564" s="19">
        <f t="shared" si="1182"/>
        <v>0</v>
      </c>
      <c r="Y564" s="62">
        <f>X647</f>
        <v>0</v>
      </c>
      <c r="Z564" s="19">
        <f>Z647</f>
        <v>0</v>
      </c>
      <c r="AA564" s="19">
        <f t="shared" ref="AA564:AB566" si="1183">AA647-Z647</f>
        <v>0</v>
      </c>
      <c r="AB564" s="19">
        <f t="shared" si="1183"/>
        <v>0</v>
      </c>
      <c r="AC564" s="594">
        <v>0</v>
      </c>
      <c r="AD564" s="76">
        <f>SUM(Z564:AC564)</f>
        <v>0</v>
      </c>
      <c r="AE564" s="594">
        <v>0</v>
      </c>
      <c r="AF564" s="594">
        <v>0</v>
      </c>
      <c r="AG564" s="594">
        <v>0</v>
      </c>
      <c r="AH564" s="594">
        <v>0</v>
      </c>
      <c r="AI564" s="76">
        <f>SUM(AE564:AH564)</f>
        <v>0</v>
      </c>
      <c r="AJ564" s="594">
        <v>0</v>
      </c>
      <c r="AK564" s="594">
        <v>0</v>
      </c>
      <c r="AL564" s="594">
        <v>0</v>
      </c>
      <c r="AM564" s="594">
        <v>0</v>
      </c>
      <c r="AN564" s="76">
        <f>SUM(AJ564:AM564)</f>
        <v>0</v>
      </c>
      <c r="AO564" s="594">
        <v>0</v>
      </c>
      <c r="AP564" s="594">
        <v>0</v>
      </c>
      <c r="AQ564" s="594">
        <v>0</v>
      </c>
      <c r="AR564" s="594">
        <v>0</v>
      </c>
      <c r="AS564" s="76">
        <f>SUM(AO564:AR564)</f>
        <v>0</v>
      </c>
    </row>
    <row r="565" spans="1:269">
      <c r="A565" s="58" t="s">
        <v>385</v>
      </c>
      <c r="C565" s="62"/>
      <c r="D565" s="62"/>
      <c r="E565" s="62"/>
      <c r="I565" s="19">
        <f>I648-H648</f>
        <v>901</v>
      </c>
      <c r="J565" s="62"/>
      <c r="N565" s="19">
        <f>N648-M648</f>
        <v>901</v>
      </c>
      <c r="O565" s="62">
        <f>N648</f>
        <v>0</v>
      </c>
      <c r="P565" s="19">
        <f>P648</f>
        <v>0</v>
      </c>
      <c r="Q565" s="19">
        <f t="shared" ref="Q565:S565" si="1184">Q648-P648</f>
        <v>0</v>
      </c>
      <c r="R565" s="19">
        <f t="shared" si="1184"/>
        <v>0</v>
      </c>
      <c r="S565" s="19">
        <f t="shared" si="1184"/>
        <v>0</v>
      </c>
      <c r="T565" s="62">
        <f>S648</f>
        <v>0</v>
      </c>
      <c r="U565" s="19">
        <f>U648</f>
        <v>0</v>
      </c>
      <c r="V565" s="19">
        <f t="shared" ref="V565:X565" si="1185">V648-U648</f>
        <v>0</v>
      </c>
      <c r="W565" s="19">
        <f t="shared" si="1185"/>
        <v>0</v>
      </c>
      <c r="X565" s="19">
        <f t="shared" si="1185"/>
        <v>0</v>
      </c>
      <c r="Y565" s="62">
        <f>X648</f>
        <v>0</v>
      </c>
      <c r="Z565" s="19">
        <f>Z648</f>
        <v>0</v>
      </c>
      <c r="AA565" s="19">
        <f t="shared" si="1183"/>
        <v>0</v>
      </c>
      <c r="AB565" s="19">
        <f t="shared" si="1183"/>
        <v>0</v>
      </c>
      <c r="AC565" s="594">
        <v>0</v>
      </c>
      <c r="AD565" s="76">
        <f>SUM(Z565:AC565)</f>
        <v>0</v>
      </c>
      <c r="AE565" s="594">
        <v>0</v>
      </c>
      <c r="AF565" s="594">
        <v>0</v>
      </c>
      <c r="AG565" s="594">
        <v>0</v>
      </c>
      <c r="AH565" s="594">
        <v>0</v>
      </c>
      <c r="AI565" s="76">
        <f>SUM(AE565:AH565)</f>
        <v>0</v>
      </c>
      <c r="AJ565" s="594">
        <v>0</v>
      </c>
      <c r="AK565" s="594">
        <v>0</v>
      </c>
      <c r="AL565" s="594">
        <v>0</v>
      </c>
      <c r="AM565" s="594">
        <v>0</v>
      </c>
      <c r="AN565" s="76">
        <f>SUM(AJ565:AM565)</f>
        <v>0</v>
      </c>
      <c r="AO565" s="594">
        <v>0</v>
      </c>
      <c r="AP565" s="594">
        <v>0</v>
      </c>
      <c r="AQ565" s="594">
        <v>0</v>
      </c>
      <c r="AR565" s="594">
        <v>0</v>
      </c>
      <c r="AS565" s="76">
        <f>SUM(AO565:AR565)</f>
        <v>0</v>
      </c>
    </row>
    <row r="566" spans="1:269">
      <c r="A566" s="58" t="s">
        <v>386</v>
      </c>
      <c r="C566" s="62"/>
      <c r="D566" s="62"/>
      <c r="E566" s="62"/>
      <c r="I566" s="19">
        <f>I570-I569-I568</f>
        <v>-7237</v>
      </c>
      <c r="J566" s="62"/>
      <c r="N566" s="19">
        <f>N570-N569-N568</f>
        <v>2249</v>
      </c>
      <c r="O566" s="62">
        <f>N649</f>
        <v>2179</v>
      </c>
      <c r="P566" s="19">
        <f>P649</f>
        <v>4650</v>
      </c>
      <c r="Q566" s="19">
        <f t="shared" ref="Q566:S566" si="1186">Q649-P649</f>
        <v>87342</v>
      </c>
      <c r="R566" s="19">
        <f t="shared" si="1186"/>
        <v>617992</v>
      </c>
      <c r="S566" s="19">
        <f t="shared" si="1186"/>
        <v>182416</v>
      </c>
      <c r="T566" s="62">
        <f>S649</f>
        <v>892400</v>
      </c>
      <c r="U566" s="19">
        <f>U649</f>
        <v>-42679</v>
      </c>
      <c r="V566" s="19">
        <f t="shared" ref="V566:X566" si="1187">V649-U649</f>
        <v>-38194</v>
      </c>
      <c r="W566" s="19">
        <f t="shared" si="1187"/>
        <v>-136805</v>
      </c>
      <c r="X566" s="19">
        <f t="shared" si="1187"/>
        <v>-116011</v>
      </c>
      <c r="Y566" s="62">
        <f>X649</f>
        <v>-333689</v>
      </c>
      <c r="Z566" s="19">
        <f>Z649</f>
        <v>-36889</v>
      </c>
      <c r="AA566" s="19">
        <f t="shared" si="1183"/>
        <v>17201</v>
      </c>
      <c r="AB566" s="19">
        <f t="shared" si="1183"/>
        <v>11178</v>
      </c>
      <c r="AC566" s="19">
        <f>AC540+AC548+AC562+AC564+AC565</f>
        <v>85892.912359019305</v>
      </c>
      <c r="AD566" s="76">
        <f t="shared" ref="AD566:AS566" si="1188">AD540+AD548+AD562+AD564+AD565</f>
        <v>65121.912359019276</v>
      </c>
      <c r="AE566" s="19">
        <f t="shared" si="1188"/>
        <v>1206.7688704565765</v>
      </c>
      <c r="AF566" s="19">
        <f t="shared" si="1188"/>
        <v>2394.7918913560657</v>
      </c>
      <c r="AG566" s="19">
        <f t="shared" si="1188"/>
        <v>-1558.6209497129012</v>
      </c>
      <c r="AH566" s="19">
        <f t="shared" si="1188"/>
        <v>20366.935956715104</v>
      </c>
      <c r="AI566" s="76">
        <f t="shared" si="1188"/>
        <v>22409.875768814847</v>
      </c>
      <c r="AJ566" s="19">
        <f t="shared" si="1188"/>
        <v>15527.655672727398</v>
      </c>
      <c r="AK566" s="19">
        <f t="shared" si="1188"/>
        <v>11127.587538587431</v>
      </c>
      <c r="AL566" s="19">
        <f t="shared" si="1188"/>
        <v>23895.636518682873</v>
      </c>
      <c r="AM566" s="19">
        <f t="shared" si="1188"/>
        <v>26546.075371594561</v>
      </c>
      <c r="AN566" s="76">
        <f t="shared" si="1188"/>
        <v>77096.955101592263</v>
      </c>
      <c r="AO566" s="19">
        <f t="shared" si="1188"/>
        <v>24951.456578443991</v>
      </c>
      <c r="AP566" s="19">
        <f t="shared" si="1188"/>
        <v>16101.200103358698</v>
      </c>
      <c r="AQ566" s="19">
        <f t="shared" si="1188"/>
        <v>30041.017736411286</v>
      </c>
      <c r="AR566" s="19">
        <f t="shared" si="1188"/>
        <v>28103.615375631172</v>
      </c>
      <c r="AS566" s="76">
        <f t="shared" si="1188"/>
        <v>99197.289793845135</v>
      </c>
    </row>
    <row r="567" spans="1:269">
      <c r="A567" s="58"/>
      <c r="C567" s="62"/>
      <c r="D567" s="62"/>
      <c r="E567" s="62"/>
      <c r="I567" s="19"/>
      <c r="J567" s="62"/>
      <c r="N567" s="19"/>
      <c r="O567" s="62"/>
      <c r="P567" s="19"/>
      <c r="Q567" s="19"/>
      <c r="R567" s="19"/>
      <c r="S567" s="19"/>
      <c r="T567" s="62"/>
      <c r="U567" s="19"/>
      <c r="V567" s="19"/>
      <c r="W567" s="19"/>
      <c r="X567" s="19"/>
      <c r="Y567" s="62"/>
      <c r="Z567" s="19"/>
      <c r="AA567" s="19"/>
      <c r="AB567" s="19"/>
      <c r="AC567" s="545"/>
    </row>
    <row r="568" spans="1:269">
      <c r="A568" s="58" t="s">
        <v>387</v>
      </c>
      <c r="C568" s="62"/>
      <c r="D568" s="62"/>
      <c r="E568" s="62"/>
      <c r="I568" s="19">
        <f>I651-H651</f>
        <v>-70</v>
      </c>
      <c r="J568" s="62"/>
      <c r="N568" s="19">
        <f>N651-M651</f>
        <v>-70</v>
      </c>
      <c r="O568" s="62">
        <f>N651</f>
        <v>0</v>
      </c>
      <c r="P568" s="19">
        <f>P651</f>
        <v>-21</v>
      </c>
      <c r="Q568" s="19">
        <f t="shared" ref="Q568:S568" si="1189">Q651-P651</f>
        <v>10</v>
      </c>
      <c r="R568" s="19">
        <f t="shared" si="1189"/>
        <v>-837</v>
      </c>
      <c r="S568" s="19">
        <f t="shared" si="1189"/>
        <v>848</v>
      </c>
      <c r="T568" s="62">
        <f>S651</f>
        <v>0</v>
      </c>
      <c r="U568" s="19">
        <f>U651</f>
        <v>30</v>
      </c>
      <c r="V568" s="19">
        <f t="shared" ref="V568:X568" si="1190">V651-U651</f>
        <v>-73</v>
      </c>
      <c r="W568" s="19">
        <f t="shared" si="1190"/>
        <v>2380</v>
      </c>
      <c r="X568" s="19">
        <f t="shared" si="1190"/>
        <v>-2337</v>
      </c>
      <c r="Y568" s="62">
        <f>X651</f>
        <v>0</v>
      </c>
      <c r="Z568" s="19">
        <f>Z651</f>
        <v>974</v>
      </c>
      <c r="AA568" s="19">
        <f t="shared" ref="AA568:AB568" si="1191">AA651-Z651</f>
        <v>245</v>
      </c>
      <c r="AB568" s="19">
        <f t="shared" si="1191"/>
        <v>-1462</v>
      </c>
      <c r="AC568" s="594">
        <v>0</v>
      </c>
      <c r="AD568" s="76">
        <f>SUM(Z568:AC568)</f>
        <v>-243</v>
      </c>
      <c r="AE568" s="594">
        <v>0</v>
      </c>
      <c r="AF568" s="594">
        <v>0</v>
      </c>
      <c r="AG568" s="594">
        <v>0</v>
      </c>
      <c r="AH568" s="594">
        <v>0</v>
      </c>
      <c r="AI568" s="76">
        <f>SUM(AE568:AH568)</f>
        <v>0</v>
      </c>
      <c r="AJ568" s="594">
        <v>0</v>
      </c>
      <c r="AK568" s="594">
        <v>0</v>
      </c>
      <c r="AL568" s="594">
        <v>0</v>
      </c>
      <c r="AM568" s="594">
        <v>0</v>
      </c>
      <c r="AN568" s="76">
        <f>SUM(AJ568:AM568)</f>
        <v>0</v>
      </c>
      <c r="AO568" s="594">
        <v>0</v>
      </c>
      <c r="AP568" s="594">
        <v>0</v>
      </c>
      <c r="AQ568" s="594">
        <v>0</v>
      </c>
      <c r="AR568" s="594">
        <v>0</v>
      </c>
      <c r="AS568" s="76">
        <f>SUM(AO568:AR568)</f>
        <v>0</v>
      </c>
    </row>
    <row r="569" spans="1:269">
      <c r="A569" s="58" t="s">
        <v>388</v>
      </c>
      <c r="C569" s="62"/>
      <c r="D569" s="62"/>
      <c r="E569" s="62"/>
      <c r="I569" s="19">
        <f>I652</f>
        <v>7307</v>
      </c>
      <c r="J569" s="62"/>
      <c r="N569" s="19">
        <f>N652</f>
        <v>7307</v>
      </c>
      <c r="O569" s="62">
        <f t="shared" ref="O569:AA569" si="1192">N439</f>
        <v>9486</v>
      </c>
      <c r="P569" s="19">
        <f t="shared" si="1192"/>
        <v>9486</v>
      </c>
      <c r="Q569" s="19">
        <f t="shared" si="1192"/>
        <v>0</v>
      </c>
      <c r="R569" s="19">
        <f t="shared" si="1192"/>
        <v>101467</v>
      </c>
      <c r="S569" s="19">
        <f t="shared" si="1192"/>
        <v>718622</v>
      </c>
      <c r="T569" s="62">
        <f t="shared" si="1192"/>
        <v>901886</v>
      </c>
      <c r="U569" s="19">
        <f t="shared" si="1192"/>
        <v>901886</v>
      </c>
      <c r="V569" s="19">
        <f t="shared" si="1192"/>
        <v>859237</v>
      </c>
      <c r="W569" s="19">
        <f t="shared" si="1192"/>
        <v>820970</v>
      </c>
      <c r="X569" s="19">
        <f t="shared" si="1192"/>
        <v>684208</v>
      </c>
      <c r="Y569" s="62">
        <f t="shared" si="1192"/>
        <v>568197</v>
      </c>
      <c r="Z569" s="19">
        <f t="shared" si="1192"/>
        <v>568197</v>
      </c>
      <c r="AA569" s="19">
        <f t="shared" si="1192"/>
        <v>532282</v>
      </c>
      <c r="AB569" s="19">
        <f>AA439</f>
        <v>549728</v>
      </c>
      <c r="AC569" s="19">
        <f>AB570</f>
        <v>559444</v>
      </c>
      <c r="AD569" s="76">
        <f>Y570</f>
        <v>568197</v>
      </c>
      <c r="AE569" s="19">
        <f>AD570</f>
        <v>645336.91235901928</v>
      </c>
      <c r="AF569" s="19">
        <f t="shared" ref="AF569:AH569" si="1193">AE570</f>
        <v>646543.68122947589</v>
      </c>
      <c r="AG569" s="19">
        <f t="shared" si="1193"/>
        <v>648938.473120832</v>
      </c>
      <c r="AH569" s="19">
        <f t="shared" si="1193"/>
        <v>647379.85217111907</v>
      </c>
      <c r="AI569" s="76">
        <f>AD570</f>
        <v>645336.91235901928</v>
      </c>
      <c r="AJ569" s="19">
        <f t="shared" ref="AJ569:AM569" si="1194">AI570</f>
        <v>667746.78812783421</v>
      </c>
      <c r="AK569" s="19">
        <f t="shared" si="1194"/>
        <v>683274.4438005616</v>
      </c>
      <c r="AL569" s="19">
        <f t="shared" si="1194"/>
        <v>694402.03133914899</v>
      </c>
      <c r="AM569" s="19">
        <f t="shared" si="1194"/>
        <v>718297.66785783181</v>
      </c>
      <c r="AN569" s="76">
        <f>AI570</f>
        <v>667746.78812783421</v>
      </c>
      <c r="AO569" s="19">
        <f t="shared" ref="AO569:AR569" si="1195">AN570</f>
        <v>744843.74322942633</v>
      </c>
      <c r="AP569" s="19">
        <f t="shared" si="1195"/>
        <v>769795.19980787032</v>
      </c>
      <c r="AQ569" s="19">
        <f t="shared" si="1195"/>
        <v>785896.39991122903</v>
      </c>
      <c r="AR569" s="19">
        <f t="shared" si="1195"/>
        <v>815937.41764764034</v>
      </c>
      <c r="AS569" s="76">
        <f>AN570</f>
        <v>744843.74322942633</v>
      </c>
    </row>
    <row r="570" spans="1:269">
      <c r="A570" s="58" t="s">
        <v>389</v>
      </c>
      <c r="C570" s="62"/>
      <c r="D570" s="62"/>
      <c r="E570" s="62"/>
      <c r="I570" s="19">
        <f>I653</f>
        <v>0</v>
      </c>
      <c r="J570" s="62"/>
      <c r="N570" s="19">
        <f>N653</f>
        <v>9486</v>
      </c>
      <c r="O570" s="62">
        <f>N653</f>
        <v>9486</v>
      </c>
      <c r="P570" s="19">
        <f t="shared" ref="P570:S570" si="1196">P653</f>
        <v>14115</v>
      </c>
      <c r="Q570" s="19">
        <f t="shared" si="1196"/>
        <v>101467</v>
      </c>
      <c r="R570" s="19">
        <f t="shared" si="1196"/>
        <v>718622</v>
      </c>
      <c r="S570" s="19">
        <f t="shared" si="1196"/>
        <v>901886</v>
      </c>
      <c r="T570" s="62">
        <f>S653</f>
        <v>901886</v>
      </c>
      <c r="U570" s="19">
        <f t="shared" ref="U570:X570" si="1197">U653</f>
        <v>859237</v>
      </c>
      <c r="V570" s="19">
        <f t="shared" si="1197"/>
        <v>820970</v>
      </c>
      <c r="W570" s="19">
        <f t="shared" si="1197"/>
        <v>684208</v>
      </c>
      <c r="X570" s="19">
        <f t="shared" si="1197"/>
        <v>568197</v>
      </c>
      <c r="Y570" s="62">
        <f>X653</f>
        <v>568197</v>
      </c>
      <c r="Z570" s="19">
        <f>Z653</f>
        <v>532282</v>
      </c>
      <c r="AA570" s="19">
        <f>AA653</f>
        <v>549728</v>
      </c>
      <c r="AB570" s="19">
        <f>AB653</f>
        <v>559444</v>
      </c>
      <c r="AC570" s="19">
        <f>AC569+AC568+AC566</f>
        <v>645336.91235901928</v>
      </c>
      <c r="AD570" s="76">
        <f>AC570</f>
        <v>645336.91235901928</v>
      </c>
      <c r="AE570" s="19">
        <f t="shared" ref="AE570:AH570" si="1198">AE569+AE568+AE566</f>
        <v>646543.68122947589</v>
      </c>
      <c r="AF570" s="19">
        <f t="shared" si="1198"/>
        <v>648938.473120832</v>
      </c>
      <c r="AG570" s="19">
        <f t="shared" si="1198"/>
        <v>647379.85217111907</v>
      </c>
      <c r="AH570" s="19">
        <f t="shared" si="1198"/>
        <v>667746.78812783421</v>
      </c>
      <c r="AI570" s="76">
        <f>AH570</f>
        <v>667746.78812783421</v>
      </c>
      <c r="AJ570" s="19">
        <f t="shared" ref="AJ570:AM570" si="1199">AJ569+AJ568+AJ566</f>
        <v>683274.4438005616</v>
      </c>
      <c r="AK570" s="19">
        <f t="shared" si="1199"/>
        <v>694402.03133914899</v>
      </c>
      <c r="AL570" s="19">
        <f t="shared" si="1199"/>
        <v>718297.66785783181</v>
      </c>
      <c r="AM570" s="19">
        <f t="shared" si="1199"/>
        <v>744843.74322942633</v>
      </c>
      <c r="AN570" s="76">
        <f>AM570</f>
        <v>744843.74322942633</v>
      </c>
      <c r="AO570" s="19">
        <f t="shared" ref="AO570:AR570" si="1200">AO569+AO568+AO566</f>
        <v>769795.19980787032</v>
      </c>
      <c r="AP570" s="19">
        <f t="shared" si="1200"/>
        <v>785896.39991122903</v>
      </c>
      <c r="AQ570" s="19">
        <f t="shared" si="1200"/>
        <v>815937.41764764034</v>
      </c>
      <c r="AR570" s="19">
        <f t="shared" si="1200"/>
        <v>844041.03302327148</v>
      </c>
      <c r="AS570" s="76">
        <f>AR570</f>
        <v>844041.03302327148</v>
      </c>
    </row>
    <row r="571" spans="1:269">
      <c r="A571" s="58"/>
      <c r="C571" s="62"/>
      <c r="D571" s="62"/>
      <c r="E571" s="62"/>
      <c r="I571" s="19"/>
      <c r="J571" s="62"/>
      <c r="N571" s="19"/>
      <c r="O571" s="62"/>
      <c r="P571" s="19"/>
      <c r="Q571" s="19"/>
      <c r="R571" s="19"/>
      <c r="S571" s="19"/>
      <c r="T571" s="62"/>
      <c r="U571" s="19"/>
      <c r="V571" s="19"/>
      <c r="W571" s="19"/>
      <c r="X571" s="19"/>
      <c r="Y571" s="62"/>
      <c r="Z571" s="19"/>
      <c r="AA571" s="19"/>
      <c r="AB571" s="19"/>
      <c r="AC571" s="545"/>
    </row>
    <row r="572" spans="1:269">
      <c r="A572" s="58"/>
      <c r="C572" s="62"/>
      <c r="D572" s="62"/>
      <c r="E572" s="62"/>
      <c r="I572" s="19"/>
      <c r="J572" s="62"/>
      <c r="N572" s="19"/>
      <c r="O572" s="62"/>
      <c r="P572" s="19"/>
      <c r="Q572" s="19"/>
      <c r="R572" s="19"/>
      <c r="S572" s="19"/>
      <c r="T572" s="62"/>
      <c r="U572" s="19"/>
      <c r="V572" s="19"/>
      <c r="W572" s="19"/>
      <c r="X572" s="19"/>
      <c r="Y572" s="62"/>
      <c r="Z572" s="19"/>
      <c r="AA572" s="19"/>
      <c r="AB572" s="19"/>
      <c r="AC572" s="545"/>
    </row>
    <row r="573" spans="1:269" s="149" customFormat="1">
      <c r="A573" s="52" t="s">
        <v>531</v>
      </c>
      <c r="B573" s="53"/>
      <c r="C573" s="54"/>
      <c r="D573" s="54"/>
      <c r="E573" s="54"/>
      <c r="F573" s="54"/>
      <c r="G573" s="54"/>
      <c r="H573" s="54"/>
      <c r="I573" s="54"/>
      <c r="J573" s="54"/>
      <c r="K573" s="54"/>
      <c r="L573" s="54"/>
      <c r="M573" s="54"/>
      <c r="N573" s="54"/>
      <c r="O573" s="54"/>
      <c r="P573" s="54"/>
      <c r="Q573" s="54"/>
      <c r="R573" s="54"/>
      <c r="S573" s="54"/>
      <c r="T573" s="54"/>
      <c r="U573" s="54"/>
      <c r="V573" s="54"/>
      <c r="W573" s="54"/>
      <c r="X573" s="54"/>
      <c r="Y573" s="54"/>
      <c r="Z573" s="54"/>
      <c r="AA573" s="54"/>
      <c r="AB573" s="54"/>
      <c r="AC573" s="55"/>
      <c r="AD573" s="55"/>
      <c r="AE573" s="55"/>
      <c r="AF573" s="55"/>
      <c r="AG573" s="55"/>
      <c r="AH573" s="55"/>
      <c r="AI573" s="55"/>
      <c r="AJ573" s="55"/>
      <c r="AK573" s="55"/>
      <c r="AL573" s="55"/>
      <c r="AM573" s="55"/>
      <c r="AN573" s="55"/>
      <c r="AO573" s="55"/>
      <c r="AP573" s="55"/>
      <c r="AQ573" s="55"/>
      <c r="AR573" s="55"/>
      <c r="AS573" s="55"/>
      <c r="AT573" s="317"/>
      <c r="AU573" s="503"/>
      <c r="AV573" s="3"/>
      <c r="AW573" s="3"/>
      <c r="AX573" s="3"/>
      <c r="AY573" s="3"/>
      <c r="AZ573" s="3"/>
      <c r="BA573" s="3"/>
      <c r="BB573" s="3"/>
      <c r="BC573" s="3"/>
      <c r="BD573" s="3"/>
      <c r="BE573" s="3"/>
      <c r="BF573" s="3"/>
      <c r="BG573" s="3"/>
      <c r="BH573" s="3"/>
      <c r="BI573" s="3"/>
      <c r="BJ573" s="3"/>
      <c r="BK573" s="3"/>
      <c r="BL573" s="3"/>
      <c r="BM573" s="3"/>
      <c r="BN573" s="3"/>
      <c r="BO573" s="3"/>
      <c r="BP573" s="3"/>
      <c r="BQ573" s="3"/>
      <c r="BR573" s="3"/>
      <c r="BS573" s="3"/>
      <c r="BT573" s="3"/>
      <c r="BU573" s="3"/>
      <c r="BV573" s="3"/>
      <c r="BW573" s="3"/>
      <c r="BX573" s="3"/>
      <c r="BY573" s="3"/>
      <c r="BZ573" s="3"/>
      <c r="CA573" s="3"/>
      <c r="CB573" s="3"/>
      <c r="CC573" s="3"/>
      <c r="CD573" s="3"/>
      <c r="CE573" s="3"/>
      <c r="CF573" s="3"/>
      <c r="CG573" s="3"/>
      <c r="CH573" s="3"/>
      <c r="CI573" s="3"/>
      <c r="CJ573" s="3"/>
      <c r="CK573" s="3"/>
      <c r="CL573" s="3"/>
      <c r="CM573" s="3"/>
      <c r="CN573" s="3"/>
      <c r="CO573" s="3"/>
      <c r="CP573" s="3"/>
      <c r="CQ573" s="3"/>
      <c r="CR573" s="3"/>
      <c r="CS573" s="3"/>
      <c r="CT573" s="3"/>
      <c r="CU573" s="3"/>
      <c r="CV573" s="3"/>
      <c r="CW573" s="3"/>
      <c r="CX573" s="3"/>
      <c r="CY573" s="3"/>
      <c r="CZ573" s="3"/>
      <c r="DA573" s="3"/>
      <c r="DB573" s="3"/>
      <c r="DC573" s="3"/>
      <c r="DD573" s="3"/>
      <c r="DE573" s="3"/>
      <c r="DF573" s="3"/>
      <c r="DG573" s="3"/>
      <c r="DH573" s="3"/>
      <c r="DI573" s="3"/>
      <c r="DJ573" s="3"/>
      <c r="DK573" s="3"/>
      <c r="DL573" s="3"/>
      <c r="DM573" s="3"/>
      <c r="DN573" s="3"/>
      <c r="DO573" s="3"/>
      <c r="DP573" s="3"/>
      <c r="DQ573" s="3"/>
      <c r="DR573" s="3"/>
      <c r="DS573" s="3"/>
      <c r="DT573" s="3"/>
      <c r="DU573" s="3"/>
      <c r="DV573" s="3"/>
      <c r="DW573" s="3"/>
      <c r="DX573" s="3"/>
      <c r="DY573" s="3"/>
      <c r="DZ573" s="3"/>
      <c r="EA573" s="3"/>
      <c r="EB573" s="3"/>
      <c r="EC573" s="3"/>
      <c r="ED573" s="3"/>
      <c r="EE573" s="3"/>
      <c r="EF573" s="3"/>
      <c r="EG573" s="3"/>
      <c r="EH573" s="3"/>
      <c r="EI573" s="3"/>
      <c r="EJ573" s="3"/>
      <c r="EK573" s="3"/>
      <c r="EL573" s="3"/>
      <c r="EM573" s="3"/>
      <c r="EN573" s="3"/>
      <c r="EO573" s="3"/>
      <c r="EP573" s="3"/>
      <c r="EQ573" s="3"/>
      <c r="ER573" s="3"/>
      <c r="ES573" s="3"/>
      <c r="ET573" s="3"/>
      <c r="EU573" s="3"/>
      <c r="EV573" s="3"/>
      <c r="EW573" s="3"/>
      <c r="EX573" s="3"/>
      <c r="EY573" s="3"/>
      <c r="EZ573" s="3"/>
      <c r="FA573" s="3"/>
      <c r="FB573" s="3"/>
      <c r="FC573" s="3"/>
      <c r="FD573" s="3"/>
      <c r="FE573" s="3"/>
      <c r="FF573" s="3"/>
      <c r="FG573" s="3"/>
      <c r="FH573" s="3"/>
      <c r="FI573" s="3"/>
      <c r="FJ573" s="3"/>
      <c r="FK573" s="3"/>
      <c r="FL573" s="3"/>
      <c r="FM573" s="3"/>
      <c r="FN573" s="3"/>
      <c r="FO573" s="3"/>
      <c r="FP573" s="3"/>
      <c r="FQ573" s="3"/>
      <c r="FR573" s="3"/>
      <c r="FS573" s="3"/>
      <c r="FT573" s="3"/>
      <c r="FU573" s="3"/>
      <c r="FV573" s="3"/>
      <c r="FW573" s="3"/>
      <c r="FX573" s="3"/>
      <c r="FY573" s="3"/>
      <c r="FZ573" s="3"/>
      <c r="GA573" s="3"/>
      <c r="GB573" s="3"/>
      <c r="GC573" s="3"/>
      <c r="GD573" s="3"/>
      <c r="GE573" s="3"/>
      <c r="GF573" s="3"/>
      <c r="GG573" s="3"/>
      <c r="GH573" s="3"/>
      <c r="GI573" s="3"/>
      <c r="GJ573" s="3"/>
      <c r="GK573" s="3"/>
      <c r="GL573" s="3"/>
      <c r="GM573" s="3"/>
      <c r="GN573" s="3"/>
      <c r="GO573" s="3"/>
      <c r="GP573" s="3"/>
      <c r="GQ573" s="3"/>
      <c r="GR573" s="3"/>
      <c r="GS573" s="3"/>
      <c r="GT573" s="3"/>
      <c r="GU573" s="3"/>
      <c r="GV573" s="3"/>
      <c r="GW573" s="3"/>
      <c r="GX573" s="3"/>
      <c r="GY573" s="3"/>
      <c r="GZ573" s="3"/>
      <c r="HA573" s="3"/>
      <c r="HB573" s="3"/>
      <c r="HC573" s="3"/>
      <c r="HD573" s="3"/>
      <c r="HE573" s="3"/>
      <c r="HF573" s="3"/>
      <c r="HG573" s="3"/>
      <c r="HH573" s="3"/>
      <c r="HI573" s="3"/>
      <c r="HJ573" s="3"/>
      <c r="HK573" s="3"/>
      <c r="HL573" s="3"/>
      <c r="HM573" s="3"/>
      <c r="HN573" s="3"/>
      <c r="HO573" s="3"/>
      <c r="HP573" s="3"/>
      <c r="HQ573" s="3"/>
      <c r="HR573" s="3"/>
      <c r="HS573" s="3"/>
      <c r="HT573" s="3"/>
      <c r="HU573" s="3"/>
      <c r="HV573" s="3"/>
      <c r="HW573" s="3"/>
      <c r="HX573" s="3"/>
      <c r="HY573" s="3"/>
      <c r="HZ573" s="3"/>
      <c r="IA573" s="3"/>
      <c r="IB573" s="3"/>
      <c r="IC573" s="3"/>
      <c r="ID573" s="3"/>
      <c r="IE573" s="3"/>
      <c r="IF573" s="3"/>
      <c r="IG573" s="3"/>
      <c r="IH573" s="3"/>
      <c r="II573" s="3"/>
      <c r="IJ573" s="3"/>
      <c r="IK573" s="3"/>
      <c r="IL573" s="3"/>
      <c r="IM573" s="3"/>
      <c r="IN573" s="3"/>
      <c r="IO573" s="3"/>
      <c r="IP573" s="3"/>
      <c r="IQ573" s="3"/>
      <c r="IR573" s="3"/>
      <c r="IS573" s="3"/>
      <c r="IT573" s="3"/>
      <c r="IU573" s="3"/>
      <c r="IV573" s="3"/>
      <c r="IW573" s="3"/>
      <c r="IX573" s="3"/>
      <c r="IY573" s="3"/>
      <c r="IZ573" s="3"/>
      <c r="JA573" s="3"/>
      <c r="JB573" s="3"/>
      <c r="JC573" s="3"/>
      <c r="JD573" s="3"/>
      <c r="JE573" s="3"/>
      <c r="JF573" s="3"/>
      <c r="JG573" s="3"/>
      <c r="JH573" s="3"/>
      <c r="JI573" s="3"/>
    </row>
    <row r="574" spans="1:269">
      <c r="A574" s="19"/>
    </row>
    <row r="575" spans="1:269">
      <c r="A575" s="563" t="s">
        <v>606</v>
      </c>
      <c r="I575" s="19">
        <f>I527+I531+I533</f>
        <v>3862</v>
      </c>
      <c r="N575" s="19">
        <f t="shared" ref="N575:X575" si="1201">(N527+N531+N533)/1000</f>
        <v>3.8620000000000001</v>
      </c>
      <c r="O575" s="62">
        <f t="shared" si="1201"/>
        <v>5.3789999999999996</v>
      </c>
      <c r="P575" s="19">
        <f t="shared" si="1201"/>
        <v>-3.9790000000000001</v>
      </c>
      <c r="Q575" s="19">
        <f t="shared" si="1201"/>
        <v>-19.707999999999998</v>
      </c>
      <c r="R575" s="19">
        <f t="shared" si="1201"/>
        <v>-4.1500000000000004</v>
      </c>
      <c r="S575" s="19">
        <f t="shared" si="1201"/>
        <v>-2.0960000000000001</v>
      </c>
      <c r="T575" s="62">
        <f t="shared" si="1201"/>
        <v>-29.933</v>
      </c>
      <c r="U575" s="19">
        <f t="shared" si="1201"/>
        <v>-28.690999999999999</v>
      </c>
      <c r="V575" s="19">
        <f t="shared" si="1201"/>
        <v>-37.277999999999999</v>
      </c>
      <c r="W575" s="19">
        <f t="shared" si="1201"/>
        <v>-36.942</v>
      </c>
      <c r="X575" s="19">
        <f t="shared" si="1201"/>
        <v>-9.6050000000000004</v>
      </c>
      <c r="Y575" s="62">
        <f>(Y527+Y531+Y533)/1000</f>
        <v>-112.51600000000001</v>
      </c>
      <c r="Z575" s="19">
        <f t="shared" ref="Z575:AS575" si="1202">(Z527+Z531+Z533)/1000</f>
        <v>-14.063000000000001</v>
      </c>
      <c r="AA575" s="19">
        <f t="shared" si="1202"/>
        <v>20.559000000000001</v>
      </c>
      <c r="AB575" s="19">
        <f t="shared" si="1202"/>
        <v>53.055</v>
      </c>
      <c r="AC575" s="19">
        <f t="shared" si="1202"/>
        <v>73.391918787266832</v>
      </c>
      <c r="AD575" s="76">
        <f t="shared" si="1202"/>
        <v>132.94291878726682</v>
      </c>
      <c r="AE575" s="19">
        <f t="shared" si="1202"/>
        <v>-0.58542867982632019</v>
      </c>
      <c r="AF575" s="19">
        <f t="shared" si="1202"/>
        <v>1.9270399440863166</v>
      </c>
      <c r="AG575" s="19">
        <f t="shared" si="1202"/>
        <v>-15.117362182654892</v>
      </c>
      <c r="AH575" s="19">
        <f t="shared" si="1202"/>
        <v>-8.0100585513237377</v>
      </c>
      <c r="AI575" s="76">
        <f t="shared" si="1202"/>
        <v>-21.785809469718632</v>
      </c>
      <c r="AJ575" s="19">
        <f t="shared" si="1202"/>
        <v>0.62098111635762321</v>
      </c>
      <c r="AK575" s="19">
        <f t="shared" si="1202"/>
        <v>-11.986127545187315</v>
      </c>
      <c r="AL575" s="19">
        <f t="shared" si="1202"/>
        <v>2.1103941189188045</v>
      </c>
      <c r="AM575" s="19">
        <f t="shared" si="1202"/>
        <v>-5.854574398245517</v>
      </c>
      <c r="AN575" s="76">
        <f t="shared" si="1202"/>
        <v>-15.109326708156404</v>
      </c>
      <c r="AO575" s="19">
        <f t="shared" si="1202"/>
        <v>6.503226418016486</v>
      </c>
      <c r="AP575" s="19">
        <f t="shared" si="1202"/>
        <v>-11.874913052835771</v>
      </c>
      <c r="AQ575" s="19">
        <f t="shared" si="1202"/>
        <v>4.4016848138411442</v>
      </c>
      <c r="AR575" s="19">
        <f t="shared" si="1202"/>
        <v>-11.705211839947108</v>
      </c>
      <c r="AS575" s="76">
        <f t="shared" si="1202"/>
        <v>-12.675213660925248</v>
      </c>
    </row>
    <row r="576" spans="1:269">
      <c r="A576" s="563" t="s">
        <v>532</v>
      </c>
      <c r="I576" s="3"/>
      <c r="N576" s="3"/>
      <c r="O576" s="551">
        <f t="shared" ref="O576:AB576" si="1203">O547/N446</f>
        <v>-0.38091611358938093</v>
      </c>
      <c r="P576" s="75">
        <f t="shared" si="1203"/>
        <v>-8.9000108802089001E-2</v>
      </c>
      <c r="Q576" s="3" t="e">
        <f t="shared" si="1203"/>
        <v>#DIV/0!</v>
      </c>
      <c r="R576" s="75">
        <f t="shared" si="1203"/>
        <v>-1.4832393948383269E-2</v>
      </c>
      <c r="S576" s="75">
        <f t="shared" si="1203"/>
        <v>-0.52560066280033135</v>
      </c>
      <c r="T576" s="551">
        <f t="shared" si="1203"/>
        <v>-0.69214607921893345</v>
      </c>
      <c r="U576" s="75">
        <f t="shared" si="1203"/>
        <v>-0.19458691219180621</v>
      </c>
      <c r="V576" s="75">
        <f t="shared" si="1203"/>
        <v>-0.13595386079847696</v>
      </c>
      <c r="W576" s="75">
        <f t="shared" si="1203"/>
        <v>-0.23851227758993404</v>
      </c>
      <c r="X576" s="75">
        <f t="shared" si="1203"/>
        <v>-5.3428366208077796E-2</v>
      </c>
      <c r="Y576" s="551">
        <f t="shared" si="1203"/>
        <v>-0.59651341838979322</v>
      </c>
      <c r="Z576" s="75">
        <f t="shared" si="1203"/>
        <v>-0.12752969643642764</v>
      </c>
      <c r="AA576" s="75">
        <f t="shared" si="1203"/>
        <v>-7.1023965141612203E-2</v>
      </c>
      <c r="AB576" s="75">
        <f t="shared" si="1203"/>
        <v>-9.6892749749415297E-3</v>
      </c>
      <c r="AC576" s="598">
        <v>-0.01</v>
      </c>
      <c r="AD576" s="286">
        <f>AD547/AC446</f>
        <v>-0.46598612608225037</v>
      </c>
      <c r="AE576" s="598">
        <v>-0.01</v>
      </c>
      <c r="AF576" s="598">
        <v>-0.01</v>
      </c>
      <c r="AG576" s="598">
        <v>-0.01</v>
      </c>
      <c r="AH576" s="598">
        <v>-0.01</v>
      </c>
      <c r="AI576" s="286">
        <f>AI547/AH446</f>
        <v>-3.3008135230634134E-3</v>
      </c>
      <c r="AJ576" s="598">
        <v>-0.01</v>
      </c>
      <c r="AK576" s="598">
        <v>-0.01</v>
      </c>
      <c r="AL576" s="598">
        <v>-0.01</v>
      </c>
      <c r="AM576" s="598">
        <v>-0.01</v>
      </c>
      <c r="AN576" s="286">
        <f>AN547/AM446</f>
        <v>-2.763596616182511E-2</v>
      </c>
      <c r="AO576" s="598">
        <v>-0.01</v>
      </c>
      <c r="AP576" s="598">
        <v>-0.01</v>
      </c>
      <c r="AQ576" s="598">
        <v>-0.01</v>
      </c>
      <c r="AR576" s="598">
        <v>-0.01</v>
      </c>
      <c r="AS576" s="286">
        <f>AS547/AR446</f>
        <v>-3.3656953725913423E-2</v>
      </c>
    </row>
    <row r="577" spans="1:269">
      <c r="A577" s="563" t="s">
        <v>533</v>
      </c>
      <c r="I577" s="19">
        <f>I540+I547</f>
        <v>-1323</v>
      </c>
      <c r="N577" s="19">
        <f>N540+N547</f>
        <v>-1323</v>
      </c>
      <c r="O577" s="62">
        <f t="shared" ref="O577:AS577" si="1204">O540+O547</f>
        <v>-15937</v>
      </c>
      <c r="P577" s="19">
        <f t="shared" si="1204"/>
        <v>443</v>
      </c>
      <c r="Q577" s="19">
        <f t="shared" si="1204"/>
        <v>-37088</v>
      </c>
      <c r="R577" s="19">
        <f t="shared" si="1204"/>
        <v>148</v>
      </c>
      <c r="S577" s="19">
        <f t="shared" si="1204"/>
        <v>-3065</v>
      </c>
      <c r="T577" s="62">
        <f t="shared" si="1204"/>
        <v>-39562</v>
      </c>
      <c r="U577" s="19">
        <f t="shared" si="1204"/>
        <v>-41620</v>
      </c>
      <c r="V577" s="19">
        <f t="shared" si="1204"/>
        <v>-33763</v>
      </c>
      <c r="W577" s="19">
        <f t="shared" si="1204"/>
        <v>-35704</v>
      </c>
      <c r="X577" s="19">
        <f t="shared" si="1204"/>
        <v>-6360</v>
      </c>
      <c r="Y577" s="62">
        <f t="shared" si="1204"/>
        <v>-117447</v>
      </c>
      <c r="Z577" s="19">
        <f t="shared" si="1204"/>
        <v>-15329</v>
      </c>
      <c r="AA577" s="19">
        <f t="shared" si="1204"/>
        <v>20662</v>
      </c>
      <c r="AB577" s="19">
        <f t="shared" si="1204"/>
        <v>17790</v>
      </c>
      <c r="AC577" s="19">
        <f t="shared" si="1204"/>
        <v>85892.912359019305</v>
      </c>
      <c r="AD577" s="76">
        <f t="shared" si="1204"/>
        <v>97110.912359019276</v>
      </c>
      <c r="AE577" s="19">
        <f t="shared" si="1204"/>
        <v>1206.7688704565765</v>
      </c>
      <c r="AF577" s="19">
        <f t="shared" si="1204"/>
        <v>2394.7918913560657</v>
      </c>
      <c r="AG577" s="19">
        <f t="shared" si="1204"/>
        <v>-1558.6209497129012</v>
      </c>
      <c r="AH577" s="19">
        <f t="shared" si="1204"/>
        <v>20366.935956715104</v>
      </c>
      <c r="AI577" s="76">
        <f t="shared" si="1204"/>
        <v>22409.875768814847</v>
      </c>
      <c r="AJ577" s="19">
        <f t="shared" si="1204"/>
        <v>15527.655672727398</v>
      </c>
      <c r="AK577" s="19">
        <f t="shared" si="1204"/>
        <v>11127.587538587431</v>
      </c>
      <c r="AL577" s="19">
        <f t="shared" si="1204"/>
        <v>23895.636518682873</v>
      </c>
      <c r="AM577" s="19">
        <f t="shared" si="1204"/>
        <v>26546.075371594561</v>
      </c>
      <c r="AN577" s="76">
        <f t="shared" si="1204"/>
        <v>77096.955101592263</v>
      </c>
      <c r="AO577" s="19">
        <f t="shared" si="1204"/>
        <v>24951.456578443991</v>
      </c>
      <c r="AP577" s="19">
        <f t="shared" si="1204"/>
        <v>16101.200103358698</v>
      </c>
      <c r="AQ577" s="19">
        <f t="shared" si="1204"/>
        <v>30041.017736411286</v>
      </c>
      <c r="AR577" s="19">
        <f t="shared" si="1204"/>
        <v>28103.615375631172</v>
      </c>
      <c r="AS577" s="76">
        <f t="shared" si="1204"/>
        <v>99197.289793845135</v>
      </c>
    </row>
    <row r="580" spans="1:269" s="149" customFormat="1">
      <c r="A580" s="52" t="s">
        <v>395</v>
      </c>
      <c r="B580" s="53"/>
      <c r="C580" s="54"/>
      <c r="D580" s="54"/>
      <c r="E580" s="54"/>
      <c r="F580" s="54"/>
      <c r="G580" s="54"/>
      <c r="H580" s="54"/>
      <c r="I580" s="54"/>
      <c r="J580" s="54"/>
      <c r="K580" s="54"/>
      <c r="L580" s="54"/>
      <c r="M580" s="54"/>
      <c r="N580" s="54"/>
      <c r="O580" s="54"/>
      <c r="P580" s="54"/>
      <c r="Q580" s="54"/>
      <c r="R580" s="54"/>
      <c r="S580" s="54"/>
      <c r="T580" s="54"/>
      <c r="U580" s="54"/>
      <c r="V580" s="54"/>
      <c r="W580" s="54"/>
      <c r="X580" s="54"/>
      <c r="Y580" s="54"/>
      <c r="Z580" s="54"/>
      <c r="AA580" s="54"/>
      <c r="AB580" s="54"/>
      <c r="AC580" s="55"/>
      <c r="AD580" s="55"/>
      <c r="AE580" s="55"/>
      <c r="AF580" s="55"/>
      <c r="AG580" s="55"/>
      <c r="AH580" s="55"/>
      <c r="AI580" s="55"/>
      <c r="AJ580" s="55"/>
      <c r="AK580" s="55"/>
      <c r="AL580" s="55"/>
      <c r="AM580" s="55"/>
      <c r="AN580" s="55"/>
      <c r="AO580" s="55"/>
      <c r="AP580" s="55"/>
      <c r="AQ580" s="55"/>
      <c r="AR580" s="55"/>
      <c r="AS580" s="55"/>
      <c r="AT580" s="317"/>
      <c r="AU580" s="503"/>
      <c r="AV580" s="3"/>
      <c r="AW580" s="3"/>
      <c r="AX580" s="3"/>
      <c r="AY580" s="3"/>
      <c r="AZ580" s="3"/>
      <c r="BA580" s="3"/>
      <c r="BB580" s="3"/>
      <c r="BC580" s="3"/>
      <c r="BD580" s="3"/>
      <c r="BE580" s="3"/>
      <c r="BF580" s="3"/>
      <c r="BG580" s="3"/>
      <c r="BH580" s="3"/>
      <c r="BI580" s="3"/>
      <c r="BJ580" s="3"/>
      <c r="BK580" s="3"/>
      <c r="BL580" s="3"/>
      <c r="BM580" s="3"/>
      <c r="BN580" s="3"/>
      <c r="BO580" s="3"/>
      <c r="BP580" s="3"/>
      <c r="BQ580" s="3"/>
      <c r="BR580" s="3"/>
      <c r="BS580" s="3"/>
      <c r="BT580" s="3"/>
      <c r="BU580" s="3"/>
      <c r="BV580" s="3"/>
      <c r="BW580" s="3"/>
      <c r="BX580" s="3"/>
      <c r="BY580" s="3"/>
      <c r="BZ580" s="3"/>
      <c r="CA580" s="3"/>
      <c r="CB580" s="3"/>
      <c r="CC580" s="3"/>
      <c r="CD580" s="3"/>
      <c r="CE580" s="3"/>
      <c r="CF580" s="3"/>
      <c r="CG580" s="3"/>
      <c r="CH580" s="3"/>
      <c r="CI580" s="3"/>
      <c r="CJ580" s="3"/>
      <c r="CK580" s="3"/>
      <c r="CL580" s="3"/>
      <c r="CM580" s="3"/>
      <c r="CN580" s="3"/>
      <c r="CO580" s="3"/>
      <c r="CP580" s="3"/>
      <c r="CQ580" s="3"/>
      <c r="CR580" s="3"/>
      <c r="CS580" s="3"/>
      <c r="CT580" s="3"/>
      <c r="CU580" s="3"/>
      <c r="CV580" s="3"/>
      <c r="CW580" s="3"/>
      <c r="CX580" s="3"/>
      <c r="CY580" s="3"/>
      <c r="CZ580" s="3"/>
      <c r="DA580" s="3"/>
      <c r="DB580" s="3"/>
      <c r="DC580" s="3"/>
      <c r="DD580" s="3"/>
      <c r="DE580" s="3"/>
      <c r="DF580" s="3"/>
      <c r="DG580" s="3"/>
      <c r="DH580" s="3"/>
      <c r="DI580" s="3"/>
      <c r="DJ580" s="3"/>
      <c r="DK580" s="3"/>
      <c r="DL580" s="3"/>
      <c r="DM580" s="3"/>
      <c r="DN580" s="3"/>
      <c r="DO580" s="3"/>
      <c r="DP580" s="3"/>
      <c r="DQ580" s="3"/>
      <c r="DR580" s="3"/>
      <c r="DS580" s="3"/>
      <c r="DT580" s="3"/>
      <c r="DU580" s="3"/>
      <c r="DV580" s="3"/>
      <c r="DW580" s="3"/>
      <c r="DX580" s="3"/>
      <c r="DY580" s="3"/>
      <c r="DZ580" s="3"/>
      <c r="EA580" s="3"/>
      <c r="EB580" s="3"/>
      <c r="EC580" s="3"/>
      <c r="ED580" s="3"/>
      <c r="EE580" s="3"/>
      <c r="EF580" s="3"/>
      <c r="EG580" s="3"/>
      <c r="EH580" s="3"/>
      <c r="EI580" s="3"/>
      <c r="EJ580" s="3"/>
      <c r="EK580" s="3"/>
      <c r="EL580" s="3"/>
      <c r="EM580" s="3"/>
      <c r="EN580" s="3"/>
      <c r="EO580" s="3"/>
      <c r="EP580" s="3"/>
      <c r="EQ580" s="3"/>
      <c r="ER580" s="3"/>
      <c r="ES580" s="3"/>
      <c r="ET580" s="3"/>
      <c r="EU580" s="3"/>
      <c r="EV580" s="3"/>
      <c r="EW580" s="3"/>
      <c r="EX580" s="3"/>
      <c r="EY580" s="3"/>
      <c r="EZ580" s="3"/>
      <c r="FA580" s="3"/>
      <c r="FB580" s="3"/>
      <c r="FC580" s="3"/>
      <c r="FD580" s="3"/>
      <c r="FE580" s="3"/>
      <c r="FF580" s="3"/>
      <c r="FG580" s="3"/>
      <c r="FH580" s="3"/>
      <c r="FI580" s="3"/>
      <c r="FJ580" s="3"/>
      <c r="FK580" s="3"/>
      <c r="FL580" s="3"/>
      <c r="FM580" s="3"/>
      <c r="FN580" s="3"/>
      <c r="FO580" s="3"/>
      <c r="FP580" s="3"/>
      <c r="FQ580" s="3"/>
      <c r="FR580" s="3"/>
      <c r="FS580" s="3"/>
      <c r="FT580" s="3"/>
      <c r="FU580" s="3"/>
      <c r="FV580" s="3"/>
      <c r="FW580" s="3"/>
      <c r="FX580" s="3"/>
      <c r="FY580" s="3"/>
      <c r="FZ580" s="3"/>
      <c r="GA580" s="3"/>
      <c r="GB580" s="3"/>
      <c r="GC580" s="3"/>
      <c r="GD580" s="3"/>
      <c r="GE580" s="3"/>
      <c r="GF580" s="3"/>
      <c r="GG580" s="3"/>
      <c r="GH580" s="3"/>
      <c r="GI580" s="3"/>
      <c r="GJ580" s="3"/>
      <c r="GK580" s="3"/>
      <c r="GL580" s="3"/>
      <c r="GM580" s="3"/>
      <c r="GN580" s="3"/>
      <c r="GO580" s="3"/>
      <c r="GP580" s="3"/>
      <c r="GQ580" s="3"/>
      <c r="GR580" s="3"/>
      <c r="GS580" s="3"/>
      <c r="GT580" s="3"/>
      <c r="GU580" s="3"/>
      <c r="GV580" s="3"/>
      <c r="GW580" s="3"/>
      <c r="GX580" s="3"/>
      <c r="GY580" s="3"/>
      <c r="GZ580" s="3"/>
      <c r="HA580" s="3"/>
      <c r="HB580" s="3"/>
      <c r="HC580" s="3"/>
      <c r="HD580" s="3"/>
      <c r="HE580" s="3"/>
      <c r="HF580" s="3"/>
      <c r="HG580" s="3"/>
      <c r="HH580" s="3"/>
      <c r="HI580" s="3"/>
      <c r="HJ580" s="3"/>
      <c r="HK580" s="3"/>
      <c r="HL580" s="3"/>
      <c r="HM580" s="3"/>
      <c r="HN580" s="3"/>
      <c r="HO580" s="3"/>
      <c r="HP580" s="3"/>
      <c r="HQ580" s="3"/>
      <c r="HR580" s="3"/>
      <c r="HS580" s="3"/>
      <c r="HT580" s="3"/>
      <c r="HU580" s="3"/>
      <c r="HV580" s="3"/>
      <c r="HW580" s="3"/>
      <c r="HX580" s="3"/>
      <c r="HY580" s="3"/>
      <c r="HZ580" s="3"/>
      <c r="IA580" s="3"/>
      <c r="IB580" s="3"/>
      <c r="IC580" s="3"/>
      <c r="ID580" s="3"/>
      <c r="IE580" s="3"/>
      <c r="IF580" s="3"/>
      <c r="IG580" s="3"/>
      <c r="IH580" s="3"/>
      <c r="II580" s="3"/>
      <c r="IJ580" s="3"/>
      <c r="IK580" s="3"/>
      <c r="IL580" s="3"/>
      <c r="IM580" s="3"/>
      <c r="IN580" s="3"/>
      <c r="IO580" s="3"/>
      <c r="IP580" s="3"/>
      <c r="IQ580" s="3"/>
      <c r="IR580" s="3"/>
      <c r="IS580" s="3"/>
      <c r="IT580" s="3"/>
      <c r="IU580" s="3"/>
      <c r="IV580" s="3"/>
      <c r="IW580" s="3"/>
      <c r="IX580" s="3"/>
      <c r="IY580" s="3"/>
      <c r="IZ580" s="3"/>
      <c r="JA580" s="3"/>
      <c r="JB580" s="3"/>
      <c r="JC580" s="3"/>
      <c r="JD580" s="3"/>
      <c r="JE580" s="3"/>
      <c r="JF580" s="3"/>
      <c r="JG580" s="3"/>
      <c r="JH580" s="3"/>
      <c r="JI580" s="3"/>
    </row>
    <row r="581" spans="1:269">
      <c r="A581" s="83"/>
      <c r="C581" s="62"/>
      <c r="D581" s="62"/>
      <c r="E581" s="62"/>
      <c r="F581" s="19"/>
      <c r="G581" s="19"/>
      <c r="H581" s="19"/>
      <c r="I581" s="19"/>
      <c r="J581" s="62"/>
      <c r="K581" s="19"/>
      <c r="L581" s="19"/>
      <c r="M581" s="19"/>
      <c r="N581" s="19"/>
      <c r="O581" s="62"/>
      <c r="P581" s="19"/>
      <c r="Q581" s="19"/>
      <c r="R581" s="19"/>
      <c r="S581" s="19"/>
      <c r="T581" s="62"/>
      <c r="U581" s="19"/>
      <c r="V581" s="19"/>
      <c r="W581" s="19"/>
      <c r="X581" s="19"/>
      <c r="Y581" s="62"/>
      <c r="Z581" s="19"/>
      <c r="AA581" s="19"/>
      <c r="AB581" s="19"/>
      <c r="AC581" s="19"/>
      <c r="AD581" s="76"/>
      <c r="AE581" s="19"/>
      <c r="AF581" s="19"/>
      <c r="AG581" s="19"/>
      <c r="AH581" s="19"/>
    </row>
    <row r="582" spans="1:269" outlineLevel="1">
      <c r="A582" s="85" t="s">
        <v>335</v>
      </c>
      <c r="B582" s="143"/>
      <c r="C582" s="277"/>
      <c r="D582" s="277"/>
      <c r="E582" s="277"/>
      <c r="F582" s="278"/>
      <c r="G582" s="278"/>
      <c r="H582" s="278"/>
      <c r="I582" s="278"/>
      <c r="J582" s="277"/>
      <c r="K582" s="278"/>
      <c r="L582" s="278"/>
      <c r="M582" s="278"/>
      <c r="N582" s="278"/>
      <c r="O582" s="277"/>
      <c r="P582" s="278"/>
      <c r="Q582" s="278"/>
      <c r="R582" s="278"/>
      <c r="S582" s="278"/>
      <c r="T582" s="277"/>
      <c r="U582" s="278"/>
      <c r="V582" s="278"/>
      <c r="W582" s="278"/>
      <c r="X582" s="278"/>
      <c r="Y582" s="277"/>
      <c r="Z582" s="278"/>
      <c r="AA582" s="278"/>
      <c r="AB582" s="278"/>
      <c r="AC582" s="278"/>
      <c r="AD582" s="536"/>
      <c r="AE582" s="144"/>
      <c r="AF582" s="144"/>
      <c r="AG582" s="144"/>
      <c r="AH582" s="144"/>
      <c r="AI582" s="279"/>
      <c r="AJ582" s="144"/>
      <c r="AK582" s="144"/>
      <c r="AL582" s="144"/>
      <c r="AM582" s="144"/>
      <c r="AN582" s="279"/>
      <c r="AO582" s="144"/>
      <c r="AP582" s="144"/>
      <c r="AQ582" s="144"/>
      <c r="AR582" s="144"/>
      <c r="AS582" s="279"/>
    </row>
    <row r="583" spans="1:269" outlineLevel="1">
      <c r="A583" s="281" t="s">
        <v>336</v>
      </c>
      <c r="B583" s="143"/>
      <c r="C583" s="277"/>
      <c r="D583" s="277"/>
      <c r="E583" s="277"/>
      <c r="F583" s="278"/>
      <c r="G583" s="278">
        <v>-19466</v>
      </c>
      <c r="H583" s="278">
        <v>-21682</v>
      </c>
      <c r="I583" s="278">
        <v>-29175</v>
      </c>
      <c r="J583" s="277"/>
      <c r="K583" s="278"/>
      <c r="L583" s="278">
        <v>-19466</v>
      </c>
      <c r="M583" s="278">
        <v>-21682</v>
      </c>
      <c r="N583" s="278">
        <v>-29175</v>
      </c>
      <c r="O583" s="277"/>
      <c r="P583" s="278">
        <v>-3274</v>
      </c>
      <c r="Q583" s="278">
        <v>-142652</v>
      </c>
      <c r="R583" s="278">
        <v>-357797</v>
      </c>
      <c r="S583" s="278">
        <v>-375108</v>
      </c>
      <c r="T583" s="277"/>
      <c r="U583" s="278">
        <v>32507</v>
      </c>
      <c r="V583" s="278">
        <v>40438</v>
      </c>
      <c r="W583" s="278">
        <v>40569</v>
      </c>
      <c r="X583" s="278">
        <v>44384</v>
      </c>
      <c r="Y583" s="277"/>
      <c r="Z583" s="66">
        <v>-22285</v>
      </c>
      <c r="AA583" s="66">
        <v>-16895</v>
      </c>
      <c r="AB583" s="66">
        <v>-90713</v>
      </c>
      <c r="AC583" s="66"/>
      <c r="AD583" s="536"/>
      <c r="AE583" s="144"/>
      <c r="AF583" s="144"/>
      <c r="AG583" s="144"/>
      <c r="AH583" s="144"/>
      <c r="AI583" s="279"/>
      <c r="AJ583" s="143"/>
      <c r="AK583" s="143"/>
      <c r="AL583" s="143"/>
      <c r="AM583" s="143"/>
      <c r="AN583" s="279"/>
      <c r="AO583" s="143"/>
      <c r="AP583" s="143"/>
      <c r="AQ583" s="143"/>
      <c r="AR583" s="143"/>
      <c r="AS583" s="279"/>
    </row>
    <row r="584" spans="1:269" outlineLevel="1">
      <c r="A584" s="281" t="s">
        <v>337</v>
      </c>
      <c r="B584" s="143"/>
      <c r="C584" s="277"/>
      <c r="D584" s="277"/>
      <c r="E584" s="277"/>
      <c r="F584" s="278"/>
      <c r="G584" s="278"/>
      <c r="H584" s="278"/>
      <c r="I584" s="278"/>
      <c r="J584" s="277"/>
      <c r="K584" s="278"/>
      <c r="L584" s="278"/>
      <c r="M584" s="278"/>
      <c r="N584" s="278"/>
      <c r="O584" s="277"/>
      <c r="P584" s="278"/>
      <c r="Q584" s="278"/>
      <c r="R584" s="278"/>
      <c r="S584" s="278"/>
      <c r="T584" s="277"/>
      <c r="U584" s="278"/>
      <c r="V584" s="278"/>
      <c r="W584" s="278"/>
      <c r="X584" s="278"/>
      <c r="Y584" s="277"/>
      <c r="Z584" s="66"/>
      <c r="AA584" s="66"/>
      <c r="AB584" s="66"/>
      <c r="AC584" s="66"/>
      <c r="AD584" s="536"/>
      <c r="AE584" s="144"/>
      <c r="AF584" s="144"/>
      <c r="AG584" s="144"/>
      <c r="AH584" s="144"/>
      <c r="AI584" s="279"/>
      <c r="AJ584" s="143"/>
      <c r="AK584" s="143"/>
      <c r="AL584" s="143"/>
      <c r="AM584" s="143"/>
      <c r="AN584" s="279"/>
      <c r="AO584" s="143"/>
      <c r="AP584" s="143"/>
      <c r="AQ584" s="143"/>
      <c r="AR584" s="143"/>
      <c r="AS584" s="279"/>
    </row>
    <row r="585" spans="1:269" outlineLevel="1">
      <c r="A585" s="281" t="s">
        <v>338</v>
      </c>
      <c r="B585" s="143"/>
      <c r="C585" s="277"/>
      <c r="D585" s="277"/>
      <c r="E585" s="277"/>
      <c r="F585" s="278"/>
      <c r="G585" s="278">
        <v>1273</v>
      </c>
      <c r="H585" s="278">
        <v>1441</v>
      </c>
      <c r="I585" s="278">
        <v>2552</v>
      </c>
      <c r="J585" s="277"/>
      <c r="K585" s="278"/>
      <c r="L585" s="278">
        <v>1273</v>
      </c>
      <c r="M585" s="278">
        <v>1441</v>
      </c>
      <c r="N585" s="278">
        <v>2552</v>
      </c>
      <c r="O585" s="277"/>
      <c r="P585" s="278">
        <v>690</v>
      </c>
      <c r="Q585" s="278">
        <v>1418</v>
      </c>
      <c r="R585" s="278">
        <v>2446</v>
      </c>
      <c r="S585" s="278">
        <v>4486</v>
      </c>
      <c r="T585" s="277"/>
      <c r="U585" s="278">
        <v>1416</v>
      </c>
      <c r="V585" s="278">
        <v>3268</v>
      </c>
      <c r="W585" s="278">
        <v>5269</v>
      </c>
      <c r="X585" s="278">
        <v>7164</v>
      </c>
      <c r="Y585" s="277"/>
      <c r="Z585" s="66">
        <v>1834</v>
      </c>
      <c r="AA585" s="66">
        <v>4483</v>
      </c>
      <c r="AB585" s="66">
        <v>6996</v>
      </c>
      <c r="AC585" s="66"/>
      <c r="AD585" s="536"/>
      <c r="AE585" s="144"/>
      <c r="AF585" s="144"/>
      <c r="AG585" s="144"/>
      <c r="AH585" s="144"/>
      <c r="AI585" s="279"/>
      <c r="AJ585" s="143"/>
      <c r="AK585" s="143"/>
      <c r="AL585" s="143"/>
      <c r="AM585" s="143"/>
      <c r="AN585" s="279"/>
      <c r="AO585" s="143"/>
      <c r="AP585" s="143"/>
      <c r="AQ585" s="143"/>
      <c r="AR585" s="143"/>
      <c r="AS585" s="279"/>
    </row>
    <row r="586" spans="1:269" outlineLevel="1">
      <c r="A586" s="281" t="s">
        <v>396</v>
      </c>
      <c r="B586" s="143"/>
      <c r="C586" s="277"/>
      <c r="D586" s="277"/>
      <c r="E586" s="277"/>
      <c r="F586" s="278"/>
      <c r="G586" s="278"/>
      <c r="H586" s="278"/>
      <c r="I586" s="278"/>
      <c r="J586" s="277"/>
      <c r="K586" s="278"/>
      <c r="L586" s="278"/>
      <c r="M586" s="278"/>
      <c r="N586" s="278"/>
      <c r="O586" s="277"/>
      <c r="P586" s="278"/>
      <c r="Q586" s="278"/>
      <c r="R586" s="278"/>
      <c r="S586" s="278"/>
      <c r="T586" s="277"/>
      <c r="U586" s="278"/>
      <c r="V586" s="278"/>
      <c r="W586" s="278"/>
      <c r="X586" s="278"/>
      <c r="Y586" s="277"/>
      <c r="Z586" s="66"/>
      <c r="AA586" s="66"/>
      <c r="AB586" s="66"/>
      <c r="AC586" s="66"/>
      <c r="AD586" s="536"/>
      <c r="AE586" s="144"/>
      <c r="AF586" s="144"/>
      <c r="AG586" s="144"/>
      <c r="AH586" s="144"/>
      <c r="AI586" s="279"/>
      <c r="AJ586" s="143"/>
      <c r="AK586" s="143"/>
      <c r="AL586" s="143"/>
      <c r="AM586" s="143"/>
      <c r="AN586" s="279"/>
      <c r="AO586" s="143"/>
      <c r="AP586" s="143"/>
      <c r="AQ586" s="143"/>
      <c r="AR586" s="143"/>
      <c r="AS586" s="279"/>
    </row>
    <row r="587" spans="1:269" outlineLevel="1">
      <c r="A587" s="319" t="s">
        <v>347</v>
      </c>
      <c r="B587" s="143"/>
      <c r="C587" s="277"/>
      <c r="D587" s="277"/>
      <c r="E587" s="277"/>
      <c r="F587" s="278"/>
      <c r="G587" s="278">
        <v>-36</v>
      </c>
      <c r="H587" s="278">
        <v>-36</v>
      </c>
      <c r="I587" s="278">
        <v>-36</v>
      </c>
      <c r="J587" s="277"/>
      <c r="K587" s="278"/>
      <c r="L587" s="278">
        <v>-36</v>
      </c>
      <c r="M587" s="278">
        <v>-36</v>
      </c>
      <c r="N587" s="278">
        <v>-36</v>
      </c>
      <c r="O587" s="277"/>
      <c r="P587" s="278"/>
      <c r="Q587" s="278">
        <v>0</v>
      </c>
      <c r="R587" s="278">
        <v>0</v>
      </c>
      <c r="S587" s="278">
        <v>0</v>
      </c>
      <c r="T587" s="277"/>
      <c r="U587" s="278"/>
      <c r="V587" s="278"/>
      <c r="W587" s="278"/>
      <c r="X587" s="278">
        <v>0</v>
      </c>
      <c r="Y587" s="277"/>
      <c r="Z587" s="66">
        <v>3874</v>
      </c>
      <c r="AA587" s="66">
        <v>11126</v>
      </c>
      <c r="AB587" s="66">
        <v>15955</v>
      </c>
      <c r="AC587" s="66"/>
      <c r="AD587" s="536"/>
      <c r="AE587" s="144"/>
      <c r="AF587" s="144"/>
      <c r="AG587" s="144"/>
      <c r="AH587" s="144"/>
      <c r="AI587" s="279"/>
      <c r="AJ587" s="143"/>
      <c r="AK587" s="143"/>
      <c r="AL587" s="143"/>
      <c r="AM587" s="143"/>
      <c r="AN587" s="279"/>
      <c r="AO587" s="143"/>
      <c r="AP587" s="143"/>
      <c r="AQ587" s="143"/>
      <c r="AR587" s="143"/>
      <c r="AS587" s="279"/>
    </row>
    <row r="588" spans="1:269" outlineLevel="1">
      <c r="A588" s="319" t="s">
        <v>339</v>
      </c>
      <c r="B588" s="143"/>
      <c r="C588" s="277"/>
      <c r="D588" s="277"/>
      <c r="E588" s="277"/>
      <c r="F588" s="278"/>
      <c r="G588" s="278">
        <v>349</v>
      </c>
      <c r="H588" s="278">
        <v>802</v>
      </c>
      <c r="I588" s="278">
        <v>0</v>
      </c>
      <c r="J588" s="277"/>
      <c r="K588" s="278"/>
      <c r="L588" s="278">
        <v>349</v>
      </c>
      <c r="M588" s="278">
        <v>802</v>
      </c>
      <c r="N588" s="278">
        <v>0</v>
      </c>
      <c r="O588" s="277"/>
      <c r="P588" s="278">
        <v>0</v>
      </c>
      <c r="Q588" s="278">
        <v>626</v>
      </c>
      <c r="R588" s="278">
        <v>956</v>
      </c>
      <c r="S588" s="278"/>
      <c r="T588" s="277"/>
      <c r="U588" s="278">
        <v>404</v>
      </c>
      <c r="V588" s="278">
        <v>903</v>
      </c>
      <c r="W588" s="278">
        <v>1463</v>
      </c>
      <c r="X588" s="278">
        <v>0</v>
      </c>
      <c r="Y588" s="277"/>
      <c r="Z588" s="66">
        <v>548</v>
      </c>
      <c r="AA588" s="66">
        <v>1107</v>
      </c>
      <c r="AB588" s="66">
        <v>1751</v>
      </c>
      <c r="AC588" s="66"/>
      <c r="AD588" s="536"/>
      <c r="AE588" s="144"/>
      <c r="AF588" s="144"/>
      <c r="AG588" s="144"/>
      <c r="AH588" s="144"/>
      <c r="AI588" s="279"/>
      <c r="AJ588" s="143"/>
      <c r="AK588" s="143"/>
      <c r="AL588" s="143"/>
      <c r="AM588" s="143"/>
      <c r="AN588" s="279"/>
      <c r="AO588" s="143"/>
      <c r="AP588" s="143"/>
      <c r="AQ588" s="143"/>
      <c r="AR588" s="143"/>
      <c r="AS588" s="279"/>
    </row>
    <row r="589" spans="1:269" outlineLevel="1">
      <c r="A589" s="319" t="s">
        <v>341</v>
      </c>
      <c r="B589" s="143"/>
      <c r="C589" s="277"/>
      <c r="D589" s="277"/>
      <c r="E589" s="277"/>
      <c r="F589" s="278"/>
      <c r="G589" s="278"/>
      <c r="H589" s="278"/>
      <c r="I589" s="278">
        <v>0</v>
      </c>
      <c r="J589" s="277"/>
      <c r="K589" s="278"/>
      <c r="L589" s="278"/>
      <c r="M589" s="278"/>
      <c r="N589" s="278">
        <v>0</v>
      </c>
      <c r="O589" s="277"/>
      <c r="P589" s="278"/>
      <c r="Q589" s="278">
        <v>0</v>
      </c>
      <c r="R589" s="278">
        <v>0</v>
      </c>
      <c r="S589" s="278"/>
      <c r="T589" s="277"/>
      <c r="U589" s="278"/>
      <c r="V589" s="278">
        <v>2282</v>
      </c>
      <c r="W589" s="278">
        <v>3547</v>
      </c>
      <c r="X589" s="278">
        <v>4561</v>
      </c>
      <c r="Y589" s="277"/>
      <c r="Z589" s="66">
        <v>1058</v>
      </c>
      <c r="AA589" s="66">
        <v>2114</v>
      </c>
      <c r="AB589" s="66">
        <v>3172</v>
      </c>
      <c r="AC589" s="66"/>
      <c r="AD589" s="536"/>
      <c r="AE589" s="144"/>
      <c r="AF589" s="144"/>
      <c r="AG589" s="144"/>
      <c r="AH589" s="144"/>
      <c r="AI589" s="279"/>
      <c r="AJ589" s="143"/>
      <c r="AK589" s="143"/>
      <c r="AL589" s="143"/>
      <c r="AM589" s="143"/>
      <c r="AN589" s="279"/>
      <c r="AO589" s="143"/>
      <c r="AP589" s="143"/>
      <c r="AQ589" s="143"/>
      <c r="AR589" s="143"/>
      <c r="AS589" s="279"/>
    </row>
    <row r="590" spans="1:269" outlineLevel="1">
      <c r="A590" s="319" t="s">
        <v>342</v>
      </c>
      <c r="B590" s="143"/>
      <c r="C590" s="277"/>
      <c r="D590" s="277"/>
      <c r="E590" s="277"/>
      <c r="F590" s="278"/>
      <c r="G590" s="278"/>
      <c r="H590" s="278"/>
      <c r="I590" s="278">
        <v>0</v>
      </c>
      <c r="J590" s="277"/>
      <c r="K590" s="278"/>
      <c r="L590" s="278"/>
      <c r="M590" s="278"/>
      <c r="N590" s="278">
        <v>0</v>
      </c>
      <c r="O590" s="277"/>
      <c r="P590" s="278">
        <v>0</v>
      </c>
      <c r="Q590" s="278"/>
      <c r="R590" s="278"/>
      <c r="S590" s="278">
        <v>3352</v>
      </c>
      <c r="T590" s="277"/>
      <c r="U590" s="278">
        <v>1055</v>
      </c>
      <c r="V590" s="278"/>
      <c r="W590" s="278"/>
      <c r="X590" s="278"/>
      <c r="Y590" s="277"/>
      <c r="Z590" s="66"/>
      <c r="AA590" s="66"/>
      <c r="AB590" s="66"/>
      <c r="AC590" s="66"/>
      <c r="AD590" s="536"/>
      <c r="AE590" s="144"/>
      <c r="AF590" s="144"/>
      <c r="AG590" s="144"/>
      <c r="AH590" s="144"/>
      <c r="AI590" s="279"/>
      <c r="AJ590" s="143"/>
      <c r="AK590" s="143"/>
      <c r="AL590" s="143"/>
      <c r="AM590" s="143"/>
      <c r="AN590" s="279"/>
      <c r="AO590" s="143"/>
      <c r="AP590" s="143"/>
      <c r="AQ590" s="143"/>
      <c r="AR590" s="143"/>
      <c r="AS590" s="279"/>
    </row>
    <row r="591" spans="1:269" outlineLevel="1">
      <c r="A591" s="319" t="s">
        <v>343</v>
      </c>
      <c r="B591" s="143"/>
      <c r="C591" s="277"/>
      <c r="D591" s="277"/>
      <c r="E591" s="277"/>
      <c r="F591" s="278"/>
      <c r="G591" s="278">
        <v>5616</v>
      </c>
      <c r="H591" s="278">
        <v>8665</v>
      </c>
      <c r="I591" s="278">
        <v>11849</v>
      </c>
      <c r="J591" s="277"/>
      <c r="K591" s="278"/>
      <c r="L591" s="278">
        <v>5616</v>
      </c>
      <c r="M591" s="278">
        <v>8665</v>
      </c>
      <c r="N591" s="278">
        <v>11849</v>
      </c>
      <c r="O591" s="277"/>
      <c r="P591" s="278">
        <v>2921</v>
      </c>
      <c r="Q591" s="278">
        <v>5229</v>
      </c>
      <c r="R591" s="278">
        <v>8384</v>
      </c>
      <c r="S591" s="278">
        <v>13297</v>
      </c>
      <c r="T591" s="277"/>
      <c r="U591" s="278">
        <v>3174</v>
      </c>
      <c r="V591" s="278">
        <v>6468</v>
      </c>
      <c r="W591" s="278">
        <v>9600</v>
      </c>
      <c r="X591" s="278">
        <v>14852</v>
      </c>
      <c r="Y591" s="277"/>
      <c r="Z591" s="66"/>
      <c r="AA591" s="66"/>
      <c r="AB591" s="66"/>
      <c r="AC591" s="66"/>
      <c r="AD591" s="536"/>
      <c r="AE591" s="144"/>
      <c r="AF591" s="144"/>
      <c r="AG591" s="144"/>
      <c r="AH591" s="144"/>
      <c r="AI591" s="279"/>
      <c r="AJ591" s="143"/>
      <c r="AK591" s="143"/>
      <c r="AL591" s="143"/>
      <c r="AM591" s="143"/>
      <c r="AN591" s="279"/>
      <c r="AO591" s="143"/>
      <c r="AP591" s="143"/>
      <c r="AQ591" s="143"/>
      <c r="AR591" s="143"/>
      <c r="AS591" s="279"/>
    </row>
    <row r="592" spans="1:269" outlineLevel="1">
      <c r="A592" s="319" t="s">
        <v>344</v>
      </c>
      <c r="B592" s="143"/>
      <c r="C592" s="277"/>
      <c r="D592" s="277"/>
      <c r="E592" s="277"/>
      <c r="F592" s="278"/>
      <c r="G592" s="278">
        <v>66</v>
      </c>
      <c r="H592" s="278">
        <v>99</v>
      </c>
      <c r="I592" s="278">
        <v>132</v>
      </c>
      <c r="J592" s="277"/>
      <c r="K592" s="278"/>
      <c r="L592" s="278">
        <v>66</v>
      </c>
      <c r="M592" s="278">
        <v>99</v>
      </c>
      <c r="N592" s="278">
        <v>132</v>
      </c>
      <c r="O592" s="277"/>
      <c r="P592" s="278">
        <v>33</v>
      </c>
      <c r="Q592" s="278">
        <v>66</v>
      </c>
      <c r="R592" s="278">
        <v>99</v>
      </c>
      <c r="S592" s="278">
        <v>147</v>
      </c>
      <c r="T592" s="277"/>
      <c r="U592" s="278">
        <v>135</v>
      </c>
      <c r="V592" s="278">
        <v>280</v>
      </c>
      <c r="W592" s="278">
        <v>525</v>
      </c>
      <c r="X592" s="278">
        <v>857</v>
      </c>
      <c r="Y592" s="277"/>
      <c r="Z592" s="66"/>
      <c r="AA592" s="66"/>
      <c r="AB592" s="66"/>
      <c r="AC592" s="66"/>
      <c r="AD592" s="536"/>
      <c r="AE592" s="144"/>
      <c r="AF592" s="144"/>
      <c r="AG592" s="144"/>
      <c r="AH592" s="144"/>
      <c r="AI592" s="279"/>
      <c r="AJ592" s="143"/>
      <c r="AK592" s="143"/>
      <c r="AL592" s="143"/>
      <c r="AM592" s="143"/>
      <c r="AN592" s="279"/>
      <c r="AO592" s="143"/>
      <c r="AP592" s="143"/>
      <c r="AQ592" s="143"/>
      <c r="AR592" s="143"/>
      <c r="AS592" s="279"/>
    </row>
    <row r="593" spans="1:45" outlineLevel="1">
      <c r="A593" s="319" t="s">
        <v>345</v>
      </c>
      <c r="B593" s="143"/>
      <c r="C593" s="277"/>
      <c r="D593" s="277"/>
      <c r="E593" s="277"/>
      <c r="F593" s="278"/>
      <c r="G593" s="278">
        <v>701</v>
      </c>
      <c r="H593" s="278">
        <v>1055</v>
      </c>
      <c r="I593" s="278">
        <v>1515</v>
      </c>
      <c r="J593" s="277"/>
      <c r="K593" s="278"/>
      <c r="L593" s="278">
        <v>701</v>
      </c>
      <c r="M593" s="278">
        <v>1055</v>
      </c>
      <c r="N593" s="278">
        <v>1515</v>
      </c>
      <c r="O593" s="277"/>
      <c r="P593" s="278">
        <v>394</v>
      </c>
      <c r="Q593" s="278">
        <v>2806</v>
      </c>
      <c r="R593" s="278">
        <v>3005</v>
      </c>
      <c r="S593" s="278">
        <v>4061</v>
      </c>
      <c r="T593" s="277"/>
      <c r="U593" s="278">
        <v>0</v>
      </c>
      <c r="V593" s="278">
        <v>0</v>
      </c>
      <c r="W593" s="278">
        <v>0</v>
      </c>
      <c r="X593" s="278">
        <v>4229</v>
      </c>
      <c r="Y593" s="277"/>
      <c r="Z593" s="66"/>
      <c r="AA593" s="66"/>
      <c r="AB593" s="66"/>
      <c r="AC593" s="66"/>
      <c r="AD593" s="536"/>
      <c r="AE593" s="144"/>
      <c r="AF593" s="144"/>
      <c r="AG593" s="144"/>
      <c r="AH593" s="144"/>
      <c r="AI593" s="279"/>
      <c r="AJ593" s="143"/>
      <c r="AK593" s="143"/>
      <c r="AL593" s="143"/>
      <c r="AM593" s="143"/>
      <c r="AN593" s="279"/>
      <c r="AO593" s="143"/>
      <c r="AP593" s="143"/>
      <c r="AQ593" s="143"/>
      <c r="AR593" s="143"/>
      <c r="AS593" s="279"/>
    </row>
    <row r="594" spans="1:45" outlineLevel="1">
      <c r="A594" s="319" t="s">
        <v>354</v>
      </c>
      <c r="B594" s="143"/>
      <c r="C594" s="277"/>
      <c r="D594" s="277"/>
      <c r="E594" s="277"/>
      <c r="F594" s="278"/>
      <c r="G594" s="278"/>
      <c r="H594" s="278"/>
      <c r="I594" s="278"/>
      <c r="J594" s="277"/>
      <c r="K594" s="278"/>
      <c r="L594" s="278"/>
      <c r="M594" s="278"/>
      <c r="N594" s="278"/>
      <c r="O594" s="277"/>
      <c r="P594" s="278">
        <v>0</v>
      </c>
      <c r="Q594" s="278">
        <v>0</v>
      </c>
      <c r="R594" s="278">
        <v>0</v>
      </c>
      <c r="S594" s="278"/>
      <c r="T594" s="277"/>
      <c r="U594" s="278">
        <v>1057</v>
      </c>
      <c r="V594" s="278">
        <v>2114</v>
      </c>
      <c r="W594" s="278">
        <v>3172</v>
      </c>
      <c r="X594" s="278"/>
      <c r="Y594" s="277"/>
      <c r="Z594" s="66"/>
      <c r="AA594" s="66"/>
      <c r="AB594" s="66"/>
      <c r="AC594" s="66"/>
      <c r="AD594" s="536"/>
      <c r="AE594" s="144"/>
      <c r="AF594" s="144"/>
      <c r="AG594" s="144"/>
      <c r="AH594" s="144"/>
      <c r="AI594" s="279"/>
      <c r="AJ594" s="143"/>
      <c r="AK594" s="143"/>
      <c r="AL594" s="143"/>
      <c r="AM594" s="143"/>
      <c r="AN594" s="279"/>
      <c r="AO594" s="143"/>
      <c r="AP594" s="143"/>
      <c r="AQ594" s="143"/>
      <c r="AR594" s="143"/>
      <c r="AS594" s="279"/>
    </row>
    <row r="595" spans="1:45" outlineLevel="1">
      <c r="A595" s="319"/>
      <c r="B595" s="143"/>
      <c r="C595" s="277"/>
      <c r="D595" s="277"/>
      <c r="E595" s="277"/>
      <c r="F595" s="278"/>
      <c r="G595" s="278"/>
      <c r="H595" s="278"/>
      <c r="I595" s="278"/>
      <c r="J595" s="277"/>
      <c r="K595" s="278"/>
      <c r="L595" s="278"/>
      <c r="M595" s="278"/>
      <c r="N595" s="278"/>
      <c r="O595" s="277"/>
      <c r="P595" s="278"/>
      <c r="Q595" s="278"/>
      <c r="R595" s="278"/>
      <c r="S595" s="278"/>
      <c r="T595" s="277"/>
      <c r="U595" s="278"/>
      <c r="V595" s="278"/>
      <c r="W595" s="278"/>
      <c r="X595" s="278"/>
      <c r="Y595" s="277"/>
      <c r="Z595" s="66"/>
      <c r="AA595" s="66"/>
      <c r="AB595" s="66"/>
      <c r="AC595" s="66"/>
      <c r="AD595" s="536"/>
      <c r="AE595" s="144"/>
      <c r="AF595" s="144"/>
      <c r="AG595" s="144"/>
      <c r="AH595" s="144"/>
      <c r="AI595" s="279"/>
      <c r="AJ595" s="143"/>
      <c r="AK595" s="143"/>
      <c r="AL595" s="143"/>
      <c r="AM595" s="143"/>
      <c r="AN595" s="279"/>
      <c r="AO595" s="143"/>
      <c r="AP595" s="143"/>
      <c r="AQ595" s="143"/>
      <c r="AR595" s="143"/>
      <c r="AS595" s="279"/>
    </row>
    <row r="596" spans="1:45" outlineLevel="1">
      <c r="A596" s="281" t="s">
        <v>346</v>
      </c>
      <c r="B596" s="143"/>
      <c r="C596" s="277"/>
      <c r="D596" s="277"/>
      <c r="E596" s="277"/>
      <c r="F596" s="278"/>
      <c r="G596" s="278">
        <v>250</v>
      </c>
      <c r="H596" s="278">
        <v>326</v>
      </c>
      <c r="I596" s="278">
        <v>363</v>
      </c>
      <c r="J596" s="277"/>
      <c r="K596" s="278"/>
      <c r="L596" s="278">
        <v>250</v>
      </c>
      <c r="M596" s="278">
        <v>326</v>
      </c>
      <c r="N596" s="278">
        <v>363</v>
      </c>
      <c r="O596" s="277"/>
      <c r="P596" s="278">
        <v>34</v>
      </c>
      <c r="Q596" s="278">
        <v>3542</v>
      </c>
      <c r="R596" s="278">
        <v>8624</v>
      </c>
      <c r="S596" s="278">
        <v>12418</v>
      </c>
      <c r="T596" s="277"/>
      <c r="U596" s="278">
        <v>7049</v>
      </c>
      <c r="V596" s="278">
        <v>13427</v>
      </c>
      <c r="W596" s="278">
        <v>20876</v>
      </c>
      <c r="X596" s="278">
        <v>28495</v>
      </c>
      <c r="Y596" s="277"/>
      <c r="Z596" s="66">
        <v>3577</v>
      </c>
      <c r="AA596" s="66">
        <v>12101</v>
      </c>
      <c r="AB596" s="66">
        <v>20286</v>
      </c>
      <c r="AC596" s="66"/>
      <c r="AD596" s="536"/>
      <c r="AE596" s="144"/>
      <c r="AF596" s="144"/>
      <c r="AG596" s="144"/>
      <c r="AH596" s="144"/>
      <c r="AI596" s="279"/>
      <c r="AJ596" s="143"/>
      <c r="AK596" s="143"/>
      <c r="AL596" s="143"/>
      <c r="AM596" s="143"/>
      <c r="AN596" s="279"/>
      <c r="AO596" s="143"/>
      <c r="AP596" s="143"/>
      <c r="AQ596" s="143"/>
      <c r="AR596" s="143"/>
      <c r="AS596" s="279"/>
    </row>
    <row r="597" spans="1:45" outlineLevel="1">
      <c r="A597" s="281" t="s">
        <v>340</v>
      </c>
      <c r="B597" s="143"/>
      <c r="C597" s="277"/>
      <c r="D597" s="277"/>
      <c r="E597" s="277"/>
      <c r="F597" s="278"/>
      <c r="G597" s="278">
        <v>874</v>
      </c>
      <c r="H597" s="278">
        <v>1899</v>
      </c>
      <c r="I597" s="278">
        <v>1442</v>
      </c>
      <c r="J597" s="277"/>
      <c r="K597" s="278"/>
      <c r="L597" s="278">
        <v>874</v>
      </c>
      <c r="M597" s="278">
        <v>1899</v>
      </c>
      <c r="N597" s="278">
        <v>1442</v>
      </c>
      <c r="O597" s="277"/>
      <c r="P597" s="278">
        <v>19</v>
      </c>
      <c r="Q597" s="278">
        <v>646</v>
      </c>
      <c r="R597" s="278">
        <v>758</v>
      </c>
      <c r="S597" s="278">
        <v>854</v>
      </c>
      <c r="T597" s="277"/>
      <c r="U597" s="278">
        <v>229</v>
      </c>
      <c r="V597" s="278">
        <v>435</v>
      </c>
      <c r="W597" s="278">
        <v>1670</v>
      </c>
      <c r="X597" s="278">
        <v>1622</v>
      </c>
      <c r="Y597" s="277"/>
      <c r="Z597" s="532">
        <v>1093</v>
      </c>
      <c r="AA597" s="532">
        <v>1380</v>
      </c>
      <c r="AB597" s="532">
        <v>2760</v>
      </c>
      <c r="AC597" s="66"/>
      <c r="AD597" s="536"/>
      <c r="AE597" s="144"/>
      <c r="AF597" s="144"/>
      <c r="AG597" s="144"/>
      <c r="AH597" s="144"/>
      <c r="AI597" s="279"/>
      <c r="AJ597" s="143"/>
      <c r="AK597" s="143"/>
      <c r="AL597" s="143"/>
      <c r="AM597" s="143"/>
      <c r="AN597" s="279"/>
      <c r="AO597" s="143"/>
      <c r="AP597" s="143"/>
      <c r="AQ597" s="143"/>
      <c r="AR597" s="143"/>
      <c r="AS597" s="279"/>
    </row>
    <row r="598" spans="1:45" outlineLevel="1">
      <c r="A598" s="281" t="s">
        <v>348</v>
      </c>
      <c r="B598" s="143"/>
      <c r="C598" s="277"/>
      <c r="D598" s="277"/>
      <c r="E598" s="277"/>
      <c r="F598" s="278"/>
      <c r="G598" s="278">
        <v>-383</v>
      </c>
      <c r="H598" s="278">
        <v>-384</v>
      </c>
      <c r="I598" s="278">
        <v>-384</v>
      </c>
      <c r="J598" s="277"/>
      <c r="K598" s="278"/>
      <c r="L598" s="278">
        <v>-383</v>
      </c>
      <c r="M598" s="278">
        <v>-384</v>
      </c>
      <c r="N598" s="278">
        <v>-384</v>
      </c>
      <c r="O598" s="277"/>
      <c r="P598" s="278"/>
      <c r="Q598" s="278">
        <v>0</v>
      </c>
      <c r="R598" s="278">
        <v>0</v>
      </c>
      <c r="S598" s="278">
        <v>0</v>
      </c>
      <c r="T598" s="277"/>
      <c r="U598" s="278"/>
      <c r="V598" s="278"/>
      <c r="W598" s="278"/>
      <c r="X598" s="278">
        <v>0</v>
      </c>
      <c r="Y598" s="277"/>
      <c r="Z598" s="66"/>
      <c r="AA598" s="66"/>
      <c r="AB598" s="66"/>
      <c r="AC598" s="66"/>
      <c r="AD598" s="536"/>
      <c r="AE598" s="144"/>
      <c r="AF598" s="144"/>
      <c r="AG598" s="144"/>
      <c r="AH598" s="144"/>
      <c r="AI598" s="279"/>
      <c r="AJ598" s="143"/>
      <c r="AK598" s="143"/>
      <c r="AL598" s="143"/>
      <c r="AM598" s="143"/>
      <c r="AN598" s="279"/>
      <c r="AO598" s="143"/>
      <c r="AP598" s="143"/>
      <c r="AQ598" s="143"/>
      <c r="AR598" s="143"/>
      <c r="AS598" s="279"/>
    </row>
    <row r="599" spans="1:45" outlineLevel="1">
      <c r="A599" s="281" t="s">
        <v>349</v>
      </c>
      <c r="B599" s="143"/>
      <c r="C599" s="277"/>
      <c r="D599" s="277"/>
      <c r="E599" s="277"/>
      <c r="F599" s="278"/>
      <c r="G599" s="278">
        <v>25</v>
      </c>
      <c r="H599" s="278">
        <v>-23</v>
      </c>
      <c r="I599" s="278">
        <v>110</v>
      </c>
      <c r="J599" s="277"/>
      <c r="K599" s="278"/>
      <c r="L599" s="278">
        <v>25</v>
      </c>
      <c r="M599" s="278">
        <v>-23</v>
      </c>
      <c r="N599" s="278">
        <v>110</v>
      </c>
      <c r="O599" s="277"/>
      <c r="P599" s="278">
        <v>0</v>
      </c>
      <c r="Q599" s="278">
        <v>0</v>
      </c>
      <c r="R599" s="278">
        <v>0</v>
      </c>
      <c r="S599" s="278">
        <v>0</v>
      </c>
      <c r="T599" s="277"/>
      <c r="U599" s="278">
        <v>829</v>
      </c>
      <c r="V599" s="278">
        <v>988</v>
      </c>
      <c r="W599" s="278">
        <v>4697</v>
      </c>
      <c r="X599" s="278">
        <v>5239</v>
      </c>
      <c r="Y599" s="277"/>
      <c r="Z599" s="66"/>
      <c r="AA599" s="66"/>
      <c r="AB599" s="66"/>
      <c r="AC599" s="66"/>
      <c r="AD599" s="536"/>
      <c r="AE599" s="144"/>
      <c r="AF599" s="144"/>
      <c r="AG599" s="144"/>
      <c r="AH599" s="144"/>
      <c r="AI599" s="279"/>
      <c r="AJ599" s="143"/>
      <c r="AK599" s="143"/>
      <c r="AL599" s="143"/>
      <c r="AM599" s="143"/>
      <c r="AN599" s="279"/>
      <c r="AO599" s="143"/>
      <c r="AP599" s="143"/>
      <c r="AQ599" s="143"/>
      <c r="AR599" s="143"/>
      <c r="AS599" s="279"/>
    </row>
    <row r="600" spans="1:45" outlineLevel="1">
      <c r="A600" s="281" t="s">
        <v>350</v>
      </c>
      <c r="B600" s="143"/>
      <c r="C600" s="277"/>
      <c r="D600" s="277"/>
      <c r="E600" s="277"/>
      <c r="F600" s="278"/>
      <c r="G600" s="278">
        <v>1855</v>
      </c>
      <c r="H600" s="278">
        <v>3938</v>
      </c>
      <c r="I600" s="278">
        <v>6119</v>
      </c>
      <c r="J600" s="277"/>
      <c r="K600" s="278"/>
      <c r="L600" s="278">
        <v>1855</v>
      </c>
      <c r="M600" s="278">
        <v>3938</v>
      </c>
      <c r="N600" s="278">
        <v>6119</v>
      </c>
      <c r="O600" s="277"/>
      <c r="P600" s="278">
        <v>2182</v>
      </c>
      <c r="Q600" s="278">
        <v>4130</v>
      </c>
      <c r="R600" s="278">
        <v>4130</v>
      </c>
      <c r="S600" s="278">
        <v>4130</v>
      </c>
      <c r="T600" s="277"/>
      <c r="U600" s="278">
        <v>0</v>
      </c>
      <c r="V600" s="278">
        <v>0</v>
      </c>
      <c r="W600" s="278">
        <v>0</v>
      </c>
      <c r="X600" s="278">
        <v>0</v>
      </c>
      <c r="Y600" s="277"/>
      <c r="Z600" s="66"/>
      <c r="AA600" s="66"/>
      <c r="AB600" s="66"/>
      <c r="AC600" s="66"/>
      <c r="AD600" s="536"/>
      <c r="AE600" s="144"/>
      <c r="AF600" s="144"/>
      <c r="AG600" s="144"/>
      <c r="AH600" s="144"/>
      <c r="AI600" s="279"/>
      <c r="AJ600" s="143"/>
      <c r="AK600" s="143"/>
      <c r="AL600" s="143"/>
      <c r="AM600" s="143"/>
      <c r="AN600" s="279"/>
      <c r="AO600" s="143"/>
      <c r="AP600" s="143"/>
      <c r="AQ600" s="143"/>
      <c r="AR600" s="143"/>
      <c r="AS600" s="279"/>
    </row>
    <row r="601" spans="1:45" outlineLevel="1">
      <c r="A601" s="281" t="s">
        <v>351</v>
      </c>
      <c r="B601" s="143"/>
      <c r="C601" s="277"/>
      <c r="D601" s="277"/>
      <c r="E601" s="277"/>
      <c r="F601" s="278"/>
      <c r="G601" s="278">
        <v>-47</v>
      </c>
      <c r="H601" s="278">
        <v>-952</v>
      </c>
      <c r="I601" s="278">
        <v>-4341</v>
      </c>
      <c r="J601" s="277"/>
      <c r="K601" s="278"/>
      <c r="L601" s="278">
        <v>-47</v>
      </c>
      <c r="M601" s="278">
        <v>-952</v>
      </c>
      <c r="N601" s="278">
        <v>-4341</v>
      </c>
      <c r="O601" s="277"/>
      <c r="P601" s="278">
        <v>-842</v>
      </c>
      <c r="Q601" s="278">
        <v>-3471</v>
      </c>
      <c r="R601" s="278">
        <v>-5330</v>
      </c>
      <c r="S601" s="278">
        <v>-3763</v>
      </c>
      <c r="T601" s="277"/>
      <c r="U601" s="278">
        <v>0</v>
      </c>
      <c r="V601" s="278">
        <v>0</v>
      </c>
      <c r="W601" s="278">
        <v>32</v>
      </c>
      <c r="X601" s="278">
        <v>-1787</v>
      </c>
      <c r="Y601" s="277"/>
      <c r="Z601" s="66">
        <v>-279</v>
      </c>
      <c r="AA601" s="66"/>
      <c r="AB601" s="66"/>
      <c r="AC601" s="66"/>
      <c r="AD601" s="536"/>
      <c r="AE601" s="144"/>
      <c r="AF601" s="144"/>
      <c r="AG601" s="144"/>
      <c r="AH601" s="144"/>
      <c r="AI601" s="279"/>
      <c r="AJ601" s="143"/>
      <c r="AK601" s="143"/>
      <c r="AL601" s="143"/>
      <c r="AM601" s="143"/>
      <c r="AN601" s="279"/>
      <c r="AO601" s="143"/>
      <c r="AP601" s="143"/>
      <c r="AQ601" s="143"/>
      <c r="AR601" s="143"/>
      <c r="AS601" s="279"/>
    </row>
    <row r="602" spans="1:45" outlineLevel="1">
      <c r="A602" s="281" t="s">
        <v>352</v>
      </c>
      <c r="B602" s="143"/>
      <c r="C602" s="277"/>
      <c r="D602" s="277"/>
      <c r="E602" s="277"/>
      <c r="F602" s="278"/>
      <c r="G602" s="278">
        <v>0</v>
      </c>
      <c r="H602" s="278">
        <v>0</v>
      </c>
      <c r="I602" s="278">
        <v>0</v>
      </c>
      <c r="J602" s="277"/>
      <c r="K602" s="278"/>
      <c r="L602" s="278">
        <v>0</v>
      </c>
      <c r="M602" s="278">
        <v>0</v>
      </c>
      <c r="N602" s="278">
        <v>0</v>
      </c>
      <c r="O602" s="277"/>
      <c r="P602" s="278"/>
      <c r="Q602" s="278">
        <v>36525</v>
      </c>
      <c r="R602" s="278">
        <v>47100</v>
      </c>
      <c r="S602" s="278">
        <v>47100</v>
      </c>
      <c r="T602" s="277"/>
      <c r="U602" s="278"/>
      <c r="V602" s="278">
        <v>0</v>
      </c>
      <c r="W602" s="278">
        <v>0</v>
      </c>
      <c r="X602" s="278">
        <v>0</v>
      </c>
      <c r="Y602" s="277"/>
      <c r="Z602" s="66"/>
      <c r="AA602" s="66"/>
      <c r="AB602" s="66"/>
      <c r="AC602" s="66"/>
      <c r="AD602" s="536"/>
      <c r="AE602" s="144"/>
      <c r="AF602" s="144"/>
      <c r="AG602" s="144"/>
      <c r="AH602" s="144"/>
      <c r="AI602" s="279"/>
      <c r="AJ602" s="143"/>
      <c r="AK602" s="143"/>
      <c r="AL602" s="143"/>
      <c r="AM602" s="143"/>
      <c r="AN602" s="279"/>
      <c r="AO602" s="143"/>
      <c r="AP602" s="143"/>
      <c r="AQ602" s="143"/>
      <c r="AR602" s="143"/>
      <c r="AS602" s="279"/>
    </row>
    <row r="603" spans="1:45" outlineLevel="1">
      <c r="A603" s="281" t="s">
        <v>353</v>
      </c>
      <c r="B603" s="143"/>
      <c r="C603" s="277"/>
      <c r="D603" s="277"/>
      <c r="E603" s="277"/>
      <c r="F603" s="278"/>
      <c r="G603" s="278">
        <v>0</v>
      </c>
      <c r="H603" s="278">
        <v>0</v>
      </c>
      <c r="I603" s="278">
        <v>0</v>
      </c>
      <c r="J603" s="277"/>
      <c r="K603" s="278"/>
      <c r="L603" s="278">
        <v>0</v>
      </c>
      <c r="M603" s="278">
        <v>0</v>
      </c>
      <c r="N603" s="278">
        <v>0</v>
      </c>
      <c r="O603" s="277"/>
      <c r="P603" s="278">
        <v>0</v>
      </c>
      <c r="Q603" s="278">
        <v>72027</v>
      </c>
      <c r="R603" s="278">
        <v>271333</v>
      </c>
      <c r="S603" s="278">
        <v>277315</v>
      </c>
      <c r="T603" s="277"/>
      <c r="U603" s="278">
        <v>-52052</v>
      </c>
      <c r="V603" s="278">
        <v>-67237</v>
      </c>
      <c r="W603" s="278">
        <v>-71521</v>
      </c>
      <c r="X603" s="278">
        <v>-78343</v>
      </c>
      <c r="Y603" s="277"/>
      <c r="Z603" s="66">
        <v>9076</v>
      </c>
      <c r="AA603" s="66">
        <v>-2509</v>
      </c>
      <c r="AB603" s="66">
        <v>-8364</v>
      </c>
      <c r="AC603" s="66"/>
      <c r="AD603" s="536"/>
      <c r="AE603" s="144"/>
      <c r="AF603" s="144"/>
      <c r="AG603" s="144"/>
      <c r="AH603" s="144"/>
      <c r="AI603" s="279"/>
      <c r="AJ603" s="143"/>
      <c r="AK603" s="143"/>
      <c r="AL603" s="143"/>
      <c r="AM603" s="143"/>
      <c r="AN603" s="279"/>
      <c r="AO603" s="143"/>
      <c r="AP603" s="143"/>
      <c r="AQ603" s="143"/>
      <c r="AR603" s="143"/>
      <c r="AS603" s="279"/>
    </row>
    <row r="604" spans="1:45" outlineLevel="1">
      <c r="A604" s="281" t="s">
        <v>355</v>
      </c>
      <c r="B604" s="143"/>
      <c r="C604" s="277"/>
      <c r="D604" s="277"/>
      <c r="E604" s="277"/>
      <c r="F604" s="278"/>
      <c r="G604" s="278">
        <v>0</v>
      </c>
      <c r="H604" s="278">
        <v>0</v>
      </c>
      <c r="I604" s="278">
        <v>0</v>
      </c>
      <c r="J604" s="277"/>
      <c r="K604" s="278"/>
      <c r="L604" s="278">
        <v>0</v>
      </c>
      <c r="M604" s="278">
        <v>0</v>
      </c>
      <c r="N604" s="278">
        <v>0</v>
      </c>
      <c r="O604" s="277"/>
      <c r="P604" s="278"/>
      <c r="Q604" s="278">
        <v>2014</v>
      </c>
      <c r="R604" s="278">
        <v>2014</v>
      </c>
      <c r="S604" s="278">
        <v>2014</v>
      </c>
      <c r="T604" s="277"/>
      <c r="U604" s="278"/>
      <c r="V604" s="278">
        <v>0</v>
      </c>
      <c r="W604" s="278">
        <v>0</v>
      </c>
      <c r="X604" s="278">
        <v>0</v>
      </c>
      <c r="Y604" s="277"/>
      <c r="Z604" s="66"/>
      <c r="AA604" s="66"/>
      <c r="AB604" s="66"/>
      <c r="AC604" s="66"/>
      <c r="AD604" s="536"/>
      <c r="AE604" s="144"/>
      <c r="AF604" s="144"/>
      <c r="AG604" s="144"/>
      <c r="AH604" s="144"/>
      <c r="AI604" s="279"/>
      <c r="AJ604" s="143"/>
      <c r="AK604" s="143"/>
      <c r="AL604" s="143"/>
      <c r="AM604" s="143"/>
      <c r="AN604" s="279"/>
      <c r="AO604" s="143"/>
      <c r="AP604" s="143"/>
      <c r="AQ604" s="143"/>
      <c r="AR604" s="143"/>
      <c r="AS604" s="279"/>
    </row>
    <row r="605" spans="1:45" outlineLevel="1">
      <c r="A605" s="281" t="s">
        <v>356</v>
      </c>
      <c r="B605" s="143"/>
      <c r="C605" s="277"/>
      <c r="D605" s="277"/>
      <c r="E605" s="277"/>
      <c r="F605" s="278"/>
      <c r="G605" s="278"/>
      <c r="H605" s="278"/>
      <c r="I605" s="278">
        <v>0</v>
      </c>
      <c r="J605" s="277"/>
      <c r="K605" s="278"/>
      <c r="L605" s="278"/>
      <c r="M605" s="278"/>
      <c r="N605" s="278">
        <v>0</v>
      </c>
      <c r="O605" s="277"/>
      <c r="P605" s="278"/>
      <c r="Q605" s="278"/>
      <c r="R605" s="278"/>
      <c r="S605" s="278"/>
      <c r="T605" s="277"/>
      <c r="U605" s="278"/>
      <c r="V605" s="278"/>
      <c r="W605" s="278"/>
      <c r="X605" s="278">
        <v>2410</v>
      </c>
      <c r="Y605" s="277"/>
      <c r="Z605" s="66"/>
      <c r="AA605" s="66"/>
      <c r="AB605" s="66"/>
      <c r="AC605" s="66"/>
      <c r="AD605" s="536"/>
      <c r="AE605" s="144"/>
      <c r="AF605" s="144"/>
      <c r="AG605" s="144"/>
      <c r="AH605" s="144"/>
      <c r="AI605" s="279"/>
      <c r="AJ605" s="143"/>
      <c r="AK605" s="143"/>
      <c r="AL605" s="143"/>
      <c r="AM605" s="143"/>
      <c r="AN605" s="279"/>
      <c r="AO605" s="143"/>
      <c r="AP605" s="143"/>
      <c r="AQ605" s="143"/>
      <c r="AR605" s="143"/>
      <c r="AS605" s="279"/>
    </row>
    <row r="606" spans="1:45" outlineLevel="1">
      <c r="A606" s="281" t="s">
        <v>398</v>
      </c>
      <c r="B606" s="143"/>
      <c r="C606" s="277"/>
      <c r="D606" s="277"/>
      <c r="E606" s="277"/>
      <c r="F606" s="278"/>
      <c r="G606" s="278"/>
      <c r="H606" s="278"/>
      <c r="I606" s="278"/>
      <c r="J606" s="277"/>
      <c r="K606" s="278"/>
      <c r="L606" s="278"/>
      <c r="M606" s="278"/>
      <c r="N606" s="278"/>
      <c r="O606" s="277"/>
      <c r="P606" s="278"/>
      <c r="Q606" s="278"/>
      <c r="R606" s="278"/>
      <c r="S606" s="278"/>
      <c r="T606" s="277"/>
      <c r="U606" s="278"/>
      <c r="V606" s="278"/>
      <c r="W606" s="278"/>
      <c r="X606" s="278"/>
      <c r="Y606" s="277"/>
      <c r="Z606" s="66">
        <v>1511</v>
      </c>
      <c r="AA606" s="66">
        <v>1796</v>
      </c>
      <c r="AB606" s="66">
        <v>8897</v>
      </c>
      <c r="AC606" s="66"/>
      <c r="AD606" s="536"/>
      <c r="AE606" s="144"/>
      <c r="AF606" s="144"/>
      <c r="AG606" s="144"/>
      <c r="AH606" s="144"/>
      <c r="AI606" s="279"/>
      <c r="AJ606" s="143"/>
      <c r="AK606" s="143"/>
      <c r="AL606" s="143"/>
      <c r="AM606" s="143"/>
      <c r="AN606" s="279"/>
      <c r="AO606" s="143"/>
      <c r="AP606" s="143"/>
      <c r="AQ606" s="143"/>
      <c r="AR606" s="143"/>
      <c r="AS606" s="279"/>
    </row>
    <row r="607" spans="1:45" outlineLevel="1">
      <c r="A607" s="281"/>
      <c r="B607" s="143"/>
      <c r="C607" s="277"/>
      <c r="D607" s="277"/>
      <c r="E607" s="277"/>
      <c r="F607" s="278"/>
      <c r="G607" s="278"/>
      <c r="H607" s="278"/>
      <c r="I607" s="278"/>
      <c r="J607" s="277"/>
      <c r="K607" s="278"/>
      <c r="L607" s="278"/>
      <c r="M607" s="278"/>
      <c r="N607" s="278"/>
      <c r="O607" s="277"/>
      <c r="P607" s="278"/>
      <c r="Q607" s="278"/>
      <c r="R607" s="278"/>
      <c r="S607" s="278"/>
      <c r="T607" s="277"/>
      <c r="U607" s="278"/>
      <c r="V607" s="278"/>
      <c r="W607" s="278"/>
      <c r="X607" s="278"/>
      <c r="Y607" s="277"/>
      <c r="Z607" s="66"/>
      <c r="AA607" s="66"/>
      <c r="AB607" s="66"/>
      <c r="AC607" s="66"/>
      <c r="AD607" s="536"/>
      <c r="AE607" s="144"/>
      <c r="AF607" s="144"/>
      <c r="AG607" s="144"/>
      <c r="AH607" s="144"/>
      <c r="AI607" s="279"/>
      <c r="AJ607" s="143"/>
      <c r="AK607" s="143"/>
      <c r="AL607" s="143"/>
      <c r="AM607" s="143"/>
      <c r="AN607" s="279"/>
      <c r="AO607" s="143"/>
      <c r="AP607" s="143"/>
      <c r="AQ607" s="143"/>
      <c r="AR607" s="143"/>
      <c r="AS607" s="279"/>
    </row>
    <row r="608" spans="1:45" outlineLevel="1">
      <c r="A608" s="281" t="s">
        <v>357</v>
      </c>
      <c r="B608" s="143"/>
      <c r="C608" s="277"/>
      <c r="D608" s="277"/>
      <c r="E608" s="277"/>
      <c r="F608" s="278"/>
      <c r="G608" s="278"/>
      <c r="H608" s="278"/>
      <c r="I608" s="278"/>
      <c r="J608" s="277"/>
      <c r="K608" s="278"/>
      <c r="L608" s="278"/>
      <c r="M608" s="278"/>
      <c r="N608" s="278"/>
      <c r="O608" s="277"/>
      <c r="P608" s="278"/>
      <c r="Q608" s="278"/>
      <c r="R608" s="278"/>
      <c r="S608" s="278"/>
      <c r="T608" s="277"/>
      <c r="U608" s="278"/>
      <c r="V608" s="278"/>
      <c r="W608" s="278"/>
      <c r="X608" s="278"/>
      <c r="Y608" s="277"/>
      <c r="Z608" s="66"/>
      <c r="AA608" s="66"/>
      <c r="AB608" s="66"/>
      <c r="AC608" s="66"/>
      <c r="AD608" s="536"/>
      <c r="AE608" s="144"/>
      <c r="AF608" s="144"/>
      <c r="AG608" s="144"/>
      <c r="AH608" s="144"/>
      <c r="AI608" s="279"/>
      <c r="AJ608" s="143"/>
      <c r="AK608" s="143"/>
      <c r="AL608" s="143"/>
      <c r="AM608" s="143"/>
      <c r="AN608" s="279"/>
      <c r="AO608" s="143"/>
      <c r="AP608" s="143"/>
      <c r="AQ608" s="143"/>
      <c r="AR608" s="143"/>
      <c r="AS608" s="279"/>
    </row>
    <row r="609" spans="1:45" outlineLevel="1">
      <c r="A609" s="319" t="s">
        <v>358</v>
      </c>
      <c r="B609" s="143"/>
      <c r="C609" s="277"/>
      <c r="D609" s="277"/>
      <c r="E609" s="277"/>
      <c r="F609" s="278"/>
      <c r="G609" s="278">
        <v>9193</v>
      </c>
      <c r="H609" s="278">
        <v>4055</v>
      </c>
      <c r="I609" s="278">
        <v>3701</v>
      </c>
      <c r="J609" s="277"/>
      <c r="K609" s="278"/>
      <c r="L609" s="278">
        <v>9193</v>
      </c>
      <c r="M609" s="278">
        <v>4055</v>
      </c>
      <c r="N609" s="278">
        <v>3701</v>
      </c>
      <c r="O609" s="277"/>
      <c r="P609" s="278">
        <v>-8457</v>
      </c>
      <c r="Q609" s="278">
        <v>-21089</v>
      </c>
      <c r="R609" s="278">
        <v>-17290</v>
      </c>
      <c r="S609" s="278">
        <v>-31013</v>
      </c>
      <c r="T609" s="277"/>
      <c r="U609" s="278">
        <v>-14152</v>
      </c>
      <c r="V609" s="278">
        <v>-34410</v>
      </c>
      <c r="W609" s="278">
        <v>-40630</v>
      </c>
      <c r="X609" s="278">
        <v>-32025</v>
      </c>
      <c r="Y609" s="277"/>
      <c r="Z609" s="532">
        <v>4793</v>
      </c>
      <c r="AA609" s="532">
        <v>-138</v>
      </c>
      <c r="AB609" s="532">
        <v>6007</v>
      </c>
      <c r="AC609" s="66"/>
      <c r="AD609" s="536"/>
      <c r="AE609" s="144"/>
      <c r="AF609" s="144"/>
      <c r="AG609" s="144"/>
      <c r="AH609" s="144"/>
      <c r="AI609" s="279"/>
      <c r="AJ609" s="143"/>
      <c r="AK609" s="143"/>
      <c r="AL609" s="143"/>
      <c r="AM609" s="143"/>
      <c r="AN609" s="279"/>
      <c r="AO609" s="143"/>
      <c r="AP609" s="143"/>
      <c r="AQ609" s="143"/>
      <c r="AR609" s="143"/>
      <c r="AS609" s="279"/>
    </row>
    <row r="610" spans="1:45" outlineLevel="1">
      <c r="A610" s="319" t="s">
        <v>359</v>
      </c>
      <c r="B610" s="143"/>
      <c r="C610" s="277"/>
      <c r="D610" s="277"/>
      <c r="E610" s="277"/>
      <c r="F610" s="278"/>
      <c r="G610" s="278">
        <v>636</v>
      </c>
      <c r="H610" s="278">
        <v>230</v>
      </c>
      <c r="I610" s="278">
        <v>489</v>
      </c>
      <c r="J610" s="277"/>
      <c r="K610" s="278"/>
      <c r="L610" s="278">
        <v>636</v>
      </c>
      <c r="M610" s="278">
        <v>230</v>
      </c>
      <c r="N610" s="278">
        <v>489</v>
      </c>
      <c r="O610" s="277"/>
      <c r="P610" s="278">
        <v>-975</v>
      </c>
      <c r="Q610" s="278">
        <v>-1562</v>
      </c>
      <c r="R610" s="278">
        <v>-4503</v>
      </c>
      <c r="S610" s="278">
        <v>-5434</v>
      </c>
      <c r="T610" s="277"/>
      <c r="U610" s="278">
        <v>-2052</v>
      </c>
      <c r="V610" s="278">
        <v>-9374</v>
      </c>
      <c r="W610" s="278">
        <v>-11157</v>
      </c>
      <c r="X610" s="278">
        <v>-16401</v>
      </c>
      <c r="Y610" s="277"/>
      <c r="Z610" s="532">
        <v>-203</v>
      </c>
      <c r="AA610" s="532">
        <v>-12188</v>
      </c>
      <c r="AB610" s="532">
        <v>-16198</v>
      </c>
      <c r="AC610" s="66"/>
      <c r="AD610" s="536"/>
      <c r="AE610" s="144"/>
      <c r="AF610" s="144"/>
      <c r="AG610" s="144"/>
      <c r="AH610" s="144"/>
      <c r="AI610" s="279"/>
      <c r="AJ610" s="143"/>
      <c r="AK610" s="143"/>
      <c r="AL610" s="143"/>
      <c r="AM610" s="143"/>
      <c r="AN610" s="279"/>
      <c r="AO610" s="143"/>
      <c r="AP610" s="143"/>
      <c r="AQ610" s="143"/>
      <c r="AR610" s="143"/>
      <c r="AS610" s="279"/>
    </row>
    <row r="611" spans="1:45" outlineLevel="1">
      <c r="A611" s="319" t="s">
        <v>360</v>
      </c>
      <c r="B611" s="143"/>
      <c r="C611" s="277"/>
      <c r="D611" s="277"/>
      <c r="E611" s="277"/>
      <c r="F611" s="278"/>
      <c r="G611" s="278">
        <v>-3393</v>
      </c>
      <c r="H611" s="278">
        <v>-5118</v>
      </c>
      <c r="I611" s="278">
        <v>-4611</v>
      </c>
      <c r="J611" s="277"/>
      <c r="K611" s="278"/>
      <c r="L611" s="278">
        <v>-3393</v>
      </c>
      <c r="M611" s="278">
        <v>-5118</v>
      </c>
      <c r="N611" s="278">
        <v>-4611</v>
      </c>
      <c r="O611" s="277"/>
      <c r="P611" s="278">
        <v>217</v>
      </c>
      <c r="Q611" s="278">
        <v>333</v>
      </c>
      <c r="R611" s="278">
        <v>-336</v>
      </c>
      <c r="S611" s="278">
        <v>35</v>
      </c>
      <c r="T611" s="277"/>
      <c r="U611" s="278">
        <v>3342</v>
      </c>
      <c r="V611" s="278">
        <v>4165</v>
      </c>
      <c r="W611" s="278">
        <v>4434</v>
      </c>
      <c r="X611" s="278">
        <v>3871</v>
      </c>
      <c r="Y611" s="277"/>
      <c r="Z611" s="66"/>
      <c r="AA611" s="66"/>
      <c r="AB611" s="66"/>
      <c r="AC611" s="66"/>
      <c r="AD611" s="536"/>
      <c r="AE611" s="144"/>
      <c r="AF611" s="144"/>
      <c r="AG611" s="144"/>
      <c r="AH611" s="144"/>
      <c r="AI611" s="279"/>
      <c r="AJ611" s="143"/>
      <c r="AK611" s="143"/>
      <c r="AL611" s="143"/>
      <c r="AM611" s="143"/>
      <c r="AN611" s="279"/>
      <c r="AO611" s="143"/>
      <c r="AP611" s="143"/>
      <c r="AQ611" s="143"/>
      <c r="AR611" s="143"/>
      <c r="AS611" s="279"/>
    </row>
    <row r="612" spans="1:45" outlineLevel="1">
      <c r="A612" s="59" t="s">
        <v>397</v>
      </c>
      <c r="B612" s="143"/>
      <c r="C612" s="277"/>
      <c r="D612" s="277"/>
      <c r="E612" s="277"/>
      <c r="F612" s="278"/>
      <c r="G612" s="278"/>
      <c r="H612" s="278"/>
      <c r="I612" s="278"/>
      <c r="J612" s="277"/>
      <c r="K612" s="278"/>
      <c r="L612" s="278"/>
      <c r="M612" s="278"/>
      <c r="N612" s="278"/>
      <c r="O612" s="277"/>
      <c r="P612" s="278"/>
      <c r="Q612" s="278"/>
      <c r="R612" s="278"/>
      <c r="S612" s="278"/>
      <c r="T612" s="277"/>
      <c r="U612" s="278"/>
      <c r="V612" s="278"/>
      <c r="W612" s="278"/>
      <c r="X612" s="278"/>
      <c r="Y612" s="277"/>
      <c r="Z612" s="66"/>
      <c r="AA612" s="66"/>
      <c r="AB612" s="532">
        <v>18809</v>
      </c>
      <c r="AC612" s="66"/>
      <c r="AD612" s="536"/>
      <c r="AE612" s="144"/>
      <c r="AF612" s="144"/>
      <c r="AG612" s="144"/>
      <c r="AH612" s="144"/>
      <c r="AI612" s="279"/>
      <c r="AJ612" s="143"/>
      <c r="AK612" s="143"/>
      <c r="AL612" s="143"/>
      <c r="AM612" s="143"/>
      <c r="AN612" s="279"/>
      <c r="AO612" s="143"/>
      <c r="AP612" s="143"/>
      <c r="AQ612" s="143"/>
      <c r="AR612" s="143"/>
      <c r="AS612" s="279"/>
    </row>
    <row r="613" spans="1:45" outlineLevel="1">
      <c r="A613" s="319" t="s">
        <v>211</v>
      </c>
      <c r="B613" s="143"/>
      <c r="C613" s="277"/>
      <c r="D613" s="277"/>
      <c r="E613" s="277"/>
      <c r="F613" s="278"/>
      <c r="G613" s="278">
        <v>-1821</v>
      </c>
      <c r="H613" s="278">
        <v>-1140</v>
      </c>
      <c r="I613" s="278">
        <v>-3211</v>
      </c>
      <c r="J613" s="277"/>
      <c r="K613" s="278"/>
      <c r="L613" s="278">
        <v>-1821</v>
      </c>
      <c r="M613" s="278">
        <v>-1140</v>
      </c>
      <c r="N613" s="278">
        <v>-3211</v>
      </c>
      <c r="O613" s="277"/>
      <c r="P613" s="278">
        <v>1411</v>
      </c>
      <c r="Q613" s="278">
        <v>-229</v>
      </c>
      <c r="R613" s="278">
        <v>-2499</v>
      </c>
      <c r="S613" s="278">
        <v>-9443</v>
      </c>
      <c r="T613" s="277"/>
      <c r="U613" s="278">
        <v>-11875</v>
      </c>
      <c r="V613" s="278">
        <v>-39234</v>
      </c>
      <c r="W613" s="278">
        <v>-69340</v>
      </c>
      <c r="X613" s="278">
        <v>-82097</v>
      </c>
      <c r="Y613" s="277"/>
      <c r="Z613" s="532">
        <v>-15771</v>
      </c>
      <c r="AA613" s="532">
        <v>-2605</v>
      </c>
      <c r="AB613" s="532">
        <v>3426</v>
      </c>
      <c r="AC613" s="66"/>
      <c r="AD613" s="536"/>
      <c r="AE613" s="144"/>
      <c r="AF613" s="144"/>
      <c r="AG613" s="144"/>
      <c r="AH613" s="144"/>
      <c r="AI613" s="279"/>
      <c r="AJ613" s="143"/>
      <c r="AK613" s="143"/>
      <c r="AL613" s="143"/>
      <c r="AM613" s="143"/>
      <c r="AN613" s="279"/>
      <c r="AO613" s="143"/>
      <c r="AP613" s="143"/>
      <c r="AQ613" s="143"/>
      <c r="AR613" s="143"/>
      <c r="AS613" s="279"/>
    </row>
    <row r="614" spans="1:45" outlineLevel="1">
      <c r="A614" s="319" t="s">
        <v>309</v>
      </c>
      <c r="B614" s="143"/>
      <c r="C614" s="277"/>
      <c r="D614" s="277"/>
      <c r="E614" s="277"/>
      <c r="F614" s="278"/>
      <c r="G614" s="278">
        <v>-167</v>
      </c>
      <c r="H614" s="278">
        <v>-224</v>
      </c>
      <c r="I614" s="278">
        <v>-2286</v>
      </c>
      <c r="J614" s="277"/>
      <c r="K614" s="278"/>
      <c r="L614" s="278">
        <v>-167</v>
      </c>
      <c r="M614" s="278">
        <v>-224</v>
      </c>
      <c r="N614" s="278">
        <v>-2286</v>
      </c>
      <c r="O614" s="277"/>
      <c r="P614" s="278">
        <v>-1182</v>
      </c>
      <c r="Q614" s="278">
        <v>730</v>
      </c>
      <c r="R614" s="278">
        <v>-2009</v>
      </c>
      <c r="S614" s="278">
        <v>-6129</v>
      </c>
      <c r="T614" s="277"/>
      <c r="U614" s="278">
        <v>-1587</v>
      </c>
      <c r="V614" s="278">
        <v>-2634</v>
      </c>
      <c r="W614" s="278">
        <v>-5408</v>
      </c>
      <c r="X614" s="278">
        <v>-8045</v>
      </c>
      <c r="Y614" s="277"/>
      <c r="Z614" s="66"/>
      <c r="AA614" s="66"/>
      <c r="AB614" s="66"/>
      <c r="AC614" s="66"/>
      <c r="AD614" s="536"/>
      <c r="AE614" s="144"/>
      <c r="AF614" s="144"/>
      <c r="AG614" s="144"/>
      <c r="AH614" s="144"/>
      <c r="AI614" s="279"/>
      <c r="AJ614" s="143"/>
      <c r="AK614" s="143"/>
      <c r="AL614" s="143"/>
      <c r="AM614" s="143"/>
      <c r="AN614" s="279"/>
      <c r="AO614" s="143"/>
      <c r="AP614" s="143"/>
      <c r="AQ614" s="143"/>
      <c r="AR614" s="143"/>
      <c r="AS614" s="279"/>
    </row>
    <row r="615" spans="1:45" outlineLevel="1">
      <c r="A615" s="319" t="s">
        <v>281</v>
      </c>
      <c r="B615" s="143"/>
      <c r="C615" s="277"/>
      <c r="D615" s="277"/>
      <c r="E615" s="277"/>
      <c r="F615" s="278"/>
      <c r="G615" s="278">
        <v>2191</v>
      </c>
      <c r="H615" s="278">
        <v>-1398</v>
      </c>
      <c r="I615" s="278">
        <v>4889</v>
      </c>
      <c r="J615" s="277"/>
      <c r="K615" s="278"/>
      <c r="L615" s="278">
        <v>2191</v>
      </c>
      <c r="M615" s="278">
        <v>-1398</v>
      </c>
      <c r="N615" s="278">
        <v>4889</v>
      </c>
      <c r="O615" s="277"/>
      <c r="P615" s="278">
        <v>3067</v>
      </c>
      <c r="Q615" s="278">
        <v>-2369</v>
      </c>
      <c r="R615" s="278">
        <v>-8048</v>
      </c>
      <c r="S615" s="278">
        <v>10523</v>
      </c>
      <c r="T615" s="277"/>
      <c r="U615" s="278">
        <v>-2664</v>
      </c>
      <c r="V615" s="278">
        <v>7675</v>
      </c>
      <c r="W615" s="278">
        <v>7059</v>
      </c>
      <c r="X615" s="278">
        <v>1606</v>
      </c>
      <c r="Y615" s="277"/>
      <c r="Z615" s="532">
        <v>-3085</v>
      </c>
      <c r="AA615" s="532">
        <v>9239</v>
      </c>
      <c r="AB615" s="532">
        <v>50118</v>
      </c>
      <c r="AC615" s="66"/>
      <c r="AD615" s="536"/>
      <c r="AE615" s="144"/>
      <c r="AF615" s="144"/>
      <c r="AG615" s="144"/>
      <c r="AH615" s="144"/>
      <c r="AI615" s="279"/>
      <c r="AJ615" s="143"/>
      <c r="AK615" s="143"/>
      <c r="AL615" s="143"/>
      <c r="AM615" s="143"/>
      <c r="AN615" s="279"/>
      <c r="AO615" s="143"/>
      <c r="AP615" s="143"/>
      <c r="AQ615" s="143"/>
      <c r="AR615" s="143"/>
      <c r="AS615" s="279"/>
    </row>
    <row r="616" spans="1:45" outlineLevel="1">
      <c r="A616" s="319" t="s">
        <v>361</v>
      </c>
      <c r="B616" s="143"/>
      <c r="C616" s="277"/>
      <c r="D616" s="277"/>
      <c r="E616" s="277"/>
      <c r="F616" s="278"/>
      <c r="G616" s="278">
        <v>-6768</v>
      </c>
      <c r="H616" s="278">
        <v>-1823</v>
      </c>
      <c r="I616" s="278">
        <v>-118</v>
      </c>
      <c r="J616" s="277"/>
      <c r="K616" s="278"/>
      <c r="L616" s="278">
        <v>-6768</v>
      </c>
      <c r="M616" s="278">
        <v>-1823</v>
      </c>
      <c r="N616" s="278">
        <v>-118</v>
      </c>
      <c r="O616" s="277"/>
      <c r="P616" s="278">
        <v>5018</v>
      </c>
      <c r="Q616" s="278">
        <v>9047</v>
      </c>
      <c r="R616" s="278">
        <v>15624</v>
      </c>
      <c r="S616" s="278">
        <v>24784</v>
      </c>
      <c r="T616" s="277"/>
      <c r="U616" s="278">
        <v>-8252</v>
      </c>
      <c r="V616" s="278">
        <v>385</v>
      </c>
      <c r="W616" s="278">
        <v>-4085</v>
      </c>
      <c r="X616" s="278">
        <v>-3357</v>
      </c>
      <c r="Y616" s="277"/>
      <c r="Z616" s="66"/>
      <c r="AA616" s="66"/>
      <c r="AB616" s="66"/>
      <c r="AC616" s="66"/>
      <c r="AD616" s="536"/>
      <c r="AE616" s="144"/>
      <c r="AF616" s="144"/>
      <c r="AG616" s="144"/>
      <c r="AH616" s="144"/>
      <c r="AI616" s="279"/>
      <c r="AJ616" s="143"/>
      <c r="AK616" s="143"/>
      <c r="AL616" s="143"/>
      <c r="AM616" s="143"/>
      <c r="AN616" s="279"/>
      <c r="AO616" s="143"/>
      <c r="AP616" s="143"/>
      <c r="AQ616" s="143"/>
      <c r="AR616" s="143"/>
      <c r="AS616" s="279"/>
    </row>
    <row r="617" spans="1:45" outlineLevel="1">
      <c r="A617" s="319" t="s">
        <v>202</v>
      </c>
      <c r="B617" s="143"/>
      <c r="C617" s="277"/>
      <c r="D617" s="277"/>
      <c r="E617" s="277"/>
      <c r="F617" s="278"/>
      <c r="G617" s="278">
        <v>382</v>
      </c>
      <c r="H617" s="278">
        <v>913</v>
      </c>
      <c r="I617" s="278">
        <v>1529</v>
      </c>
      <c r="J617" s="277"/>
      <c r="K617" s="278"/>
      <c r="L617" s="278">
        <v>382</v>
      </c>
      <c r="M617" s="278">
        <v>913</v>
      </c>
      <c r="N617" s="278">
        <v>1529</v>
      </c>
      <c r="O617" s="277"/>
      <c r="P617" s="278">
        <v>-81</v>
      </c>
      <c r="Q617" s="278">
        <v>-87</v>
      </c>
      <c r="R617" s="278">
        <v>-100</v>
      </c>
      <c r="S617" s="278">
        <v>0</v>
      </c>
      <c r="T617" s="277"/>
      <c r="U617" s="278">
        <v>11</v>
      </c>
      <c r="V617" s="278">
        <v>0</v>
      </c>
      <c r="W617" s="278">
        <v>0</v>
      </c>
      <c r="X617" s="278">
        <v>0</v>
      </c>
      <c r="Y617" s="277"/>
      <c r="Z617" s="66"/>
      <c r="AA617" s="66"/>
      <c r="AB617" s="66"/>
      <c r="AC617" s="66"/>
      <c r="AD617" s="536"/>
      <c r="AE617" s="144"/>
      <c r="AF617" s="144"/>
      <c r="AG617" s="144"/>
      <c r="AH617" s="144"/>
      <c r="AI617" s="279"/>
      <c r="AJ617" s="143"/>
      <c r="AK617" s="143"/>
      <c r="AL617" s="143"/>
      <c r="AM617" s="143"/>
      <c r="AN617" s="279"/>
      <c r="AO617" s="143"/>
      <c r="AP617" s="143"/>
      <c r="AQ617" s="143"/>
      <c r="AR617" s="143"/>
      <c r="AS617" s="279"/>
    </row>
    <row r="618" spans="1:45" outlineLevel="1">
      <c r="A618" s="319" t="s">
        <v>399</v>
      </c>
      <c r="B618" s="143"/>
      <c r="C618" s="277"/>
      <c r="D618" s="277"/>
      <c r="E618" s="277"/>
      <c r="F618" s="278"/>
      <c r="G618" s="278"/>
      <c r="H618" s="278"/>
      <c r="I618" s="278"/>
      <c r="J618" s="277"/>
      <c r="K618" s="278"/>
      <c r="L618" s="278"/>
      <c r="M618" s="278"/>
      <c r="N618" s="278"/>
      <c r="O618" s="277"/>
      <c r="P618" s="278"/>
      <c r="Q618" s="278"/>
      <c r="R618" s="278"/>
      <c r="S618" s="278"/>
      <c r="T618" s="277"/>
      <c r="U618" s="278"/>
      <c r="V618" s="278"/>
      <c r="W618" s="278"/>
      <c r="X618" s="278"/>
      <c r="Y618" s="277"/>
      <c r="Z618" s="532">
        <v>-2088</v>
      </c>
      <c r="AA618" s="532">
        <v>-4420</v>
      </c>
      <c r="AB618" s="532">
        <v>-7887</v>
      </c>
      <c r="AC618" s="66"/>
      <c r="AD618" s="536"/>
      <c r="AE618" s="144"/>
      <c r="AF618" s="144"/>
      <c r="AG618" s="144"/>
      <c r="AH618" s="144"/>
      <c r="AI618" s="279"/>
      <c r="AJ618" s="143"/>
      <c r="AK618" s="143"/>
      <c r="AL618" s="143"/>
      <c r="AM618" s="143"/>
      <c r="AN618" s="279"/>
      <c r="AO618" s="143"/>
      <c r="AP618" s="143"/>
      <c r="AQ618" s="143"/>
      <c r="AR618" s="143"/>
      <c r="AS618" s="279"/>
    </row>
    <row r="619" spans="1:45" outlineLevel="1">
      <c r="A619" s="319"/>
      <c r="B619" s="143"/>
      <c r="C619" s="277"/>
      <c r="D619" s="277"/>
      <c r="E619" s="277"/>
      <c r="F619" s="278"/>
      <c r="G619" s="278"/>
      <c r="H619" s="278"/>
      <c r="I619" s="278"/>
      <c r="J619" s="277"/>
      <c r="K619" s="278"/>
      <c r="L619" s="278"/>
      <c r="M619" s="278"/>
      <c r="N619" s="278"/>
      <c r="O619" s="277"/>
      <c r="P619" s="278"/>
      <c r="Q619" s="278"/>
      <c r="R619" s="278"/>
      <c r="S619" s="278"/>
      <c r="T619" s="277"/>
      <c r="U619" s="278"/>
      <c r="V619" s="278"/>
      <c r="W619" s="278"/>
      <c r="X619" s="278"/>
      <c r="Y619" s="277"/>
      <c r="Z619" s="532"/>
      <c r="AA619" s="532"/>
      <c r="AB619" s="532"/>
      <c r="AC619" s="66"/>
      <c r="AD619" s="536"/>
      <c r="AE619" s="144"/>
      <c r="AF619" s="144"/>
      <c r="AG619" s="144"/>
      <c r="AH619" s="144"/>
      <c r="AI619" s="279"/>
      <c r="AJ619" s="143"/>
      <c r="AK619" s="143"/>
      <c r="AL619" s="143"/>
      <c r="AM619" s="143"/>
      <c r="AN619" s="279"/>
      <c r="AO619" s="143"/>
      <c r="AP619" s="143"/>
      <c r="AQ619" s="143"/>
      <c r="AR619" s="143"/>
      <c r="AS619" s="279"/>
    </row>
    <row r="620" spans="1:45" outlineLevel="1">
      <c r="A620" s="281" t="s">
        <v>362</v>
      </c>
      <c r="B620" s="143"/>
      <c r="C620" s="277"/>
      <c r="D620" s="277"/>
      <c r="E620" s="277"/>
      <c r="F620" s="278"/>
      <c r="G620" s="278"/>
      <c r="H620" s="278"/>
      <c r="I620" s="278">
        <v>0</v>
      </c>
      <c r="J620" s="277"/>
      <c r="K620" s="278"/>
      <c r="L620" s="278"/>
      <c r="M620" s="278"/>
      <c r="N620" s="278">
        <v>0</v>
      </c>
      <c r="O620" s="277"/>
      <c r="P620" s="278">
        <v>0</v>
      </c>
      <c r="Q620" s="278">
        <v>0</v>
      </c>
      <c r="R620" s="278">
        <v>0</v>
      </c>
      <c r="S620" s="278">
        <v>-1393</v>
      </c>
      <c r="T620" s="277"/>
      <c r="U620" s="278">
        <v>-954</v>
      </c>
      <c r="V620" s="278">
        <v>-1972</v>
      </c>
      <c r="W620" s="278">
        <v>-2817</v>
      </c>
      <c r="X620" s="278">
        <v>-4033</v>
      </c>
      <c r="Y620" s="277"/>
      <c r="Z620" s="66"/>
      <c r="AA620" s="66"/>
      <c r="AB620" s="66"/>
      <c r="AC620" s="66"/>
      <c r="AD620" s="536"/>
      <c r="AE620" s="144"/>
      <c r="AF620" s="144"/>
      <c r="AG620" s="144"/>
      <c r="AH620" s="144"/>
      <c r="AI620" s="279"/>
      <c r="AJ620" s="143"/>
      <c r="AK620" s="143"/>
      <c r="AL620" s="143"/>
      <c r="AM620" s="143"/>
      <c r="AN620" s="279"/>
      <c r="AO620" s="143"/>
      <c r="AP620" s="143"/>
      <c r="AQ620" s="143"/>
      <c r="AR620" s="143"/>
      <c r="AS620" s="279"/>
    </row>
    <row r="621" spans="1:45" outlineLevel="1">
      <c r="A621" s="281" t="s">
        <v>363</v>
      </c>
      <c r="B621" s="143"/>
      <c r="C621" s="277"/>
      <c r="D621" s="277"/>
      <c r="E621" s="277"/>
      <c r="F621" s="278"/>
      <c r="G621" s="278">
        <v>-2963</v>
      </c>
      <c r="H621" s="278">
        <v>-2668</v>
      </c>
      <c r="I621" s="278">
        <v>-2964</v>
      </c>
      <c r="J621" s="277"/>
      <c r="K621" s="278"/>
      <c r="L621" s="278">
        <v>-2963</v>
      </c>
      <c r="M621" s="278">
        <v>-2668</v>
      </c>
      <c r="N621" s="278">
        <v>-2964</v>
      </c>
      <c r="O621" s="277"/>
      <c r="P621" s="278">
        <v>86</v>
      </c>
      <c r="Q621" s="278">
        <v>382</v>
      </c>
      <c r="R621" s="278">
        <v>1799</v>
      </c>
      <c r="S621" s="278">
        <v>-594</v>
      </c>
      <c r="T621" s="277"/>
      <c r="U621" s="278">
        <v>3909</v>
      </c>
      <c r="V621" s="278">
        <v>2227</v>
      </c>
      <c r="W621" s="278">
        <v>838</v>
      </c>
      <c r="X621" s="278">
        <v>198</v>
      </c>
      <c r="Y621" s="277"/>
      <c r="Z621" s="66"/>
      <c r="AA621" s="66"/>
      <c r="AB621" s="66"/>
      <c r="AC621" s="66"/>
      <c r="AD621" s="536"/>
      <c r="AE621" s="144"/>
      <c r="AF621" s="144"/>
      <c r="AG621" s="144"/>
      <c r="AH621" s="144"/>
      <c r="AI621" s="279"/>
      <c r="AJ621" s="143"/>
      <c r="AK621" s="143"/>
      <c r="AL621" s="143"/>
      <c r="AM621" s="143"/>
      <c r="AN621" s="279"/>
      <c r="AO621" s="143"/>
      <c r="AP621" s="143"/>
      <c r="AQ621" s="143"/>
      <c r="AR621" s="143"/>
      <c r="AS621" s="279"/>
    </row>
    <row r="622" spans="1:45" ht="15" outlineLevel="1" thickBot="1">
      <c r="A622" s="530" t="s">
        <v>364</v>
      </c>
      <c r="B622" s="67"/>
      <c r="C622" s="68"/>
      <c r="D622" s="68"/>
      <c r="E622" s="68"/>
      <c r="F622" s="500"/>
      <c r="G622" s="500">
        <v>-11633</v>
      </c>
      <c r="H622" s="500">
        <v>-12025</v>
      </c>
      <c r="I622" s="500">
        <v>-12436</v>
      </c>
      <c r="J622" s="68"/>
      <c r="K622" s="500"/>
      <c r="L622" s="500">
        <v>-11633</v>
      </c>
      <c r="M622" s="500">
        <v>-12025</v>
      </c>
      <c r="N622" s="500">
        <v>-12436</v>
      </c>
      <c r="O622" s="68"/>
      <c r="P622" s="500">
        <v>1261</v>
      </c>
      <c r="Q622" s="500">
        <v>-31938</v>
      </c>
      <c r="R622" s="500">
        <v>-31640</v>
      </c>
      <c r="S622" s="500">
        <v>-28361</v>
      </c>
      <c r="T622" s="68"/>
      <c r="U622" s="500">
        <v>-38471</v>
      </c>
      <c r="V622" s="500">
        <v>-69806</v>
      </c>
      <c r="W622" s="500">
        <v>-101207</v>
      </c>
      <c r="X622" s="500">
        <v>-106600</v>
      </c>
      <c r="Y622" s="68"/>
      <c r="Z622" s="533">
        <v>-13010</v>
      </c>
      <c r="AA622" s="533">
        <v>8956</v>
      </c>
      <c r="AB622" s="533">
        <v>26920</v>
      </c>
      <c r="AC622" s="500"/>
      <c r="AD622" s="543"/>
      <c r="AE622" s="70"/>
      <c r="AF622" s="70"/>
      <c r="AG622" s="70"/>
      <c r="AH622" s="70"/>
      <c r="AI622" s="69"/>
      <c r="AJ622" s="67"/>
      <c r="AK622" s="67"/>
      <c r="AL622" s="67"/>
      <c r="AM622" s="67"/>
      <c r="AN622" s="69"/>
      <c r="AO622" s="67"/>
      <c r="AP622" s="67"/>
      <c r="AQ622" s="67"/>
      <c r="AR622" s="67"/>
      <c r="AS622" s="69"/>
    </row>
    <row r="623" spans="1:45" ht="15" outlineLevel="1" thickTop="1">
      <c r="A623" s="526"/>
      <c r="B623" s="143"/>
      <c r="C623" s="277"/>
      <c r="D623" s="277"/>
      <c r="E623" s="277"/>
      <c r="F623" s="278"/>
      <c r="G623" s="278"/>
      <c r="H623" s="278"/>
      <c r="I623" s="278"/>
      <c r="J623" s="277"/>
      <c r="K623" s="278"/>
      <c r="L623" s="278"/>
      <c r="M623" s="278"/>
      <c r="N623" s="278"/>
      <c r="O623" s="277"/>
      <c r="P623" s="278"/>
      <c r="Q623" s="278"/>
      <c r="R623" s="278"/>
      <c r="S623" s="278"/>
      <c r="T623" s="277"/>
      <c r="U623" s="278"/>
      <c r="V623" s="278"/>
      <c r="W623" s="278"/>
      <c r="X623" s="278"/>
      <c r="Y623" s="277"/>
      <c r="Z623" s="66"/>
      <c r="AA623" s="66"/>
      <c r="AB623" s="66"/>
      <c r="AC623" s="66"/>
      <c r="AD623" s="536"/>
      <c r="AE623" s="144"/>
      <c r="AF623" s="144"/>
      <c r="AG623" s="144"/>
      <c r="AH623" s="144"/>
      <c r="AI623" s="279"/>
      <c r="AJ623" s="143"/>
      <c r="AK623" s="143"/>
      <c r="AL623" s="143"/>
      <c r="AM623" s="143"/>
      <c r="AN623" s="279"/>
      <c r="AO623" s="143"/>
      <c r="AP623" s="143"/>
      <c r="AQ623" s="143"/>
      <c r="AR623" s="143"/>
      <c r="AS623" s="279"/>
    </row>
    <row r="624" spans="1:45" outlineLevel="1">
      <c r="A624" s="526"/>
      <c r="B624" s="143"/>
      <c r="C624" s="277"/>
      <c r="D624" s="277"/>
      <c r="E624" s="277"/>
      <c r="F624" s="278"/>
      <c r="G624" s="278"/>
      <c r="H624" s="278"/>
      <c r="I624" s="278"/>
      <c r="J624" s="277"/>
      <c r="K624" s="278"/>
      <c r="L624" s="278"/>
      <c r="M624" s="278"/>
      <c r="N624" s="278"/>
      <c r="O624" s="277"/>
      <c r="P624" s="278"/>
      <c r="Q624" s="278"/>
      <c r="R624" s="278"/>
      <c r="S624" s="278"/>
      <c r="T624" s="277"/>
      <c r="U624" s="278"/>
      <c r="V624" s="278"/>
      <c r="W624" s="278"/>
      <c r="X624" s="278"/>
      <c r="Y624" s="277"/>
      <c r="Z624" s="66"/>
      <c r="AA624" s="66"/>
      <c r="AB624" s="66"/>
      <c r="AC624" s="66"/>
      <c r="AD624" s="536"/>
      <c r="AE624" s="144"/>
      <c r="AF624" s="144"/>
      <c r="AG624" s="144"/>
      <c r="AH624" s="144"/>
      <c r="AI624" s="279"/>
      <c r="AJ624" s="143"/>
      <c r="AK624" s="143"/>
      <c r="AL624" s="143"/>
      <c r="AM624" s="143"/>
      <c r="AN624" s="279"/>
      <c r="AO624" s="143"/>
      <c r="AP624" s="143"/>
      <c r="AQ624" s="143"/>
      <c r="AR624" s="143"/>
      <c r="AS624" s="279"/>
    </row>
    <row r="625" spans="1:269" outlineLevel="1">
      <c r="A625" s="85" t="s">
        <v>365</v>
      </c>
      <c r="B625" s="143"/>
      <c r="C625" s="277"/>
      <c r="D625" s="277"/>
      <c r="E625" s="277"/>
      <c r="F625" s="278"/>
      <c r="G625" s="278"/>
      <c r="H625" s="278"/>
      <c r="I625" s="278"/>
      <c r="J625" s="277"/>
      <c r="K625" s="278"/>
      <c r="L625" s="278"/>
      <c r="M625" s="278"/>
      <c r="N625" s="278"/>
      <c r="O625" s="277"/>
      <c r="P625" s="278"/>
      <c r="Q625" s="278"/>
      <c r="R625" s="278"/>
      <c r="S625" s="278"/>
      <c r="T625" s="277"/>
      <c r="U625" s="278"/>
      <c r="V625" s="278"/>
      <c r="W625" s="278"/>
      <c r="X625" s="278"/>
      <c r="Y625" s="277"/>
      <c r="Z625" s="66"/>
      <c r="AA625" s="66"/>
      <c r="AB625" s="66"/>
      <c r="AC625" s="66"/>
      <c r="AD625" s="536"/>
      <c r="AE625" s="144"/>
      <c r="AF625" s="144"/>
      <c r="AG625" s="144"/>
      <c r="AH625" s="144"/>
      <c r="AI625" s="279"/>
      <c r="AJ625" s="143"/>
      <c r="AK625" s="143"/>
      <c r="AL625" s="143"/>
      <c r="AM625" s="143"/>
      <c r="AN625" s="279"/>
      <c r="AO625" s="143"/>
      <c r="AP625" s="143"/>
      <c r="AQ625" s="143"/>
      <c r="AR625" s="143"/>
      <c r="AS625" s="279"/>
    </row>
    <row r="626" spans="1:269" outlineLevel="1">
      <c r="A626" s="527" t="s">
        <v>366</v>
      </c>
      <c r="B626" s="143"/>
      <c r="C626" s="277"/>
      <c r="D626" s="277"/>
      <c r="E626" s="277"/>
      <c r="F626" s="278"/>
      <c r="G626" s="278">
        <v>0</v>
      </c>
      <c r="H626" s="278">
        <v>0</v>
      </c>
      <c r="I626" s="278">
        <v>0</v>
      </c>
      <c r="J626" s="277"/>
      <c r="K626" s="278"/>
      <c r="L626" s="278">
        <v>0</v>
      </c>
      <c r="M626" s="278">
        <v>0</v>
      </c>
      <c r="N626" s="278">
        <v>0</v>
      </c>
      <c r="O626" s="277"/>
      <c r="P626" s="278"/>
      <c r="Q626" s="278">
        <v>-4920</v>
      </c>
      <c r="R626" s="278">
        <v>-22896</v>
      </c>
      <c r="S626" s="278">
        <v>-22896</v>
      </c>
      <c r="T626" s="277"/>
      <c r="U626" s="278"/>
      <c r="V626" s="278">
        <v>0</v>
      </c>
      <c r="W626" s="278">
        <v>0</v>
      </c>
      <c r="X626" s="278">
        <v>0</v>
      </c>
      <c r="Y626" s="277"/>
      <c r="Z626" s="66"/>
      <c r="AA626" s="66"/>
      <c r="AB626" s="66"/>
      <c r="AC626" s="66"/>
      <c r="AD626" s="536"/>
      <c r="AE626" s="144"/>
      <c r="AF626" s="144"/>
      <c r="AG626" s="144"/>
      <c r="AH626" s="144"/>
      <c r="AI626" s="279"/>
      <c r="AJ626" s="143"/>
      <c r="AK626" s="143"/>
      <c r="AL626" s="143"/>
      <c r="AM626" s="143"/>
      <c r="AN626" s="279"/>
      <c r="AO626" s="143"/>
      <c r="AP626" s="143"/>
      <c r="AQ626" s="143"/>
      <c r="AR626" s="143"/>
      <c r="AS626" s="279"/>
    </row>
    <row r="627" spans="1:269" outlineLevel="1">
      <c r="A627" s="527" t="s">
        <v>367</v>
      </c>
      <c r="B627" s="143"/>
      <c r="C627" s="277"/>
      <c r="D627" s="277"/>
      <c r="E627" s="277"/>
      <c r="F627" s="144"/>
      <c r="G627" s="278"/>
      <c r="H627" s="278"/>
      <c r="I627" s="278">
        <v>0</v>
      </c>
      <c r="J627" s="277"/>
      <c r="K627" s="144"/>
      <c r="L627" s="278"/>
      <c r="M627" s="278"/>
      <c r="N627" s="278">
        <v>0</v>
      </c>
      <c r="O627" s="277"/>
      <c r="P627" s="278"/>
      <c r="Q627" s="278">
        <v>0</v>
      </c>
      <c r="R627" s="278">
        <v>0</v>
      </c>
      <c r="S627" s="278"/>
      <c r="T627" s="277"/>
      <c r="U627" s="278"/>
      <c r="V627" s="278">
        <v>-1475</v>
      </c>
      <c r="W627" s="278">
        <v>-1475</v>
      </c>
      <c r="X627" s="278">
        <v>-1475</v>
      </c>
      <c r="Y627" s="277"/>
      <c r="Z627" s="66">
        <v>-16915</v>
      </c>
      <c r="AA627" s="66">
        <v>-16915</v>
      </c>
      <c r="AB627" s="66">
        <v>-18458</v>
      </c>
      <c r="AC627" s="66"/>
      <c r="AD627" s="536"/>
      <c r="AE627" s="144"/>
      <c r="AF627" s="144"/>
      <c r="AG627" s="144"/>
      <c r="AH627" s="144"/>
      <c r="AI627" s="279"/>
      <c r="AJ627" s="143"/>
      <c r="AK627" s="143"/>
      <c r="AL627" s="143"/>
      <c r="AM627" s="143"/>
      <c r="AN627" s="279"/>
      <c r="AO627" s="143"/>
      <c r="AP627" s="143"/>
      <c r="AQ627" s="143"/>
      <c r="AR627" s="143"/>
      <c r="AS627" s="279"/>
    </row>
    <row r="628" spans="1:269" outlineLevel="1">
      <c r="A628" s="527" t="s">
        <v>368</v>
      </c>
      <c r="B628" s="143"/>
      <c r="C628" s="277"/>
      <c r="D628" s="277"/>
      <c r="E628" s="277"/>
      <c r="F628" s="143"/>
      <c r="G628" s="278">
        <v>0</v>
      </c>
      <c r="H628" s="278">
        <v>0</v>
      </c>
      <c r="I628" s="278">
        <v>0</v>
      </c>
      <c r="J628" s="277"/>
      <c r="K628" s="143"/>
      <c r="L628" s="278">
        <v>0</v>
      </c>
      <c r="M628" s="278">
        <v>0</v>
      </c>
      <c r="N628" s="278">
        <v>0</v>
      </c>
      <c r="O628" s="277"/>
      <c r="P628" s="278"/>
      <c r="Q628" s="278">
        <v>781</v>
      </c>
      <c r="R628" s="278">
        <v>781</v>
      </c>
      <c r="S628" s="278">
        <v>781</v>
      </c>
      <c r="T628" s="277"/>
      <c r="U628" s="278"/>
      <c r="V628" s="278">
        <v>0</v>
      </c>
      <c r="W628" s="278">
        <v>0</v>
      </c>
      <c r="X628" s="278">
        <v>0</v>
      </c>
      <c r="Y628" s="277"/>
      <c r="Z628" s="66"/>
      <c r="AA628" s="66"/>
      <c r="AB628" s="66"/>
      <c r="AC628" s="66"/>
      <c r="AD628" s="536"/>
      <c r="AE628" s="143"/>
      <c r="AF628" s="143"/>
      <c r="AG628" s="143"/>
      <c r="AH628" s="143"/>
      <c r="AI628" s="279"/>
      <c r="AJ628" s="143"/>
      <c r="AK628" s="143"/>
      <c r="AL628" s="143"/>
      <c r="AM628" s="143"/>
      <c r="AN628" s="279"/>
      <c r="AO628" s="143"/>
      <c r="AP628" s="143"/>
      <c r="AQ628" s="143"/>
      <c r="AR628" s="143"/>
      <c r="AS628" s="279"/>
      <c r="AT628" s="315"/>
      <c r="AU628" s="508"/>
      <c r="AV628" s="143"/>
      <c r="AW628" s="143"/>
      <c r="AX628" s="143"/>
      <c r="AY628" s="143"/>
      <c r="AZ628" s="143"/>
      <c r="BA628" s="143"/>
      <c r="BB628" s="143"/>
      <c r="BC628" s="143"/>
      <c r="BD628" s="143"/>
      <c r="BE628" s="143"/>
      <c r="BF628" s="143"/>
      <c r="BG628" s="143"/>
      <c r="BH628" s="143"/>
      <c r="BI628" s="143"/>
      <c r="BJ628" s="143"/>
      <c r="BK628" s="143"/>
      <c r="BL628" s="143"/>
      <c r="BM628" s="143"/>
      <c r="BN628" s="143"/>
      <c r="BO628" s="143"/>
      <c r="BP628" s="143"/>
      <c r="BQ628" s="143"/>
      <c r="BR628" s="143"/>
      <c r="BS628" s="143"/>
      <c r="BT628" s="143"/>
      <c r="BU628" s="143"/>
      <c r="BV628" s="143"/>
      <c r="BW628" s="143"/>
      <c r="BX628" s="143"/>
      <c r="BY628" s="143"/>
      <c r="BZ628" s="143"/>
      <c r="CA628" s="143"/>
      <c r="CB628" s="143"/>
      <c r="CC628" s="143"/>
      <c r="CD628" s="143"/>
      <c r="CE628" s="143"/>
      <c r="CF628" s="143"/>
      <c r="CG628" s="143"/>
      <c r="CH628" s="143"/>
      <c r="CI628" s="143"/>
      <c r="CJ628" s="143"/>
      <c r="CK628" s="143"/>
      <c r="CL628" s="143"/>
      <c r="CM628" s="143"/>
      <c r="CN628" s="143"/>
      <c r="CO628" s="143"/>
      <c r="CP628" s="143"/>
      <c r="CQ628" s="143"/>
      <c r="CR628" s="143"/>
      <c r="CS628" s="143"/>
      <c r="CT628" s="143"/>
      <c r="CU628" s="143"/>
      <c r="CV628" s="143"/>
      <c r="CW628" s="143"/>
      <c r="CX628" s="143"/>
      <c r="CY628" s="143"/>
      <c r="CZ628" s="143"/>
      <c r="DA628" s="143"/>
      <c r="DB628" s="143"/>
      <c r="DC628" s="143"/>
      <c r="DD628" s="143"/>
      <c r="DE628" s="143"/>
      <c r="DF628" s="143"/>
      <c r="DG628" s="143"/>
      <c r="DH628" s="143"/>
      <c r="DI628" s="143"/>
      <c r="DJ628" s="143"/>
      <c r="DK628" s="143"/>
      <c r="DL628" s="143"/>
      <c r="DM628" s="143"/>
      <c r="DN628" s="143"/>
      <c r="DO628" s="143"/>
      <c r="DP628" s="143"/>
      <c r="DQ628" s="143"/>
      <c r="DR628" s="143"/>
      <c r="DS628" s="143"/>
      <c r="DT628" s="143"/>
      <c r="DU628" s="143"/>
      <c r="DV628" s="143"/>
      <c r="DW628" s="143"/>
      <c r="DX628" s="143"/>
      <c r="DY628" s="143"/>
      <c r="DZ628" s="143"/>
      <c r="EA628" s="143"/>
      <c r="EB628" s="143"/>
      <c r="EC628" s="143"/>
      <c r="ED628" s="143"/>
      <c r="EE628" s="143"/>
      <c r="EF628" s="143"/>
      <c r="EG628" s="143"/>
      <c r="EH628" s="143"/>
      <c r="EI628" s="143"/>
      <c r="EJ628" s="143"/>
      <c r="EK628" s="143"/>
      <c r="EL628" s="143"/>
      <c r="EM628" s="143"/>
      <c r="EN628" s="143"/>
      <c r="EO628" s="143"/>
      <c r="EP628" s="143"/>
      <c r="EQ628" s="143"/>
      <c r="ER628" s="143"/>
      <c r="ES628" s="143"/>
      <c r="ET628" s="143"/>
      <c r="EU628" s="143"/>
      <c r="EV628" s="143"/>
      <c r="EW628" s="143"/>
      <c r="EX628" s="143"/>
      <c r="EY628" s="143"/>
      <c r="EZ628" s="143"/>
      <c r="FA628" s="143"/>
      <c r="FB628" s="143"/>
      <c r="FC628" s="143"/>
      <c r="FD628" s="143"/>
      <c r="FE628" s="143"/>
      <c r="FF628" s="143"/>
      <c r="FG628" s="143"/>
      <c r="FH628" s="143"/>
      <c r="FI628" s="143"/>
      <c r="FJ628" s="143"/>
      <c r="FK628" s="143"/>
      <c r="FL628" s="143"/>
      <c r="FM628" s="143"/>
      <c r="FN628" s="143"/>
      <c r="FO628" s="143"/>
      <c r="FP628" s="143"/>
      <c r="FQ628" s="143"/>
      <c r="FR628" s="143"/>
      <c r="FS628" s="143"/>
      <c r="FT628" s="143"/>
      <c r="FU628" s="143"/>
      <c r="FV628" s="143"/>
      <c r="FW628" s="143"/>
      <c r="FX628" s="143"/>
      <c r="FY628" s="143"/>
      <c r="FZ628" s="143"/>
      <c r="GA628" s="143"/>
      <c r="GB628" s="143"/>
      <c r="GC628" s="143"/>
      <c r="GD628" s="143"/>
      <c r="GE628" s="143"/>
      <c r="GF628" s="143"/>
      <c r="GG628" s="143"/>
      <c r="GH628" s="143"/>
      <c r="GI628" s="143"/>
      <c r="GJ628" s="143"/>
      <c r="GK628" s="143"/>
      <c r="GL628" s="143"/>
      <c r="GM628" s="143"/>
      <c r="GN628" s="143"/>
      <c r="GO628" s="143"/>
      <c r="GP628" s="143"/>
      <c r="GQ628" s="143"/>
      <c r="GR628" s="143"/>
      <c r="GS628" s="143"/>
      <c r="GT628" s="143"/>
      <c r="GU628" s="143"/>
      <c r="GV628" s="143"/>
      <c r="GW628" s="143"/>
      <c r="GX628" s="143"/>
      <c r="GY628" s="143"/>
      <c r="GZ628" s="143"/>
      <c r="HA628" s="143"/>
      <c r="HB628" s="143"/>
      <c r="HC628" s="143"/>
      <c r="HD628" s="143"/>
      <c r="HE628" s="143"/>
      <c r="HF628" s="143"/>
      <c r="HG628" s="143"/>
      <c r="HH628" s="143"/>
      <c r="HI628" s="143"/>
      <c r="HJ628" s="143"/>
      <c r="HK628" s="143"/>
      <c r="HL628" s="143"/>
      <c r="HM628" s="143"/>
      <c r="HN628" s="143"/>
      <c r="HO628" s="143"/>
      <c r="HP628" s="143"/>
      <c r="HQ628" s="143"/>
      <c r="HR628" s="143"/>
      <c r="HS628" s="143"/>
      <c r="HT628" s="143"/>
      <c r="HU628" s="143"/>
      <c r="HV628" s="143"/>
      <c r="HW628" s="143"/>
      <c r="HX628" s="143"/>
      <c r="HY628" s="143"/>
      <c r="HZ628" s="143"/>
      <c r="IA628" s="143"/>
      <c r="IB628" s="143"/>
      <c r="IC628" s="143"/>
      <c r="ID628" s="143"/>
      <c r="IE628" s="143"/>
      <c r="IF628" s="143"/>
      <c r="IG628" s="143"/>
      <c r="IH628" s="143"/>
      <c r="II628" s="143"/>
      <c r="IJ628" s="143"/>
      <c r="IK628" s="143"/>
      <c r="IL628" s="143"/>
      <c r="IM628" s="143"/>
      <c r="IN628" s="143"/>
      <c r="IO628" s="143"/>
      <c r="IP628" s="143"/>
      <c r="IQ628" s="143"/>
      <c r="IR628" s="143"/>
      <c r="IS628" s="143"/>
      <c r="IT628" s="143"/>
      <c r="IU628" s="143"/>
      <c r="IV628" s="143"/>
      <c r="IW628" s="143"/>
      <c r="IX628" s="143"/>
      <c r="IY628" s="143"/>
      <c r="IZ628" s="143"/>
      <c r="JA628" s="143"/>
      <c r="JB628" s="143"/>
      <c r="JC628" s="143"/>
      <c r="JD628" s="143"/>
      <c r="JE628" s="143"/>
      <c r="JF628" s="143"/>
      <c r="JG628" s="143"/>
      <c r="JH628" s="143"/>
      <c r="JI628" s="143"/>
    </row>
    <row r="629" spans="1:269" outlineLevel="1">
      <c r="A629" s="527" t="s">
        <v>369</v>
      </c>
      <c r="B629" s="143"/>
      <c r="C629" s="277"/>
      <c r="D629" s="277"/>
      <c r="E629" s="277"/>
      <c r="F629" s="143"/>
      <c r="G629" s="278">
        <v>-105</v>
      </c>
      <c r="H629" s="278">
        <v>-108</v>
      </c>
      <c r="I629" s="278">
        <v>-316</v>
      </c>
      <c r="J629" s="277"/>
      <c r="K629" s="143"/>
      <c r="L629" s="278">
        <v>-105</v>
      </c>
      <c r="M629" s="278">
        <v>-108</v>
      </c>
      <c r="N629" s="278">
        <v>-316</v>
      </c>
      <c r="O629" s="277"/>
      <c r="P629" s="278">
        <v>-170</v>
      </c>
      <c r="Q629" s="278">
        <v>-273</v>
      </c>
      <c r="R629" s="278">
        <v>-2229</v>
      </c>
      <c r="S629" s="278">
        <v>-4415</v>
      </c>
      <c r="T629" s="277"/>
      <c r="U629" s="278">
        <v>-276</v>
      </c>
      <c r="V629" s="278">
        <v>-1252</v>
      </c>
      <c r="W629" s="278">
        <v>-4690</v>
      </c>
      <c r="X629" s="278">
        <v>-6547</v>
      </c>
      <c r="Y629" s="277"/>
      <c r="Z629" s="66">
        <v>-2450</v>
      </c>
      <c r="AA629" s="66">
        <v>-4365</v>
      </c>
      <c r="AB629" s="66">
        <v>-7084</v>
      </c>
      <c r="AC629" s="66"/>
      <c r="AD629" s="536"/>
      <c r="AE629" s="143"/>
      <c r="AF629" s="143"/>
      <c r="AG629" s="143"/>
      <c r="AH629" s="143"/>
      <c r="AI629" s="279"/>
      <c r="AJ629" s="143"/>
      <c r="AK629" s="143"/>
      <c r="AL629" s="143"/>
      <c r="AM629" s="143"/>
      <c r="AN629" s="279"/>
      <c r="AO629" s="143"/>
      <c r="AP629" s="143"/>
      <c r="AQ629" s="143"/>
      <c r="AR629" s="143"/>
      <c r="AS629" s="279"/>
      <c r="AT629" s="315"/>
      <c r="AU629" s="508"/>
      <c r="AV629" s="143"/>
      <c r="AW629" s="143"/>
      <c r="AX629" s="143"/>
      <c r="AY629" s="143"/>
      <c r="AZ629" s="143"/>
      <c r="BA629" s="143"/>
      <c r="BB629" s="143"/>
      <c r="BC629" s="143"/>
      <c r="BD629" s="143"/>
      <c r="BE629" s="143"/>
      <c r="BF629" s="143"/>
      <c r="BG629" s="143"/>
      <c r="BH629" s="143"/>
      <c r="BI629" s="143"/>
      <c r="BJ629" s="143"/>
      <c r="BK629" s="143"/>
      <c r="BL629" s="143"/>
      <c r="BM629" s="143"/>
      <c r="BN629" s="143"/>
      <c r="BO629" s="143"/>
      <c r="BP629" s="143"/>
      <c r="BQ629" s="143"/>
      <c r="BR629" s="143"/>
      <c r="BS629" s="143"/>
      <c r="BT629" s="143"/>
      <c r="BU629" s="143"/>
      <c r="BV629" s="143"/>
      <c r="BW629" s="143"/>
      <c r="BX629" s="143"/>
      <c r="BY629" s="143"/>
      <c r="BZ629" s="143"/>
      <c r="CA629" s="143"/>
      <c r="CB629" s="143"/>
      <c r="CC629" s="143"/>
      <c r="CD629" s="143"/>
      <c r="CE629" s="143"/>
      <c r="CF629" s="143"/>
      <c r="CG629" s="143"/>
      <c r="CH629" s="143"/>
      <c r="CI629" s="143"/>
      <c r="CJ629" s="143"/>
      <c r="CK629" s="143"/>
      <c r="CL629" s="143"/>
      <c r="CM629" s="143"/>
      <c r="CN629" s="143"/>
      <c r="CO629" s="143"/>
      <c r="CP629" s="143"/>
      <c r="CQ629" s="143"/>
      <c r="CR629" s="143"/>
      <c r="CS629" s="143"/>
      <c r="CT629" s="143"/>
      <c r="CU629" s="143"/>
      <c r="CV629" s="143"/>
      <c r="CW629" s="143"/>
      <c r="CX629" s="143"/>
      <c r="CY629" s="143"/>
      <c r="CZ629" s="143"/>
      <c r="DA629" s="143"/>
      <c r="DB629" s="143"/>
      <c r="DC629" s="143"/>
      <c r="DD629" s="143"/>
      <c r="DE629" s="143"/>
      <c r="DF629" s="143"/>
      <c r="DG629" s="143"/>
      <c r="DH629" s="143"/>
      <c r="DI629" s="143"/>
      <c r="DJ629" s="143"/>
      <c r="DK629" s="143"/>
      <c r="DL629" s="143"/>
      <c r="DM629" s="143"/>
      <c r="DN629" s="143"/>
      <c r="DO629" s="143"/>
      <c r="DP629" s="143"/>
      <c r="DQ629" s="143"/>
      <c r="DR629" s="143"/>
      <c r="DS629" s="143"/>
      <c r="DT629" s="143"/>
      <c r="DU629" s="143"/>
      <c r="DV629" s="143"/>
      <c r="DW629" s="143"/>
      <c r="DX629" s="143"/>
      <c r="DY629" s="143"/>
      <c r="DZ629" s="143"/>
      <c r="EA629" s="143"/>
      <c r="EB629" s="143"/>
      <c r="EC629" s="143"/>
      <c r="ED629" s="143"/>
      <c r="EE629" s="143"/>
      <c r="EF629" s="143"/>
      <c r="EG629" s="143"/>
      <c r="EH629" s="143"/>
      <c r="EI629" s="143"/>
      <c r="EJ629" s="143"/>
      <c r="EK629" s="143"/>
      <c r="EL629" s="143"/>
      <c r="EM629" s="143"/>
      <c r="EN629" s="143"/>
      <c r="EO629" s="143"/>
      <c r="EP629" s="143"/>
      <c r="EQ629" s="143"/>
      <c r="ER629" s="143"/>
      <c r="ES629" s="143"/>
      <c r="ET629" s="143"/>
      <c r="EU629" s="143"/>
      <c r="EV629" s="143"/>
      <c r="EW629" s="143"/>
      <c r="EX629" s="143"/>
      <c r="EY629" s="143"/>
      <c r="EZ629" s="143"/>
      <c r="FA629" s="143"/>
      <c r="FB629" s="143"/>
      <c r="FC629" s="143"/>
      <c r="FD629" s="143"/>
      <c r="FE629" s="143"/>
      <c r="FF629" s="143"/>
      <c r="FG629" s="143"/>
      <c r="FH629" s="143"/>
      <c r="FI629" s="143"/>
      <c r="FJ629" s="143"/>
      <c r="FK629" s="143"/>
      <c r="FL629" s="143"/>
      <c r="FM629" s="143"/>
      <c r="FN629" s="143"/>
      <c r="FO629" s="143"/>
      <c r="FP629" s="143"/>
      <c r="FQ629" s="143"/>
      <c r="FR629" s="143"/>
      <c r="FS629" s="143"/>
      <c r="FT629" s="143"/>
      <c r="FU629" s="143"/>
      <c r="FV629" s="143"/>
      <c r="FW629" s="143"/>
      <c r="FX629" s="143"/>
      <c r="FY629" s="143"/>
      <c r="FZ629" s="143"/>
      <c r="GA629" s="143"/>
      <c r="GB629" s="143"/>
      <c r="GC629" s="143"/>
      <c r="GD629" s="143"/>
      <c r="GE629" s="143"/>
      <c r="GF629" s="143"/>
      <c r="GG629" s="143"/>
      <c r="GH629" s="143"/>
      <c r="GI629" s="143"/>
      <c r="GJ629" s="143"/>
      <c r="GK629" s="143"/>
      <c r="GL629" s="143"/>
      <c r="GM629" s="143"/>
      <c r="GN629" s="143"/>
      <c r="GO629" s="143"/>
      <c r="GP629" s="143"/>
      <c r="GQ629" s="143"/>
      <c r="GR629" s="143"/>
      <c r="GS629" s="143"/>
      <c r="GT629" s="143"/>
      <c r="GU629" s="143"/>
      <c r="GV629" s="143"/>
      <c r="GW629" s="143"/>
      <c r="GX629" s="143"/>
      <c r="GY629" s="143"/>
      <c r="GZ629" s="143"/>
      <c r="HA629" s="143"/>
      <c r="HB629" s="143"/>
      <c r="HC629" s="143"/>
      <c r="HD629" s="143"/>
      <c r="HE629" s="143"/>
      <c r="HF629" s="143"/>
      <c r="HG629" s="143"/>
      <c r="HH629" s="143"/>
      <c r="HI629" s="143"/>
      <c r="HJ629" s="143"/>
      <c r="HK629" s="143"/>
      <c r="HL629" s="143"/>
      <c r="HM629" s="143"/>
      <c r="HN629" s="143"/>
      <c r="HO629" s="143"/>
      <c r="HP629" s="143"/>
      <c r="HQ629" s="143"/>
      <c r="HR629" s="143"/>
      <c r="HS629" s="143"/>
      <c r="HT629" s="143"/>
      <c r="HU629" s="143"/>
      <c r="HV629" s="143"/>
      <c r="HW629" s="143"/>
      <c r="HX629" s="143"/>
      <c r="HY629" s="143"/>
      <c r="HZ629" s="143"/>
      <c r="IA629" s="143"/>
      <c r="IB629" s="143"/>
      <c r="IC629" s="143"/>
      <c r="ID629" s="143"/>
      <c r="IE629" s="143"/>
      <c r="IF629" s="143"/>
      <c r="IG629" s="143"/>
      <c r="IH629" s="143"/>
      <c r="II629" s="143"/>
      <c r="IJ629" s="143"/>
      <c r="IK629" s="143"/>
      <c r="IL629" s="143"/>
      <c r="IM629" s="143"/>
      <c r="IN629" s="143"/>
      <c r="IO629" s="143"/>
      <c r="IP629" s="143"/>
      <c r="IQ629" s="143"/>
      <c r="IR629" s="143"/>
      <c r="IS629" s="143"/>
      <c r="IT629" s="143"/>
      <c r="IU629" s="143"/>
      <c r="IV629" s="143"/>
      <c r="IW629" s="143"/>
      <c r="IX629" s="143"/>
      <c r="IY629" s="143"/>
      <c r="IZ629" s="143"/>
      <c r="JA629" s="143"/>
      <c r="JB629" s="143"/>
      <c r="JC629" s="143"/>
      <c r="JD629" s="143"/>
      <c r="JE629" s="143"/>
      <c r="JF629" s="143"/>
      <c r="JG629" s="143"/>
      <c r="JH629" s="143"/>
      <c r="JI629" s="143"/>
    </row>
    <row r="630" spans="1:269" outlineLevel="1">
      <c r="A630" s="527" t="s">
        <v>370</v>
      </c>
      <c r="B630" s="143"/>
      <c r="C630" s="277"/>
      <c r="D630" s="277"/>
      <c r="E630" s="277"/>
      <c r="F630" s="143"/>
      <c r="G630" s="278">
        <v>-1320</v>
      </c>
      <c r="H630" s="278">
        <v>-2589</v>
      </c>
      <c r="I630" s="278">
        <v>-3501</v>
      </c>
      <c r="J630" s="277"/>
      <c r="K630" s="143"/>
      <c r="L630" s="278">
        <v>-1320</v>
      </c>
      <c r="M630" s="278">
        <v>-2589</v>
      </c>
      <c r="N630" s="278">
        <v>-3501</v>
      </c>
      <c r="O630" s="277"/>
      <c r="P630" s="278">
        <v>-818</v>
      </c>
      <c r="Q630" s="278">
        <v>-4707</v>
      </c>
      <c r="R630" s="278">
        <v>-4857</v>
      </c>
      <c r="S630" s="278">
        <v>-11201</v>
      </c>
      <c r="T630" s="277"/>
      <c r="U630" s="278">
        <v>-3149</v>
      </c>
      <c r="V630" s="278">
        <v>-5577</v>
      </c>
      <c r="W630" s="278">
        <v>-9880</v>
      </c>
      <c r="X630" s="278">
        <v>-10847</v>
      </c>
      <c r="Y630" s="277"/>
      <c r="Z630" s="66">
        <v>-2319</v>
      </c>
      <c r="AA630" s="66">
        <v>-3623</v>
      </c>
      <c r="AB630" s="66">
        <v>-3797</v>
      </c>
      <c r="AC630" s="66"/>
      <c r="AD630" s="536"/>
      <c r="AE630" s="143"/>
      <c r="AF630" s="143"/>
      <c r="AG630" s="143"/>
      <c r="AH630" s="143"/>
      <c r="AI630" s="279"/>
      <c r="AJ630" s="143"/>
      <c r="AK630" s="143"/>
      <c r="AL630" s="143"/>
      <c r="AM630" s="143"/>
      <c r="AN630" s="279"/>
      <c r="AO630" s="143"/>
      <c r="AP630" s="143"/>
      <c r="AQ630" s="143"/>
      <c r="AR630" s="143"/>
      <c r="AS630" s="279"/>
    </row>
    <row r="631" spans="1:269" ht="15" outlineLevel="1" thickBot="1">
      <c r="A631" s="529" t="s">
        <v>371</v>
      </c>
      <c r="B631" s="67"/>
      <c r="C631" s="68"/>
      <c r="D631" s="68"/>
      <c r="E631" s="68"/>
      <c r="F631" s="67"/>
      <c r="G631" s="500">
        <v>-1425</v>
      </c>
      <c r="H631" s="500">
        <v>-2697</v>
      </c>
      <c r="I631" s="500">
        <v>-3817</v>
      </c>
      <c r="J631" s="68"/>
      <c r="K631" s="67"/>
      <c r="L631" s="500">
        <v>-1425</v>
      </c>
      <c r="M631" s="500">
        <v>-2697</v>
      </c>
      <c r="N631" s="500">
        <v>-3817</v>
      </c>
      <c r="O631" s="68"/>
      <c r="P631" s="500">
        <v>-988</v>
      </c>
      <c r="Q631" s="500">
        <v>-9119</v>
      </c>
      <c r="R631" s="500">
        <v>-29201</v>
      </c>
      <c r="S631" s="500">
        <v>-37731</v>
      </c>
      <c r="T631" s="68"/>
      <c r="U631" s="500">
        <v>-3425</v>
      </c>
      <c r="V631" s="500">
        <v>-8304</v>
      </c>
      <c r="W631" s="500">
        <v>-16045</v>
      </c>
      <c r="X631" s="500">
        <v>-18869</v>
      </c>
      <c r="Y631" s="68"/>
      <c r="Z631" s="500">
        <v>-21684</v>
      </c>
      <c r="AA631" s="500">
        <v>-24903</v>
      </c>
      <c r="AB631" s="500">
        <v>-29339</v>
      </c>
      <c r="AC631" s="500"/>
      <c r="AD631" s="543"/>
      <c r="AE631" s="67"/>
      <c r="AF631" s="67"/>
      <c r="AG631" s="67"/>
      <c r="AH631" s="67"/>
      <c r="AI631" s="69"/>
      <c r="AJ631" s="67"/>
      <c r="AK631" s="67"/>
      <c r="AL631" s="67"/>
      <c r="AM631" s="67"/>
      <c r="AN631" s="69"/>
      <c r="AO631" s="67"/>
      <c r="AP631" s="67"/>
      <c r="AQ631" s="67"/>
      <c r="AR631" s="67"/>
      <c r="AS631" s="69"/>
    </row>
    <row r="632" spans="1:269" ht="15" outlineLevel="1" thickTop="1">
      <c r="A632" s="143"/>
      <c r="B632" s="143"/>
      <c r="C632" s="277"/>
      <c r="D632" s="277"/>
      <c r="E632" s="277"/>
      <c r="F632" s="143"/>
      <c r="G632" s="278"/>
      <c r="H632" s="278"/>
      <c r="I632" s="278"/>
      <c r="J632" s="277"/>
      <c r="K632" s="143"/>
      <c r="L632" s="278"/>
      <c r="M632" s="278"/>
      <c r="N632" s="278"/>
      <c r="O632" s="277"/>
      <c r="P632" s="278"/>
      <c r="Q632" s="278"/>
      <c r="R632" s="278"/>
      <c r="S632" s="278"/>
      <c r="T632" s="277"/>
      <c r="U632" s="278"/>
      <c r="V632" s="278"/>
      <c r="W632" s="278"/>
      <c r="X632" s="278"/>
      <c r="Y632" s="277"/>
      <c r="Z632" s="66"/>
      <c r="AA632" s="66"/>
      <c r="AB632" s="66"/>
      <c r="AC632" s="66"/>
      <c r="AD632" s="536"/>
      <c r="AE632" s="143"/>
      <c r="AF632" s="143"/>
      <c r="AG632" s="143"/>
      <c r="AH632" s="143"/>
      <c r="AI632" s="279"/>
      <c r="AJ632" s="143"/>
      <c r="AK632" s="143"/>
      <c r="AL632" s="143"/>
      <c r="AM632" s="143"/>
      <c r="AN632" s="279"/>
      <c r="AO632" s="143"/>
      <c r="AP632" s="143"/>
      <c r="AQ632" s="143"/>
      <c r="AR632" s="143"/>
      <c r="AS632" s="279"/>
    </row>
    <row r="633" spans="1:269" outlineLevel="1">
      <c r="A633" s="438" t="s">
        <v>372</v>
      </c>
      <c r="C633" s="61"/>
      <c r="D633" s="61"/>
      <c r="E633" s="61"/>
      <c r="G633" s="66"/>
      <c r="H633" s="66"/>
      <c r="I633" s="66"/>
      <c r="J633" s="61"/>
      <c r="L633" s="66"/>
      <c r="M633" s="66"/>
      <c r="N633" s="66"/>
      <c r="O633" s="61"/>
      <c r="P633" s="66"/>
      <c r="Q633" s="66"/>
      <c r="R633" s="66"/>
      <c r="S633" s="66"/>
      <c r="T633" s="61"/>
      <c r="U633" s="66"/>
      <c r="V633" s="66"/>
      <c r="W633" s="66"/>
      <c r="X633" s="66"/>
      <c r="Y633" s="61"/>
      <c r="Z633" s="66"/>
      <c r="AA633" s="66"/>
      <c r="AB633" s="66"/>
      <c r="AC633" s="66"/>
      <c r="AD633" s="537"/>
    </row>
    <row r="634" spans="1:269" outlineLevel="1">
      <c r="A634" s="58" t="s">
        <v>373</v>
      </c>
      <c r="C634" s="61"/>
      <c r="D634" s="61"/>
      <c r="E634" s="61"/>
      <c r="G634" s="66"/>
      <c r="H634" s="66">
        <v>0</v>
      </c>
      <c r="I634" s="66"/>
      <c r="J634" s="61"/>
      <c r="L634" s="66"/>
      <c r="M634" s="66">
        <v>0</v>
      </c>
      <c r="N634" s="66"/>
      <c r="O634" s="61"/>
      <c r="P634" s="66"/>
      <c r="Q634" s="66"/>
      <c r="R634" s="66">
        <v>750000</v>
      </c>
      <c r="S634" s="66"/>
      <c r="T634" s="61"/>
      <c r="U634" s="66"/>
      <c r="V634" s="66"/>
      <c r="W634" s="66"/>
      <c r="X634" s="66"/>
      <c r="Y634" s="61"/>
      <c r="Z634" s="66"/>
      <c r="AA634" s="66"/>
      <c r="AB634" s="66"/>
      <c r="AC634" s="66"/>
      <c r="AD634" s="537"/>
    </row>
    <row r="635" spans="1:269" outlineLevel="1">
      <c r="A635" s="58" t="s">
        <v>374</v>
      </c>
      <c r="C635" s="61"/>
      <c r="D635" s="61"/>
      <c r="E635" s="61"/>
      <c r="G635" s="66"/>
      <c r="H635" s="66">
        <v>0</v>
      </c>
      <c r="I635" s="66"/>
      <c r="J635" s="61"/>
      <c r="L635" s="66"/>
      <c r="M635" s="66">
        <v>0</v>
      </c>
      <c r="N635" s="66"/>
      <c r="O635" s="61"/>
      <c r="P635" s="66"/>
      <c r="Q635" s="66"/>
      <c r="R635" s="66">
        <v>-90150</v>
      </c>
      <c r="S635" s="66"/>
      <c r="T635" s="61"/>
      <c r="U635" s="66"/>
      <c r="V635" s="66"/>
      <c r="W635" s="66"/>
      <c r="X635" s="66"/>
      <c r="Y635" s="61"/>
      <c r="Z635" s="66"/>
      <c r="AA635" s="532">
        <v>-2240</v>
      </c>
      <c r="AB635" s="532">
        <v>-2240</v>
      </c>
      <c r="AC635" s="66"/>
      <c r="AD635" s="537"/>
    </row>
    <row r="636" spans="1:269" outlineLevel="1">
      <c r="A636" s="58" t="s">
        <v>375</v>
      </c>
      <c r="C636" s="61"/>
      <c r="D636" s="61"/>
      <c r="E636" s="61"/>
      <c r="G636" s="66"/>
      <c r="H636" s="66"/>
      <c r="I636" s="66"/>
      <c r="J636" s="61"/>
      <c r="L636" s="66"/>
      <c r="M636" s="66"/>
      <c r="N636" s="66"/>
      <c r="O636" s="61"/>
      <c r="P636" s="66">
        <v>0</v>
      </c>
      <c r="Q636" s="66"/>
      <c r="R636" s="66"/>
      <c r="S636" s="66"/>
      <c r="T636" s="61"/>
      <c r="U636" s="66">
        <v>-783</v>
      </c>
      <c r="V636" s="66"/>
      <c r="W636" s="66"/>
      <c r="X636" s="66"/>
      <c r="Y636" s="61"/>
      <c r="Z636" s="66"/>
      <c r="AA636" s="66"/>
      <c r="AB636" s="66"/>
      <c r="AC636" s="66"/>
      <c r="AD636" s="537"/>
    </row>
    <row r="637" spans="1:269" outlineLevel="1">
      <c r="A637" s="58" t="s">
        <v>376</v>
      </c>
      <c r="C637" s="61"/>
      <c r="D637" s="61"/>
      <c r="E637" s="61"/>
      <c r="G637" s="66"/>
      <c r="H637" s="66"/>
      <c r="I637" s="66"/>
      <c r="J637" s="61"/>
      <c r="L637" s="66"/>
      <c r="M637" s="66"/>
      <c r="N637" s="66"/>
      <c r="O637" s="61"/>
      <c r="P637" s="66"/>
      <c r="Q637" s="66">
        <v>0</v>
      </c>
      <c r="R637" s="66"/>
      <c r="S637" s="66"/>
      <c r="T637" s="61"/>
      <c r="U637" s="66"/>
      <c r="V637" s="66">
        <v>-2763</v>
      </c>
      <c r="W637" s="66"/>
      <c r="X637" s="66"/>
      <c r="Y637" s="61"/>
      <c r="Z637" s="66"/>
      <c r="AA637" s="66"/>
      <c r="AB637" s="532">
        <v>-1819</v>
      </c>
      <c r="AC637" s="66"/>
      <c r="AD637" s="537"/>
    </row>
    <row r="638" spans="1:269" outlineLevel="1">
      <c r="A638" s="58" t="s">
        <v>377</v>
      </c>
      <c r="C638" s="61"/>
      <c r="D638" s="61"/>
      <c r="E638" s="61"/>
      <c r="G638" s="66">
        <v>6500</v>
      </c>
      <c r="H638" s="66">
        <v>6500</v>
      </c>
      <c r="I638" s="66"/>
      <c r="J638" s="61"/>
      <c r="L638" s="66">
        <v>6500</v>
      </c>
      <c r="M638" s="66">
        <v>6500</v>
      </c>
      <c r="N638" s="66"/>
      <c r="O638" s="61"/>
      <c r="P638" s="66">
        <v>5000</v>
      </c>
      <c r="Q638" s="66">
        <v>5000</v>
      </c>
      <c r="R638" s="66">
        <v>5000</v>
      </c>
      <c r="S638" s="66"/>
      <c r="T638" s="61"/>
      <c r="U638" s="66">
        <v>0</v>
      </c>
      <c r="V638" s="66">
        <v>0</v>
      </c>
      <c r="W638" s="66"/>
      <c r="X638" s="66"/>
      <c r="Y638" s="61"/>
      <c r="Z638" s="66"/>
      <c r="AA638" s="66"/>
      <c r="AB638" s="66"/>
      <c r="AC638" s="66"/>
      <c r="AD638" s="537"/>
    </row>
    <row r="639" spans="1:269" outlineLevel="1">
      <c r="A639" s="58" t="s">
        <v>378</v>
      </c>
      <c r="C639" s="61"/>
      <c r="D639" s="61"/>
      <c r="E639" s="61"/>
      <c r="G639" s="66">
        <v>-15000</v>
      </c>
      <c r="H639" s="66">
        <v>-15000</v>
      </c>
      <c r="I639" s="66"/>
      <c r="J639" s="61"/>
      <c r="L639" s="66">
        <v>-15000</v>
      </c>
      <c r="M639" s="66">
        <v>-15000</v>
      </c>
      <c r="N639" s="66"/>
      <c r="O639" s="61"/>
      <c r="P639" s="66"/>
      <c r="Q639" s="66">
        <v>-5000</v>
      </c>
      <c r="R639" s="66">
        <v>-5000</v>
      </c>
      <c r="S639" s="66"/>
      <c r="T639" s="61"/>
      <c r="U639" s="66"/>
      <c r="V639" s="66">
        <v>0</v>
      </c>
      <c r="W639" s="66"/>
      <c r="X639" s="66"/>
      <c r="Y639" s="61"/>
      <c r="Z639" s="66"/>
      <c r="AA639" s="66"/>
      <c r="AB639" s="66"/>
      <c r="AC639" s="66"/>
      <c r="AD639" s="537"/>
    </row>
    <row r="640" spans="1:269" outlineLevel="1">
      <c r="A640" s="58" t="s">
        <v>379</v>
      </c>
      <c r="C640" s="61"/>
      <c r="D640" s="61"/>
      <c r="E640" s="61"/>
      <c r="G640" s="66">
        <v>30000</v>
      </c>
      <c r="H640" s="66">
        <v>30000</v>
      </c>
      <c r="I640" s="66"/>
      <c r="J640" s="61"/>
      <c r="L640" s="66">
        <v>30000</v>
      </c>
      <c r="M640" s="66">
        <v>30000</v>
      </c>
      <c r="N640" s="66"/>
      <c r="O640" s="61"/>
      <c r="P640" s="66"/>
      <c r="Q640" s="66">
        <v>0</v>
      </c>
      <c r="R640" s="66">
        <v>0</v>
      </c>
      <c r="S640" s="66"/>
      <c r="T640" s="61"/>
      <c r="U640" s="66"/>
      <c r="V640" s="66"/>
      <c r="W640" s="66"/>
      <c r="X640" s="66"/>
      <c r="Y640" s="61"/>
      <c r="Z640" s="66"/>
      <c r="AA640" s="66"/>
      <c r="AB640" s="66"/>
      <c r="AC640" s="66"/>
      <c r="AD640" s="537"/>
    </row>
    <row r="641" spans="1:45" outlineLevel="1">
      <c r="A641" s="58" t="s">
        <v>380</v>
      </c>
      <c r="C641" s="61"/>
      <c r="D641" s="61"/>
      <c r="E641" s="61"/>
      <c r="G641" s="66">
        <v>-77</v>
      </c>
      <c r="H641" s="66">
        <v>-77</v>
      </c>
      <c r="I641" s="66"/>
      <c r="J641" s="61"/>
      <c r="L641" s="66">
        <v>-77</v>
      </c>
      <c r="M641" s="66">
        <v>-77</v>
      </c>
      <c r="N641" s="66"/>
      <c r="O641" s="61"/>
      <c r="P641" s="66"/>
      <c r="Q641" s="66">
        <v>0</v>
      </c>
      <c r="R641" s="66">
        <v>-21341</v>
      </c>
      <c r="S641" s="66"/>
      <c r="T641" s="61"/>
      <c r="U641" s="66"/>
      <c r="V641" s="66"/>
      <c r="W641" s="66"/>
      <c r="X641" s="66"/>
      <c r="Y641" s="61"/>
      <c r="Z641" s="66"/>
      <c r="AA641" s="66"/>
      <c r="AB641" s="66"/>
      <c r="AC641" s="66"/>
      <c r="AD641" s="537"/>
    </row>
    <row r="642" spans="1:45" outlineLevel="1">
      <c r="A642" s="58" t="s">
        <v>381</v>
      </c>
      <c r="C642" s="61"/>
      <c r="D642" s="61"/>
      <c r="E642" s="61"/>
      <c r="G642" s="66">
        <v>-886</v>
      </c>
      <c r="H642" s="66">
        <v>-1329</v>
      </c>
      <c r="I642" s="66"/>
      <c r="J642" s="61"/>
      <c r="L642" s="66">
        <v>-886</v>
      </c>
      <c r="M642" s="66">
        <v>-1329</v>
      </c>
      <c r="N642" s="66"/>
      <c r="O642" s="61"/>
      <c r="P642" s="66">
        <v>-443</v>
      </c>
      <c r="Q642" s="66">
        <v>-225487</v>
      </c>
      <c r="R642" s="66">
        <v>-225486</v>
      </c>
      <c r="S642" s="66"/>
      <c r="T642" s="61"/>
      <c r="U642" s="66">
        <v>0</v>
      </c>
      <c r="V642" s="66">
        <v>0</v>
      </c>
      <c r="W642" s="66"/>
      <c r="X642" s="66"/>
      <c r="Y642" s="61"/>
      <c r="Z642" s="66"/>
      <c r="AA642" s="66"/>
      <c r="AB642" s="66"/>
      <c r="AC642" s="66"/>
      <c r="AD642" s="537"/>
    </row>
    <row r="643" spans="1:45" outlineLevel="1">
      <c r="A643" s="58" t="s">
        <v>382</v>
      </c>
      <c r="C643" s="61"/>
      <c r="D643" s="61"/>
      <c r="E643" s="61"/>
      <c r="G643" s="66"/>
      <c r="H643" s="66"/>
      <c r="I643" s="66"/>
      <c r="J643" s="61"/>
      <c r="L643" s="66"/>
      <c r="M643" s="66"/>
      <c r="N643" s="66"/>
      <c r="O643" s="61"/>
      <c r="P643" s="66">
        <v>-180</v>
      </c>
      <c r="Q643" s="66"/>
      <c r="R643" s="66"/>
      <c r="S643" s="66"/>
      <c r="T643" s="61"/>
      <c r="U643" s="66">
        <v>0</v>
      </c>
      <c r="V643" s="66"/>
      <c r="W643" s="66"/>
      <c r="X643" s="66"/>
      <c r="Y643" s="61"/>
      <c r="Z643" s="278"/>
      <c r="AA643" s="278"/>
      <c r="AB643" s="278"/>
      <c r="AC643" s="66"/>
      <c r="AD643" s="537"/>
    </row>
    <row r="644" spans="1:45" outlineLevel="1">
      <c r="A644" s="58" t="s">
        <v>400</v>
      </c>
      <c r="C644" s="61"/>
      <c r="D644" s="61"/>
      <c r="E644" s="61"/>
      <c r="G644" s="66"/>
      <c r="H644" s="66"/>
      <c r="I644" s="66"/>
      <c r="J644" s="61"/>
      <c r="L644" s="66"/>
      <c r="M644" s="66"/>
      <c r="N644" s="66"/>
      <c r="O644" s="61"/>
      <c r="P644" s="66"/>
      <c r="Q644" s="66"/>
      <c r="R644" s="66"/>
      <c r="S644" s="66"/>
      <c r="T644" s="61"/>
      <c r="U644" s="66"/>
      <c r="V644" s="66"/>
      <c r="W644" s="66"/>
      <c r="X644" s="66"/>
      <c r="Y644" s="61"/>
      <c r="Z644" s="66">
        <v>-2195</v>
      </c>
      <c r="AA644" s="66">
        <v>-2083</v>
      </c>
      <c r="AB644" s="66">
        <v>-2388</v>
      </c>
      <c r="AC644" s="66"/>
      <c r="AD644" s="537"/>
    </row>
    <row r="645" spans="1:45" ht="15" outlineLevel="1" thickBot="1">
      <c r="A645" s="530" t="s">
        <v>383</v>
      </c>
      <c r="B645" s="67"/>
      <c r="C645" s="68"/>
      <c r="D645" s="68"/>
      <c r="E645" s="68"/>
      <c r="F645" s="67"/>
      <c r="G645" s="500">
        <v>20537</v>
      </c>
      <c r="H645" s="500">
        <v>19193</v>
      </c>
      <c r="I645" s="500"/>
      <c r="J645" s="68"/>
      <c r="K645" s="67"/>
      <c r="L645" s="500">
        <v>20537</v>
      </c>
      <c r="M645" s="500">
        <v>19193</v>
      </c>
      <c r="N645" s="500"/>
      <c r="O645" s="68"/>
      <c r="P645" s="500">
        <v>4377</v>
      </c>
      <c r="Q645" s="500">
        <v>133049</v>
      </c>
      <c r="R645" s="500">
        <v>770825</v>
      </c>
      <c r="S645" s="500"/>
      <c r="T645" s="68"/>
      <c r="U645" s="500">
        <v>-783</v>
      </c>
      <c r="V645" s="500">
        <v>-2763</v>
      </c>
      <c r="W645" s="500"/>
      <c r="X645" s="500"/>
      <c r="Y645" s="68"/>
      <c r="Z645" s="533">
        <v>-2195</v>
      </c>
      <c r="AA645" s="533">
        <v>-3741</v>
      </c>
      <c r="AB645" s="533">
        <v>-6091</v>
      </c>
      <c r="AC645" s="500"/>
      <c r="AD645" s="543"/>
      <c r="AE645" s="67"/>
      <c r="AF645" s="67"/>
      <c r="AG645" s="67"/>
      <c r="AH645" s="67"/>
      <c r="AI645" s="69"/>
      <c r="AJ645" s="67"/>
      <c r="AK645" s="67"/>
      <c r="AL645" s="67"/>
      <c r="AM645" s="67"/>
      <c r="AN645" s="69"/>
      <c r="AO645" s="67"/>
      <c r="AP645" s="67"/>
      <c r="AQ645" s="67"/>
      <c r="AR645" s="67"/>
      <c r="AS645" s="69"/>
    </row>
    <row r="646" spans="1:45" ht="15" outlineLevel="1" thickTop="1">
      <c r="A646" s="58"/>
      <c r="C646" s="61"/>
      <c r="D646" s="61"/>
      <c r="E646" s="61"/>
      <c r="G646" s="66"/>
      <c r="H646" s="66"/>
      <c r="I646" s="66"/>
      <c r="J646" s="61"/>
      <c r="L646" s="66"/>
      <c r="M646" s="66"/>
      <c r="N646" s="66"/>
      <c r="O646" s="61"/>
      <c r="P646" s="66"/>
      <c r="Q646" s="66"/>
      <c r="R646" s="66"/>
      <c r="S646" s="66"/>
      <c r="T646" s="61"/>
      <c r="U646" s="66"/>
      <c r="V646" s="66"/>
      <c r="W646" s="66"/>
      <c r="X646" s="66"/>
      <c r="Y646" s="61"/>
      <c r="Z646" s="66"/>
      <c r="AA646" s="66"/>
      <c r="AB646" s="66"/>
      <c r="AC646" s="66"/>
      <c r="AD646" s="537"/>
    </row>
    <row r="647" spans="1:45" outlineLevel="1">
      <c r="A647" s="58" t="s">
        <v>384</v>
      </c>
      <c r="C647" s="61"/>
      <c r="D647" s="61"/>
      <c r="E647" s="61"/>
      <c r="G647" s="66">
        <v>0</v>
      </c>
      <c r="H647" s="66">
        <v>0</v>
      </c>
      <c r="I647" s="66"/>
      <c r="J647" s="61"/>
      <c r="L647" s="66">
        <v>0</v>
      </c>
      <c r="M647" s="66">
        <v>0</v>
      </c>
      <c r="N647" s="66"/>
      <c r="O647" s="61"/>
      <c r="P647" s="66"/>
      <c r="Q647" s="66">
        <v>358536</v>
      </c>
      <c r="R647" s="66">
        <v>357802</v>
      </c>
      <c r="S647" s="66"/>
      <c r="T647" s="61"/>
      <c r="U647" s="66"/>
      <c r="V647" s="66">
        <v>0</v>
      </c>
      <c r="W647" s="66"/>
      <c r="X647" s="66"/>
      <c r="Y647" s="61"/>
      <c r="Z647" s="66"/>
      <c r="AA647" s="66"/>
      <c r="AB647" s="66"/>
      <c r="AC647" s="66"/>
      <c r="AD647" s="537"/>
    </row>
    <row r="648" spans="1:45" outlineLevel="1">
      <c r="A648" s="58" t="s">
        <v>385</v>
      </c>
      <c r="C648" s="61"/>
      <c r="D648" s="61"/>
      <c r="E648" s="61"/>
      <c r="G648" s="66"/>
      <c r="H648" s="66">
        <v>-901</v>
      </c>
      <c r="I648" s="66"/>
      <c r="J648" s="61"/>
      <c r="L648" s="66"/>
      <c r="M648" s="66">
        <v>-901</v>
      </c>
      <c r="N648" s="66"/>
      <c r="O648" s="61"/>
      <c r="P648" s="66"/>
      <c r="Q648" s="66"/>
      <c r="R648" s="66">
        <v>0</v>
      </c>
      <c r="S648" s="66"/>
      <c r="T648" s="61"/>
      <c r="U648" s="66"/>
      <c r="V648" s="66"/>
      <c r="W648" s="66"/>
      <c r="X648" s="66"/>
      <c r="Y648" s="61"/>
      <c r="Z648" s="66"/>
      <c r="AA648" s="66"/>
      <c r="AB648" s="66"/>
      <c r="AC648" s="66"/>
      <c r="AD648" s="537"/>
    </row>
    <row r="649" spans="1:45" outlineLevel="1">
      <c r="A649" s="58" t="s">
        <v>386</v>
      </c>
      <c r="C649" s="61"/>
      <c r="D649" s="61"/>
      <c r="E649" s="61"/>
      <c r="G649" s="66">
        <v>7479</v>
      </c>
      <c r="H649" s="66">
        <v>4471</v>
      </c>
      <c r="I649" s="66">
        <f>I653-I652</f>
        <v>-7307</v>
      </c>
      <c r="J649" s="61"/>
      <c r="L649" s="66">
        <v>7479</v>
      </c>
      <c r="M649" s="66">
        <v>4471</v>
      </c>
      <c r="N649" s="66">
        <f>N653-N652</f>
        <v>2179</v>
      </c>
      <c r="O649" s="61"/>
      <c r="P649" s="66">
        <v>4650</v>
      </c>
      <c r="Q649" s="66">
        <v>91992</v>
      </c>
      <c r="R649" s="66">
        <v>709984</v>
      </c>
      <c r="S649" s="66">
        <f>S653-S652</f>
        <v>892400</v>
      </c>
      <c r="T649" s="61"/>
      <c r="U649" s="66">
        <v>-42679</v>
      </c>
      <c r="V649" s="66">
        <v>-80873</v>
      </c>
      <c r="W649" s="66">
        <f>W653-W652</f>
        <v>-217678</v>
      </c>
      <c r="X649" s="66">
        <f>X653-X652</f>
        <v>-333689</v>
      </c>
      <c r="Y649" s="61"/>
      <c r="Z649" s="532">
        <v>-36889</v>
      </c>
      <c r="AA649" s="532">
        <v>-19688</v>
      </c>
      <c r="AB649" s="532">
        <v>-8510</v>
      </c>
      <c r="AC649" s="66"/>
      <c r="AD649" s="537"/>
    </row>
    <row r="650" spans="1:45" outlineLevel="1">
      <c r="A650" s="58"/>
      <c r="C650" s="61"/>
      <c r="D650" s="61"/>
      <c r="E650" s="61"/>
      <c r="G650" s="66"/>
      <c r="H650" s="66"/>
      <c r="I650" s="66"/>
      <c r="J650" s="61"/>
      <c r="L650" s="66"/>
      <c r="M650" s="66"/>
      <c r="N650" s="66"/>
      <c r="O650" s="61"/>
      <c r="P650" s="66"/>
      <c r="Q650" s="66"/>
      <c r="R650" s="66"/>
      <c r="S650" s="66"/>
      <c r="T650" s="61"/>
      <c r="U650" s="66"/>
      <c r="V650" s="66"/>
      <c r="W650" s="66"/>
      <c r="X650" s="66"/>
      <c r="Y650" s="61"/>
      <c r="Z650" s="532"/>
      <c r="AA650" s="532"/>
      <c r="AB650" s="532"/>
      <c r="AC650" s="66"/>
      <c r="AD650" s="537"/>
    </row>
    <row r="651" spans="1:45" outlineLevel="1">
      <c r="A651" s="58" t="s">
        <v>387</v>
      </c>
      <c r="C651" s="61"/>
      <c r="D651" s="61"/>
      <c r="E651" s="61"/>
      <c r="G651" s="66">
        <v>-164</v>
      </c>
      <c r="H651" s="66">
        <v>70</v>
      </c>
      <c r="J651" s="61"/>
      <c r="L651" s="66">
        <v>-164</v>
      </c>
      <c r="M651" s="66">
        <v>70</v>
      </c>
      <c r="O651" s="61"/>
      <c r="P651" s="66">
        <v>-21</v>
      </c>
      <c r="Q651" s="66">
        <v>-11</v>
      </c>
      <c r="R651" s="66">
        <v>-848</v>
      </c>
      <c r="T651" s="61"/>
      <c r="U651" s="66">
        <v>30</v>
      </c>
      <c r="V651" s="66">
        <v>-43</v>
      </c>
      <c r="W651" s="66">
        <v>2337</v>
      </c>
      <c r="Y651" s="61"/>
      <c r="Z651" s="66">
        <v>974</v>
      </c>
      <c r="AA651" s="66">
        <v>1219</v>
      </c>
      <c r="AB651" s="66">
        <v>-243</v>
      </c>
      <c r="AC651" s="66"/>
      <c r="AD651" s="537"/>
    </row>
    <row r="652" spans="1:45" outlineLevel="1">
      <c r="A652" s="58" t="s">
        <v>388</v>
      </c>
      <c r="C652" s="61"/>
      <c r="D652" s="61"/>
      <c r="E652" s="61"/>
      <c r="G652" s="66">
        <v>7307</v>
      </c>
      <c r="H652" s="66">
        <v>7307</v>
      </c>
      <c r="I652" s="66">
        <f>H652</f>
        <v>7307</v>
      </c>
      <c r="J652" s="61"/>
      <c r="L652" s="66">
        <v>7307</v>
      </c>
      <c r="M652" s="66">
        <v>7307</v>
      </c>
      <c r="N652" s="66">
        <f>M652</f>
        <v>7307</v>
      </c>
      <c r="O652" s="61"/>
      <c r="P652" s="66">
        <v>9486</v>
      </c>
      <c r="Q652" s="66">
        <v>9486</v>
      </c>
      <c r="R652" s="66">
        <v>9486</v>
      </c>
      <c r="S652" s="66">
        <f>R652</f>
        <v>9486</v>
      </c>
      <c r="T652" s="61"/>
      <c r="U652" s="66">
        <v>901886</v>
      </c>
      <c r="V652" s="66">
        <v>901886</v>
      </c>
      <c r="W652" s="66">
        <v>901886</v>
      </c>
      <c r="X652" s="66">
        <v>901886</v>
      </c>
      <c r="Y652" s="61"/>
      <c r="Z652" s="66">
        <v>568197</v>
      </c>
      <c r="AA652" s="66">
        <v>568197</v>
      </c>
      <c r="AB652" s="66">
        <v>568197</v>
      </c>
      <c r="AC652" s="66"/>
      <c r="AD652" s="537"/>
    </row>
    <row r="653" spans="1:45" outlineLevel="1">
      <c r="A653" s="58" t="s">
        <v>389</v>
      </c>
      <c r="C653" s="61"/>
      <c r="D653" s="61"/>
      <c r="E653" s="61"/>
      <c r="G653" s="66">
        <v>14622</v>
      </c>
      <c r="H653" s="66">
        <v>11848</v>
      </c>
      <c r="I653" s="66">
        <f>K652</f>
        <v>0</v>
      </c>
      <c r="J653" s="61"/>
      <c r="L653" s="66">
        <v>14622</v>
      </c>
      <c r="M653" s="66">
        <v>11848</v>
      </c>
      <c r="N653" s="66">
        <f>P652</f>
        <v>9486</v>
      </c>
      <c r="O653" s="61"/>
      <c r="P653" s="66">
        <v>14115</v>
      </c>
      <c r="Q653" s="66">
        <v>101467</v>
      </c>
      <c r="R653" s="66">
        <v>718622</v>
      </c>
      <c r="S653" s="66">
        <f>U652</f>
        <v>901886</v>
      </c>
      <c r="T653" s="61"/>
      <c r="U653" s="66">
        <v>859237</v>
      </c>
      <c r="V653" s="66">
        <v>820970</v>
      </c>
      <c r="W653" s="66">
        <v>684208</v>
      </c>
      <c r="X653" s="66">
        <v>568197</v>
      </c>
      <c r="Y653" s="61"/>
      <c r="Z653" s="66">
        <v>532282</v>
      </c>
      <c r="AA653" s="66">
        <v>549728</v>
      </c>
      <c r="AB653" s="66">
        <v>559444</v>
      </c>
      <c r="AC653" s="66"/>
      <c r="AD653" s="537"/>
    </row>
    <row r="654" spans="1:45" outlineLevel="1">
      <c r="A654" s="58"/>
      <c r="C654" s="61"/>
      <c r="D654" s="61"/>
      <c r="E654" s="61"/>
      <c r="G654" s="66"/>
      <c r="H654" s="66"/>
      <c r="I654" s="66"/>
      <c r="J654" s="61"/>
      <c r="L654" s="66"/>
      <c r="M654" s="66"/>
      <c r="N654" s="66"/>
      <c r="O654" s="61"/>
      <c r="P654" s="66"/>
      <c r="Q654" s="66"/>
      <c r="R654" s="66"/>
      <c r="S654" s="66"/>
      <c r="T654" s="61"/>
      <c r="U654" s="66"/>
      <c r="V654" s="66"/>
      <c r="W654" s="66"/>
      <c r="X654" s="66"/>
      <c r="Y654" s="61"/>
      <c r="Z654" s="66"/>
      <c r="AA654" s="66"/>
      <c r="AB654" s="66"/>
      <c r="AC654" s="66"/>
      <c r="AD654" s="537"/>
    </row>
    <row r="655" spans="1:45" outlineLevel="1">
      <c r="A655" s="528" t="s">
        <v>390</v>
      </c>
      <c r="C655" s="61"/>
      <c r="D655" s="61"/>
      <c r="E655" s="61"/>
      <c r="G655" s="66"/>
      <c r="H655" s="66"/>
      <c r="I655" s="66"/>
      <c r="J655" s="61"/>
      <c r="L655" s="66"/>
      <c r="M655" s="66"/>
      <c r="N655" s="66"/>
      <c r="O655" s="61"/>
      <c r="P655" s="66"/>
      <c r="Q655" s="66"/>
      <c r="R655" s="66"/>
      <c r="S655" s="66"/>
      <c r="T655" s="61"/>
      <c r="U655" s="66"/>
      <c r="V655" s="66"/>
      <c r="W655" s="66"/>
      <c r="X655" s="66"/>
      <c r="Y655" s="61"/>
      <c r="Z655" s="66"/>
      <c r="AA655" s="66"/>
      <c r="AB655" s="66"/>
      <c r="AC655" s="66"/>
      <c r="AD655" s="537"/>
    </row>
    <row r="656" spans="1:45" outlineLevel="1">
      <c r="A656" s="58" t="s">
        <v>391</v>
      </c>
      <c r="C656" s="61"/>
      <c r="D656" s="61"/>
      <c r="E656" s="61"/>
      <c r="G656" s="66">
        <v>7261</v>
      </c>
      <c r="H656" s="66"/>
      <c r="I656" s="66"/>
      <c r="J656" s="61"/>
      <c r="L656" s="66">
        <v>7261</v>
      </c>
      <c r="M656" s="66"/>
      <c r="N656" s="66"/>
      <c r="O656" s="61"/>
      <c r="P656" s="66"/>
      <c r="Q656" s="66">
        <v>10249</v>
      </c>
      <c r="R656" s="66"/>
      <c r="S656" s="66"/>
      <c r="T656" s="61"/>
      <c r="U656" s="66"/>
      <c r="V656" s="66"/>
      <c r="W656" s="66"/>
      <c r="X656" s="66"/>
      <c r="Y656" s="61"/>
      <c r="Z656" s="66"/>
      <c r="AA656" s="66"/>
      <c r="AB656" s="66"/>
      <c r="AC656" s="66"/>
      <c r="AD656" s="537"/>
    </row>
    <row r="657" spans="1:30" outlineLevel="1">
      <c r="A657" s="58" t="s">
        <v>392</v>
      </c>
      <c r="C657" s="61"/>
      <c r="D657" s="61"/>
      <c r="E657" s="61"/>
      <c r="G657" s="66">
        <v>97</v>
      </c>
      <c r="H657" s="66"/>
      <c r="I657" s="66"/>
      <c r="J657" s="61"/>
      <c r="L657" s="66">
        <v>97</v>
      </c>
      <c r="M657" s="66"/>
      <c r="N657" s="66"/>
      <c r="O657" s="61"/>
      <c r="P657" s="66"/>
      <c r="Q657" s="66">
        <v>96</v>
      </c>
      <c r="R657" s="66"/>
      <c r="S657" s="66"/>
      <c r="T657" s="61"/>
      <c r="U657" s="66"/>
      <c r="V657" s="66"/>
      <c r="W657" s="66"/>
      <c r="X657" s="66"/>
      <c r="Y657" s="61"/>
      <c r="Z657" s="66"/>
      <c r="AA657" s="66"/>
      <c r="AB657" s="66"/>
      <c r="AC657" s="66"/>
      <c r="AD657" s="537"/>
    </row>
    <row r="658" spans="1:30" outlineLevel="1">
      <c r="A658" s="58" t="s">
        <v>393</v>
      </c>
      <c r="C658" s="61"/>
      <c r="D658" s="61"/>
      <c r="E658" s="61"/>
      <c r="G658" s="66">
        <v>1242</v>
      </c>
      <c r="H658" s="66"/>
      <c r="I658" s="66"/>
      <c r="J658" s="61"/>
      <c r="L658" s="66">
        <v>1242</v>
      </c>
      <c r="M658" s="66"/>
      <c r="N658" s="66"/>
      <c r="O658" s="61"/>
      <c r="P658" s="66"/>
      <c r="Q658" s="66">
        <v>1440</v>
      </c>
      <c r="R658" s="66"/>
      <c r="S658" s="66"/>
      <c r="T658" s="61"/>
      <c r="U658" s="66"/>
      <c r="V658" s="66"/>
      <c r="W658" s="66"/>
      <c r="X658" s="66"/>
      <c r="Y658" s="61"/>
      <c r="Z658" s="66"/>
      <c r="AA658" s="66"/>
      <c r="AB658" s="66"/>
      <c r="AC658" s="66"/>
      <c r="AD658" s="537"/>
    </row>
    <row r="659" spans="1:30" outlineLevel="1">
      <c r="A659" s="58" t="s">
        <v>394</v>
      </c>
      <c r="C659" s="61"/>
      <c r="D659" s="61"/>
      <c r="E659" s="61"/>
      <c r="G659" s="66">
        <v>0</v>
      </c>
      <c r="H659" s="66"/>
      <c r="I659" s="66"/>
      <c r="J659" s="61"/>
      <c r="L659" s="66">
        <v>0</v>
      </c>
      <c r="M659" s="66"/>
      <c r="N659" s="66"/>
      <c r="O659" s="61"/>
      <c r="P659" s="66"/>
      <c r="Q659" s="66">
        <v>90</v>
      </c>
      <c r="R659" s="66"/>
      <c r="S659" s="66"/>
      <c r="T659" s="61"/>
      <c r="U659" s="66"/>
      <c r="V659" s="66"/>
      <c r="W659" s="66"/>
      <c r="X659" s="66"/>
      <c r="Y659" s="61"/>
      <c r="Z659" s="66"/>
      <c r="AA659" s="66"/>
      <c r="AB659" s="66"/>
      <c r="AC659" s="66"/>
      <c r="AD659" s="537"/>
    </row>
    <row r="660" spans="1:30" outlineLevel="1">
      <c r="C660" s="61"/>
      <c r="D660" s="61"/>
      <c r="E660" s="61"/>
      <c r="G660" s="66"/>
      <c r="H660" s="66"/>
      <c r="I660" s="66"/>
      <c r="J660" s="61"/>
      <c r="L660" s="66"/>
      <c r="M660" s="66"/>
      <c r="N660" s="66"/>
      <c r="O660" s="61"/>
      <c r="P660" s="66"/>
      <c r="Q660" s="66"/>
      <c r="R660" s="66"/>
      <c r="S660" s="66"/>
      <c r="T660" s="61"/>
      <c r="U660" s="66"/>
      <c r="V660" s="66"/>
      <c r="W660" s="66"/>
      <c r="X660" s="66"/>
      <c r="Y660" s="61"/>
      <c r="Z660" s="66"/>
      <c r="AA660" s="66"/>
      <c r="AB660" s="66"/>
      <c r="AC660" s="66"/>
      <c r="AD660" s="537"/>
    </row>
  </sheetData>
  <conditionalFormatting sqref="AE11:AH12">
    <cfRule type="colorScale" priority="6">
      <colorScale>
        <cfvo type="min"/>
        <cfvo type="percentile" val="50"/>
        <cfvo type="max"/>
        <color rgb="FFF8696B"/>
        <color rgb="FFFFEB84"/>
        <color rgb="FF63BE7B"/>
      </colorScale>
    </cfRule>
  </conditionalFormatting>
  <conditionalFormatting sqref="K11:AC12">
    <cfRule type="colorScale" priority="34">
      <colorScale>
        <cfvo type="min"/>
        <cfvo type="percentile" val="50"/>
        <cfvo type="max"/>
        <color rgb="FFF8696B"/>
        <color rgb="FFFFEB84"/>
        <color rgb="FF63BE7B"/>
      </colorScale>
    </cfRule>
  </conditionalFormatting>
  <conditionalFormatting sqref="J11:J12">
    <cfRule type="colorScale" priority="5">
      <colorScale>
        <cfvo type="min"/>
        <cfvo type="percentile" val="50"/>
        <cfvo type="max"/>
        <color rgb="FFF8696B"/>
        <color rgb="FFFFEB84"/>
        <color rgb="FF63BE7B"/>
      </colorScale>
    </cfRule>
  </conditionalFormatting>
  <conditionalFormatting sqref="E11:E12">
    <cfRule type="colorScale" priority="4">
      <colorScale>
        <cfvo type="min"/>
        <cfvo type="percentile" val="50"/>
        <cfvo type="max"/>
        <color rgb="FFF8696B"/>
        <color rgb="FFFFEB84"/>
        <color rgb="FF63BE7B"/>
      </colorScale>
    </cfRule>
  </conditionalFormatting>
  <conditionalFormatting sqref="D11:D12">
    <cfRule type="colorScale" priority="3">
      <colorScale>
        <cfvo type="min"/>
        <cfvo type="percentile" val="50"/>
        <cfvo type="max"/>
        <color rgb="FFF8696B"/>
        <color rgb="FFFFEB84"/>
        <color rgb="FF63BE7B"/>
      </colorScale>
    </cfRule>
  </conditionalFormatting>
  <conditionalFormatting sqref="C11:C12">
    <cfRule type="colorScale" priority="2">
      <colorScale>
        <cfvo type="min"/>
        <cfvo type="percentile" val="50"/>
        <cfvo type="max"/>
        <color rgb="FFF8696B"/>
        <color rgb="FFFFEB84"/>
        <color rgb="FF63BE7B"/>
      </colorScale>
    </cfRule>
  </conditionalFormatting>
  <conditionalFormatting sqref="F11:I12">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verticalDpi="0" r:id="rId1"/>
  <customProperties>
    <customPr name="UniqueWorksheetId" r:id="rId2"/>
  </customProperties>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A34DE-C43E-4ED3-B771-42F1A3BAD21C}">
  <sheetPr>
    <tabColor rgb="FF002060"/>
  </sheetPr>
  <dimension ref="A1"/>
  <sheetViews>
    <sheetView workbookViewId="0">
      <selection activeCell="L47" sqref="L47"/>
    </sheetView>
  </sheetViews>
  <sheetFormatPr defaultRowHeight="14.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38125-A604-4866-967B-5FBEB558F886}">
  <dimension ref="B1:M78"/>
  <sheetViews>
    <sheetView showGridLines="0" workbookViewId="0">
      <selection activeCell="L2" sqref="L2:M13"/>
    </sheetView>
  </sheetViews>
  <sheetFormatPr defaultRowHeight="14.5"/>
  <cols>
    <col min="2" max="2" width="59.81640625" customWidth="1"/>
    <col min="3" max="3" width="11.08984375" customWidth="1"/>
    <col min="4" max="4" width="14.36328125" customWidth="1"/>
    <col min="5" max="5" width="22.26953125" customWidth="1"/>
    <col min="6" max="6" width="2.26953125" customWidth="1"/>
    <col min="7" max="7" width="10.453125" customWidth="1"/>
    <col min="8" max="8" width="17" customWidth="1"/>
    <col min="9" max="9" width="20.90625" customWidth="1"/>
    <col min="12" max="12" width="68.54296875" customWidth="1"/>
    <col min="13" max="13" width="12.36328125" customWidth="1"/>
  </cols>
  <sheetData>
    <row r="1" spans="2:13" ht="15" thickBot="1"/>
    <row r="2" spans="2:13">
      <c r="B2" s="775" t="s">
        <v>751</v>
      </c>
      <c r="C2" s="776" t="s">
        <v>707</v>
      </c>
      <c r="D2" s="776" t="s">
        <v>706</v>
      </c>
      <c r="E2" s="776" t="s">
        <v>708</v>
      </c>
      <c r="F2" s="776"/>
      <c r="G2" s="776" t="s">
        <v>720</v>
      </c>
      <c r="H2" s="776" t="s">
        <v>723</v>
      </c>
      <c r="I2" s="777" t="s">
        <v>721</v>
      </c>
      <c r="L2" s="813" t="s">
        <v>752</v>
      </c>
      <c r="M2" s="814"/>
    </row>
    <row r="3" spans="2:13">
      <c r="B3" s="50" t="s">
        <v>705</v>
      </c>
      <c r="C3" s="144">
        <v>4300</v>
      </c>
      <c r="D3" s="144">
        <v>18.8</v>
      </c>
      <c r="E3" s="144">
        <f>D3*1000*1000/C3</f>
        <v>4372.0930232558139</v>
      </c>
      <c r="F3" s="143"/>
      <c r="G3" s="287">
        <v>25000</v>
      </c>
      <c r="H3" s="144">
        <f>G3-E3</f>
        <v>20627.906976744187</v>
      </c>
      <c r="I3" s="766">
        <f>H3/G3</f>
        <v>0.82511627906976748</v>
      </c>
      <c r="L3" s="804" t="s">
        <v>753</v>
      </c>
      <c r="M3" s="805">
        <f>C8</f>
        <v>7350</v>
      </c>
    </row>
    <row r="4" spans="2:13">
      <c r="B4" s="50" t="s">
        <v>709</v>
      </c>
      <c r="C4" s="144">
        <v>2850</v>
      </c>
      <c r="D4" s="144">
        <v>12.3</v>
      </c>
      <c r="E4" s="144">
        <f t="shared" ref="E4:E6" si="0">D4*1000*1000/C4</f>
        <v>4315.7894736842109</v>
      </c>
      <c r="F4" s="143"/>
      <c r="G4" s="287">
        <v>25000</v>
      </c>
      <c r="H4" s="144">
        <f>G4-E4</f>
        <v>20684.21052631579</v>
      </c>
      <c r="I4" s="766">
        <f>H4/G4</f>
        <v>0.82736842105263164</v>
      </c>
      <c r="L4" s="727" t="s">
        <v>755</v>
      </c>
      <c r="M4" s="805">
        <f>C4</f>
        <v>2850</v>
      </c>
    </row>
    <row r="5" spans="2:13">
      <c r="B5" s="50" t="s">
        <v>710</v>
      </c>
      <c r="C5" s="144">
        <v>4500</v>
      </c>
      <c r="D5" s="144">
        <v>32.1</v>
      </c>
      <c r="E5" s="144">
        <f t="shared" si="0"/>
        <v>7133.333333333333</v>
      </c>
      <c r="F5" s="143"/>
      <c r="G5" s="287">
        <v>25000</v>
      </c>
      <c r="H5" s="144">
        <f>G5-E5</f>
        <v>17866.666666666668</v>
      </c>
      <c r="I5" s="766">
        <f>H5/G5</f>
        <v>0.71466666666666667</v>
      </c>
      <c r="L5" s="727" t="s">
        <v>843</v>
      </c>
      <c r="M5" s="805">
        <f>M3-M4</f>
        <v>4500</v>
      </c>
    </row>
    <row r="6" spans="2:13" ht="15" thickBot="1">
      <c r="B6" s="772" t="s">
        <v>711</v>
      </c>
      <c r="C6" s="769">
        <f>SUM(C3:C5)</f>
        <v>11650</v>
      </c>
      <c r="D6" s="769">
        <f>SUM(D3:D5)</f>
        <v>63.2</v>
      </c>
      <c r="E6" s="769">
        <f t="shared" si="0"/>
        <v>5424.8927038626607</v>
      </c>
      <c r="F6" s="147"/>
      <c r="G6" s="779">
        <v>25000</v>
      </c>
      <c r="H6" s="769">
        <f>G6-E6</f>
        <v>19575.107296137339</v>
      </c>
      <c r="I6" s="778">
        <f>H6/G6</f>
        <v>0.78300429184549358</v>
      </c>
      <c r="L6" s="804"/>
      <c r="M6" s="805"/>
    </row>
    <row r="7" spans="2:13">
      <c r="D7" s="19"/>
      <c r="E7" s="19"/>
      <c r="L7" s="804" t="s">
        <v>754</v>
      </c>
      <c r="M7" s="806">
        <f>AVERAGE(tower!AA106,tower!Z106,tower!X106,tower!W106)</f>
        <v>1736.8742331719748</v>
      </c>
    </row>
    <row r="8" spans="2:13">
      <c r="B8" s="773" t="s">
        <v>727</v>
      </c>
      <c r="C8" s="19">
        <f>C5+C4</f>
        <v>7350</v>
      </c>
      <c r="D8" s="19"/>
      <c r="E8" s="19"/>
      <c r="L8" s="727" t="s">
        <v>756</v>
      </c>
      <c r="M8" s="806">
        <f>M7*M4/1000000</f>
        <v>4.950091564540128</v>
      </c>
    </row>
    <row r="9" spans="2:13">
      <c r="C9" s="19"/>
      <c r="D9" s="19"/>
      <c r="E9" s="19"/>
      <c r="L9" s="727" t="s">
        <v>749</v>
      </c>
      <c r="M9" s="807">
        <f>AVERAGE(tower!AA103,tower!Z103,tower!X103,tower!W103)</f>
        <v>44.974999999999994</v>
      </c>
    </row>
    <row r="10" spans="2:13">
      <c r="C10" s="19"/>
      <c r="D10" s="19"/>
      <c r="E10" s="19"/>
      <c r="L10" s="727" t="s">
        <v>832</v>
      </c>
      <c r="M10" s="808">
        <f>-M8/M9</f>
        <v>-0.11006318097921353</v>
      </c>
    </row>
    <row r="11" spans="2:13">
      <c r="C11" s="19"/>
      <c r="D11" s="19"/>
      <c r="E11" s="19"/>
      <c r="L11" s="804"/>
      <c r="M11" s="809"/>
    </row>
    <row r="12" spans="2:13">
      <c r="B12" s="35" t="s">
        <v>722</v>
      </c>
      <c r="C12" s="19"/>
      <c r="D12" s="19"/>
      <c r="E12" s="19"/>
      <c r="L12" s="804" t="s">
        <v>750</v>
      </c>
      <c r="M12" s="805">
        <f>M5*M7/1000000</f>
        <v>7.8159340492738867</v>
      </c>
    </row>
    <row r="13" spans="2:13" ht="15" thickBot="1">
      <c r="C13" s="19"/>
      <c r="D13" s="19"/>
      <c r="E13" s="19"/>
      <c r="L13" s="812" t="s">
        <v>832</v>
      </c>
      <c r="M13" s="810">
        <f>-M12/M9</f>
        <v>-0.17378396996717926</v>
      </c>
    </row>
    <row r="14" spans="2:13">
      <c r="B14" s="773" t="s">
        <v>712</v>
      </c>
      <c r="C14" s="594">
        <v>25000</v>
      </c>
      <c r="D14" s="19"/>
      <c r="E14" s="19"/>
    </row>
    <row r="15" spans="2:13">
      <c r="B15" s="773" t="s">
        <v>713</v>
      </c>
      <c r="C15" s="598">
        <v>0.6</v>
      </c>
      <c r="D15" s="19"/>
      <c r="E15" s="19"/>
      <c r="L15" s="811" t="s">
        <v>757</v>
      </c>
    </row>
    <row r="16" spans="2:13">
      <c r="B16" s="773" t="s">
        <v>714</v>
      </c>
      <c r="C16" s="19">
        <f>(1-C15)*C14</f>
        <v>10000</v>
      </c>
      <c r="D16" s="19"/>
      <c r="E16" s="19"/>
    </row>
    <row r="17" spans="2:7">
      <c r="B17" s="773"/>
      <c r="C17" s="19"/>
      <c r="D17" s="19"/>
      <c r="E17" s="19"/>
    </row>
    <row r="18" spans="2:7" ht="15" thickBot="1">
      <c r="B18" s="432" t="s">
        <v>715</v>
      </c>
      <c r="C18" s="432" t="s">
        <v>707</v>
      </c>
      <c r="D18" s="432" t="s">
        <v>706</v>
      </c>
      <c r="E18" s="432" t="s">
        <v>708</v>
      </c>
    </row>
    <row r="19" spans="2:7">
      <c r="B19" s="771" t="s">
        <v>705</v>
      </c>
      <c r="C19" s="768">
        <v>4300</v>
      </c>
      <c r="D19" s="768">
        <v>18.8</v>
      </c>
      <c r="E19" s="774">
        <v>8000</v>
      </c>
      <c r="G19" s="651" t="s">
        <v>716</v>
      </c>
    </row>
    <row r="20" spans="2:7">
      <c r="B20" s="50" t="s">
        <v>709</v>
      </c>
      <c r="C20" s="144">
        <v>2850</v>
      </c>
      <c r="D20" s="144">
        <v>12.3</v>
      </c>
      <c r="E20" s="751">
        <f>C16</f>
        <v>10000</v>
      </c>
      <c r="G20" s="651" t="s">
        <v>717</v>
      </c>
    </row>
    <row r="21" spans="2:7">
      <c r="B21" s="50" t="s">
        <v>710</v>
      </c>
      <c r="C21" s="144">
        <v>4500</v>
      </c>
      <c r="D21" s="144">
        <v>32.1</v>
      </c>
      <c r="E21" s="751">
        <f>C16+500</f>
        <v>10500</v>
      </c>
      <c r="G21" s="651" t="s">
        <v>718</v>
      </c>
    </row>
    <row r="22" spans="2:7" ht="15" thickBot="1">
      <c r="B22" s="772" t="s">
        <v>711</v>
      </c>
      <c r="C22" s="769">
        <f>SUM(C19:C21)</f>
        <v>11650</v>
      </c>
      <c r="D22" s="769">
        <f>SUM(D19:D21)</f>
        <v>63.2</v>
      </c>
      <c r="E22" s="770">
        <f t="shared" ref="E20:E22" si="1">D22*1000*1000/C22</f>
        <v>5424.8927038626607</v>
      </c>
    </row>
    <row r="23" spans="2:7">
      <c r="C23" s="19"/>
      <c r="D23" s="19"/>
      <c r="E23" s="19"/>
    </row>
    <row r="24" spans="2:7">
      <c r="C24" s="19"/>
      <c r="D24" s="19"/>
      <c r="E24" s="19"/>
    </row>
    <row r="25" spans="2:7">
      <c r="C25" s="19"/>
      <c r="D25" s="19"/>
      <c r="E25" s="19"/>
    </row>
    <row r="26" spans="2:7">
      <c r="C26" s="19"/>
      <c r="D26" s="19"/>
      <c r="E26" s="19"/>
    </row>
    <row r="27" spans="2:7">
      <c r="C27" s="19"/>
      <c r="D27" s="19"/>
      <c r="E27" s="19"/>
    </row>
    <row r="28" spans="2:7">
      <c r="C28" s="19"/>
      <c r="D28" s="19"/>
      <c r="E28" s="19"/>
    </row>
    <row r="29" spans="2:7">
      <c r="B29" t="s">
        <v>724</v>
      </c>
      <c r="C29" s="19"/>
      <c r="D29" s="19"/>
      <c r="E29" s="19"/>
    </row>
    <row r="30" spans="2:7">
      <c r="B30" s="780" t="s">
        <v>725</v>
      </c>
      <c r="C30" s="767"/>
      <c r="D30" s="767"/>
    </row>
    <row r="31" spans="2:7">
      <c r="B31" s="780" t="s">
        <v>726</v>
      </c>
      <c r="D31" s="19"/>
    </row>
    <row r="35" spans="2:3" ht="15" thickBot="1"/>
    <row r="36" spans="2:3">
      <c r="B36" s="775" t="s">
        <v>813</v>
      </c>
      <c r="C36" s="777"/>
    </row>
    <row r="37" spans="2:3">
      <c r="B37" s="104"/>
      <c r="C37" s="145"/>
    </row>
    <row r="38" spans="2:3">
      <c r="B38" s="104" t="s">
        <v>789</v>
      </c>
      <c r="C38" s="338">
        <v>84</v>
      </c>
    </row>
    <row r="39" spans="2:3">
      <c r="B39" s="104" t="s">
        <v>790</v>
      </c>
      <c r="C39" s="338">
        <v>99</v>
      </c>
    </row>
    <row r="40" spans="2:3">
      <c r="B40" s="104"/>
      <c r="C40" s="338"/>
    </row>
    <row r="41" spans="2:3">
      <c r="B41" s="104" t="s">
        <v>798</v>
      </c>
      <c r="C41" s="831">
        <f>C48+C54</f>
        <v>83.526323796904165</v>
      </c>
    </row>
    <row r="42" spans="2:3">
      <c r="B42" s="104"/>
      <c r="C42" s="338"/>
    </row>
    <row r="43" spans="2:3">
      <c r="B43" s="104" t="s">
        <v>436</v>
      </c>
      <c r="C43" s="338"/>
    </row>
    <row r="44" spans="2:3">
      <c r="B44" s="50" t="s">
        <v>791</v>
      </c>
      <c r="C44" s="806">
        <f>tower!AB95</f>
        <v>23090.949999999997</v>
      </c>
    </row>
    <row r="45" spans="2:3">
      <c r="B45" s="50" t="s">
        <v>792</v>
      </c>
      <c r="C45" s="806">
        <f>tower!AB92</f>
        <v>2850</v>
      </c>
    </row>
    <row r="46" spans="2:3">
      <c r="B46" s="50" t="s">
        <v>799</v>
      </c>
      <c r="C46" s="832">
        <v>0</v>
      </c>
    </row>
    <row r="47" spans="2:3">
      <c r="B47" s="50" t="s">
        <v>793</v>
      </c>
      <c r="C47" s="806">
        <f>tower!X106</f>
        <v>1903.2704932843462</v>
      </c>
    </row>
    <row r="48" spans="2:3">
      <c r="B48" s="50" t="s">
        <v>794</v>
      </c>
      <c r="C48" s="338">
        <f>((C44*C47)+(C45*C46))/1000000</f>
        <v>43.94832379690417</v>
      </c>
    </row>
    <row r="49" spans="2:4">
      <c r="B49" s="104"/>
      <c r="C49" s="145"/>
    </row>
    <row r="50" spans="2:4">
      <c r="B50" s="684" t="s">
        <v>795</v>
      </c>
      <c r="C50" s="145"/>
    </row>
    <row r="51" spans="2:4">
      <c r="B51" s="50" t="s">
        <v>796</v>
      </c>
      <c r="C51" s="338">
        <v>0</v>
      </c>
    </row>
    <row r="52" spans="2:4">
      <c r="B52" s="50" t="s">
        <v>800</v>
      </c>
      <c r="C52" s="806">
        <f>tower!X36</f>
        <v>1799</v>
      </c>
    </row>
    <row r="53" spans="2:4">
      <c r="B53" s="50" t="s">
        <v>831</v>
      </c>
      <c r="C53" s="751">
        <v>22000</v>
      </c>
    </row>
    <row r="54" spans="2:4" ht="15" thickBot="1">
      <c r="B54" s="51" t="s">
        <v>797</v>
      </c>
      <c r="C54" s="770">
        <f>C52*C53/1000000</f>
        <v>39.578000000000003</v>
      </c>
    </row>
    <row r="56" spans="2:4">
      <c r="B56" s="58"/>
    </row>
    <row r="58" spans="2:4" ht="15" thickBot="1">
      <c r="D58" s="19"/>
    </row>
    <row r="59" spans="2:4">
      <c r="B59" s="775" t="s">
        <v>818</v>
      </c>
      <c r="C59" s="776"/>
      <c r="D59" s="777"/>
    </row>
    <row r="60" spans="2:4">
      <c r="B60" s="104"/>
      <c r="C60" s="143"/>
      <c r="D60" s="145"/>
    </row>
    <row r="61" spans="2:4">
      <c r="B61" s="104" t="s">
        <v>436</v>
      </c>
      <c r="C61" s="149" t="s">
        <v>816</v>
      </c>
      <c r="D61" s="833" t="s">
        <v>817</v>
      </c>
    </row>
    <row r="62" spans="2:4">
      <c r="B62" s="50" t="s">
        <v>801</v>
      </c>
      <c r="C62" s="686">
        <f>tower!AI59-AVERAGE(tower!AI88,tower!AI92)</f>
        <v>22742.525199999996</v>
      </c>
      <c r="D62" s="801">
        <f>C62+D72/2</f>
        <v>23992.525199999996</v>
      </c>
    </row>
    <row r="63" spans="2:4">
      <c r="B63" s="50" t="s">
        <v>802</v>
      </c>
      <c r="C63" s="686">
        <f>tower!AI94</f>
        <v>5932.2119999999995</v>
      </c>
      <c r="D63" s="801">
        <f>C63+D70/2</f>
        <v>7582.2119999999995</v>
      </c>
    </row>
    <row r="64" spans="2:4">
      <c r="B64" s="50" t="s">
        <v>803</v>
      </c>
      <c r="C64" s="686">
        <f>tower!Y106</f>
        <v>6999.1464295404057</v>
      </c>
      <c r="D64" s="751">
        <v>7500</v>
      </c>
    </row>
    <row r="65" spans="2:4">
      <c r="B65" s="50" t="s">
        <v>804</v>
      </c>
      <c r="C65" s="144">
        <f>(C62+C63)*C64/1000000</f>
        <v>200.69868449138943</v>
      </c>
      <c r="D65" s="338">
        <f>(D62+D63)*D64/1000000</f>
        <v>236.81052899999997</v>
      </c>
    </row>
    <row r="66" spans="2:4">
      <c r="B66" s="50" t="s">
        <v>805</v>
      </c>
      <c r="C66" s="144">
        <f>M12</f>
        <v>7.8159340492738867</v>
      </c>
      <c r="D66" s="338">
        <f>C66</f>
        <v>7.8159340492738867</v>
      </c>
    </row>
    <row r="67" spans="2:4">
      <c r="B67" s="50" t="s">
        <v>806</v>
      </c>
      <c r="C67" s="144">
        <f>C65-C66</f>
        <v>192.88275044211554</v>
      </c>
      <c r="D67" s="338">
        <f>D65-D66</f>
        <v>228.99459495072608</v>
      </c>
    </row>
    <row r="68" spans="2:4">
      <c r="B68" s="104"/>
      <c r="C68" s="143"/>
      <c r="D68" s="145"/>
    </row>
    <row r="69" spans="2:4">
      <c r="B69" s="684" t="s">
        <v>807</v>
      </c>
      <c r="C69" s="143"/>
      <c r="D69" s="145"/>
    </row>
    <row r="70" spans="2:4">
      <c r="B70" s="50" t="s">
        <v>808</v>
      </c>
      <c r="C70" s="686">
        <f>tower!AI91</f>
        <v>239.42399999999998</v>
      </c>
      <c r="D70" s="751">
        <v>3300</v>
      </c>
    </row>
    <row r="71" spans="2:4">
      <c r="B71" s="50" t="s">
        <v>809</v>
      </c>
      <c r="C71" s="287">
        <v>28000</v>
      </c>
      <c r="D71" s="751">
        <v>28000</v>
      </c>
    </row>
    <row r="72" spans="2:4">
      <c r="B72" s="50" t="s">
        <v>814</v>
      </c>
      <c r="C72" s="686">
        <f>tower!AI36-C70</f>
        <v>1559.136</v>
      </c>
      <c r="D72" s="751">
        <v>2500</v>
      </c>
    </row>
    <row r="73" spans="2:4">
      <c r="B73" s="50" t="s">
        <v>810</v>
      </c>
      <c r="C73" s="287">
        <v>22000</v>
      </c>
      <c r="D73" s="751">
        <v>22000</v>
      </c>
    </row>
    <row r="74" spans="2:4">
      <c r="B74" s="50" t="s">
        <v>811</v>
      </c>
      <c r="C74" s="686">
        <f>tower!AI46</f>
        <v>152.57974999999999</v>
      </c>
      <c r="D74" s="751">
        <v>250</v>
      </c>
    </row>
    <row r="75" spans="2:4">
      <c r="B75" s="50" t="s">
        <v>809</v>
      </c>
      <c r="C75" s="287">
        <v>25000</v>
      </c>
      <c r="D75" s="751">
        <v>25000</v>
      </c>
    </row>
    <row r="76" spans="2:4">
      <c r="B76" s="50" t="s">
        <v>812</v>
      </c>
      <c r="C76" s="144">
        <f>(C70*C71+C72*C73+C74*C75)/1000000</f>
        <v>44.819357750000002</v>
      </c>
      <c r="D76" s="338">
        <f>(D70*D71+D72*D73+D74*D75)/1000000</f>
        <v>153.65</v>
      </c>
    </row>
    <row r="77" spans="2:4">
      <c r="B77" s="104"/>
      <c r="C77" s="143"/>
      <c r="D77" s="145"/>
    </row>
    <row r="78" spans="2:4" ht="15" thickBot="1">
      <c r="B78" s="834" t="s">
        <v>815</v>
      </c>
      <c r="C78" s="769">
        <f>C67+C76</f>
        <v>237.70210819211553</v>
      </c>
      <c r="D78" s="770">
        <f>D67+D76</f>
        <v>382.64459495072606</v>
      </c>
    </row>
  </sheetData>
  <mergeCells count="1">
    <mergeCell ref="L2:M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E442CB-4A1C-4EF4-85F6-BC5B37B5EC66}">
  <dimension ref="B2:E52"/>
  <sheetViews>
    <sheetView showGridLines="0" topLeftCell="A3" zoomScale="85" zoomScaleNormal="85" workbookViewId="0">
      <selection activeCell="B16" sqref="B16"/>
    </sheetView>
  </sheetViews>
  <sheetFormatPr defaultRowHeight="14.5"/>
  <cols>
    <col min="2" max="2" width="44.08984375" style="6" customWidth="1"/>
    <col min="4" max="4" width="15.7265625" style="56" customWidth="1"/>
    <col min="5" max="5" width="27" style="651" customWidth="1"/>
  </cols>
  <sheetData>
    <row r="2" spans="2:5">
      <c r="B2" s="19"/>
    </row>
    <row r="3" spans="2:5" ht="15" thickBot="1">
      <c r="B3" s="19"/>
    </row>
    <row r="4" spans="2:5">
      <c r="B4" s="842" t="s">
        <v>836</v>
      </c>
      <c r="C4" s="843"/>
      <c r="D4" s="844"/>
      <c r="E4" s="854"/>
    </row>
    <row r="5" spans="2:5">
      <c r="B5" s="684"/>
      <c r="C5" s="143"/>
      <c r="D5" s="103"/>
      <c r="E5" s="854"/>
    </row>
    <row r="6" spans="2:5">
      <c r="B6" s="684" t="s">
        <v>472</v>
      </c>
      <c r="C6" s="143"/>
      <c r="D6" s="845">
        <v>25099</v>
      </c>
      <c r="E6" s="854" t="s">
        <v>473</v>
      </c>
    </row>
    <row r="7" spans="2:5">
      <c r="B7" s="684" t="s">
        <v>474</v>
      </c>
      <c r="C7" s="143"/>
      <c r="D7" s="846">
        <v>4</v>
      </c>
      <c r="E7" s="854" t="s">
        <v>670</v>
      </c>
    </row>
    <row r="8" spans="2:5">
      <c r="B8" s="847" t="s">
        <v>475</v>
      </c>
      <c r="C8" s="143"/>
      <c r="D8" s="845">
        <f>D6/D7</f>
        <v>6274.75</v>
      </c>
      <c r="E8" s="854"/>
    </row>
    <row r="9" spans="2:5">
      <c r="B9" s="847"/>
      <c r="C9" s="143"/>
      <c r="D9" s="845"/>
      <c r="E9" s="854"/>
    </row>
    <row r="10" spans="2:5">
      <c r="B10" s="684" t="s">
        <v>476</v>
      </c>
      <c r="C10" s="143"/>
      <c r="D10" s="848">
        <v>200</v>
      </c>
      <c r="E10" s="854" t="s">
        <v>670</v>
      </c>
    </row>
    <row r="11" spans="2:5">
      <c r="B11" s="684" t="s">
        <v>477</v>
      </c>
      <c r="C11" s="143"/>
      <c r="D11" s="338">
        <f>D8/D10</f>
        <v>31.373750000000001</v>
      </c>
      <c r="E11" s="854"/>
    </row>
    <row r="12" spans="2:5">
      <c r="B12" s="684" t="s">
        <v>512</v>
      </c>
      <c r="C12" s="143"/>
      <c r="D12" s="103">
        <v>12</v>
      </c>
      <c r="E12" s="854"/>
    </row>
    <row r="13" spans="2:5" ht="44" thickBot="1">
      <c r="B13" s="834" t="s">
        <v>513</v>
      </c>
      <c r="C13" s="147"/>
      <c r="D13" s="770">
        <f>D11*D12</f>
        <v>376.48500000000001</v>
      </c>
      <c r="E13" s="854" t="s">
        <v>514</v>
      </c>
    </row>
    <row r="14" spans="2:5" ht="15" thickBot="1">
      <c r="E14" s="854"/>
    </row>
    <row r="15" spans="2:5">
      <c r="B15" s="842" t="s">
        <v>838</v>
      </c>
      <c r="C15" s="843"/>
      <c r="D15" s="844"/>
      <c r="E15" s="854"/>
    </row>
    <row r="16" spans="2:5">
      <c r="B16" s="684"/>
      <c r="C16" s="143"/>
      <c r="D16" s="103"/>
      <c r="E16" s="854"/>
    </row>
    <row r="17" spans="2:5">
      <c r="B17" s="684" t="s">
        <v>478</v>
      </c>
      <c r="C17" s="143"/>
      <c r="D17" s="806">
        <f>tower!AC59</f>
        <v>25378.449999999997</v>
      </c>
      <c r="E17" s="854"/>
    </row>
    <row r="18" spans="2:5">
      <c r="B18" s="50" t="s">
        <v>479</v>
      </c>
      <c r="C18" s="143"/>
      <c r="D18" s="849">
        <f>D11</f>
        <v>31.373750000000001</v>
      </c>
      <c r="E18" s="854"/>
    </row>
    <row r="19" spans="2:5">
      <c r="B19" s="50" t="s">
        <v>480</v>
      </c>
      <c r="C19" s="143"/>
      <c r="D19" s="103">
        <v>4</v>
      </c>
      <c r="E19" s="854"/>
    </row>
    <row r="20" spans="2:5">
      <c r="B20" s="50" t="s">
        <v>481</v>
      </c>
      <c r="C20" s="143"/>
      <c r="D20" s="338">
        <f>D17*D18*D19</f>
        <v>3184868.5827499996</v>
      </c>
      <c r="E20" s="854"/>
    </row>
    <row r="21" spans="2:5">
      <c r="B21" s="684"/>
      <c r="C21" s="143"/>
      <c r="D21" s="103"/>
      <c r="E21" s="854"/>
    </row>
    <row r="22" spans="2:5">
      <c r="B22" s="684" t="s">
        <v>482</v>
      </c>
      <c r="C22" s="143"/>
      <c r="D22" s="806">
        <f>tower!AB103*1000*1000</f>
        <v>46400000</v>
      </c>
      <c r="E22" s="854" t="s">
        <v>670</v>
      </c>
    </row>
    <row r="23" spans="2:5">
      <c r="B23" s="50" t="s">
        <v>483</v>
      </c>
      <c r="C23" s="143"/>
      <c r="D23" s="849">
        <f>D20</f>
        <v>3184868.5827499996</v>
      </c>
      <c r="E23" s="854"/>
    </row>
    <row r="24" spans="2:5" ht="43.5">
      <c r="B24" s="50" t="s">
        <v>484</v>
      </c>
      <c r="C24" s="143"/>
      <c r="D24" s="850">
        <f>D22/D23</f>
        <v>14.568889985386951</v>
      </c>
      <c r="E24" s="854" t="s">
        <v>510</v>
      </c>
    </row>
    <row r="25" spans="2:5">
      <c r="B25" s="684"/>
      <c r="C25" s="143"/>
      <c r="D25" s="103"/>
      <c r="E25" s="854"/>
    </row>
    <row r="26" spans="2:5">
      <c r="B26" s="684" t="s">
        <v>487</v>
      </c>
      <c r="C26" s="143"/>
      <c r="D26" s="851">
        <v>0.8</v>
      </c>
      <c r="E26" s="854"/>
    </row>
    <row r="27" spans="2:5">
      <c r="B27" s="684" t="s">
        <v>488</v>
      </c>
      <c r="C27" s="143"/>
      <c r="D27" s="850">
        <f>D24 * (1+D26)</f>
        <v>26.224001973696513</v>
      </c>
      <c r="E27" s="854"/>
    </row>
    <row r="28" spans="2:5">
      <c r="B28" s="684" t="s">
        <v>485</v>
      </c>
      <c r="C28" s="143"/>
      <c r="D28" s="848">
        <v>4</v>
      </c>
      <c r="E28" s="854"/>
    </row>
    <row r="29" spans="2:5" ht="15" thickBot="1">
      <c r="B29" s="834" t="s">
        <v>486</v>
      </c>
      <c r="C29" s="147"/>
      <c r="D29" s="852">
        <f>D27-D28</f>
        <v>22.224001973696513</v>
      </c>
      <c r="E29" s="854"/>
    </row>
    <row r="30" spans="2:5">
      <c r="E30" s="854"/>
    </row>
    <row r="31" spans="2:5" ht="15" thickBot="1">
      <c r="E31" s="854"/>
    </row>
    <row r="32" spans="2:5">
      <c r="B32" s="842" t="s">
        <v>837</v>
      </c>
      <c r="C32" s="843"/>
      <c r="D32" s="844"/>
      <c r="E32" s="854"/>
    </row>
    <row r="33" spans="2:5">
      <c r="B33" s="684"/>
      <c r="C33" s="143"/>
      <c r="D33" s="103"/>
      <c r="E33" s="854"/>
    </row>
    <row r="34" spans="2:5">
      <c r="B34" s="684" t="s">
        <v>489</v>
      </c>
      <c r="C34" s="143"/>
      <c r="D34" s="845">
        <v>200</v>
      </c>
      <c r="E34" s="854"/>
    </row>
    <row r="35" spans="2:5">
      <c r="B35" s="684"/>
      <c r="C35" s="143"/>
      <c r="D35" s="103"/>
      <c r="E35" s="854"/>
    </row>
    <row r="36" spans="2:5">
      <c r="B36" s="684" t="s">
        <v>490</v>
      </c>
      <c r="C36" s="143"/>
      <c r="D36" s="846">
        <v>0.5</v>
      </c>
      <c r="E36" s="854" t="s">
        <v>670</v>
      </c>
    </row>
    <row r="37" spans="2:5">
      <c r="B37" s="50" t="s">
        <v>492</v>
      </c>
      <c r="C37" s="143"/>
      <c r="D37" s="848">
        <v>27</v>
      </c>
      <c r="E37" s="854" t="s">
        <v>491</v>
      </c>
    </row>
    <row r="38" spans="2:5">
      <c r="B38" s="50" t="s">
        <v>493</v>
      </c>
      <c r="C38" s="143"/>
      <c r="D38" s="845">
        <f>D36*D37</f>
        <v>13.5</v>
      </c>
      <c r="E38" s="854"/>
    </row>
    <row r="39" spans="2:5">
      <c r="B39" s="684"/>
      <c r="C39" s="143"/>
      <c r="D39" s="103"/>
      <c r="E39" s="854"/>
    </row>
    <row r="40" spans="2:5">
      <c r="B40" s="684" t="s">
        <v>494</v>
      </c>
      <c r="C40" s="143"/>
      <c r="D40" s="845">
        <f>D6</f>
        <v>25099</v>
      </c>
      <c r="E40" s="853" t="str">
        <f>E6</f>
        <v>most recently disclosed ASP</v>
      </c>
    </row>
    <row r="41" spans="2:5" ht="29">
      <c r="B41" s="50" t="s">
        <v>497</v>
      </c>
      <c r="C41" s="143"/>
      <c r="D41" s="846">
        <v>3</v>
      </c>
      <c r="E41" s="854" t="s">
        <v>495</v>
      </c>
    </row>
    <row r="42" spans="2:5">
      <c r="B42" s="50" t="s">
        <v>498</v>
      </c>
      <c r="C42" s="143"/>
      <c r="D42" s="103">
        <v>12</v>
      </c>
      <c r="E42" s="854"/>
    </row>
    <row r="43" spans="2:5">
      <c r="B43" s="50" t="s">
        <v>499</v>
      </c>
      <c r="C43" s="143"/>
      <c r="D43" s="849">
        <f>D11</f>
        <v>31.373750000000001</v>
      </c>
      <c r="E43" s="854" t="s">
        <v>496</v>
      </c>
    </row>
    <row r="44" spans="2:5">
      <c r="B44" s="50" t="s">
        <v>500</v>
      </c>
      <c r="C44" s="143"/>
      <c r="D44" s="845">
        <f>D40/D41/D42/D43</f>
        <v>22.222222222222221</v>
      </c>
      <c r="E44" s="854"/>
    </row>
    <row r="45" spans="2:5">
      <c r="B45" s="684"/>
      <c r="C45" s="143"/>
      <c r="D45" s="103"/>
      <c r="E45" s="854"/>
    </row>
    <row r="46" spans="2:5" ht="29">
      <c r="B46" s="684" t="s">
        <v>501</v>
      </c>
      <c r="C46" s="143"/>
      <c r="D46" s="850">
        <f>D24</f>
        <v>14.568889985386951</v>
      </c>
      <c r="E46" s="854" t="s">
        <v>835</v>
      </c>
    </row>
    <row r="47" spans="2:5">
      <c r="B47" s="50" t="s">
        <v>502</v>
      </c>
      <c r="C47" s="143"/>
      <c r="D47" s="850">
        <f>D46+D44+D38</f>
        <v>50.291112207609174</v>
      </c>
      <c r="E47" s="854"/>
    </row>
    <row r="48" spans="2:5">
      <c r="B48" s="684"/>
      <c r="C48" s="143"/>
      <c r="D48" s="103"/>
      <c r="E48" s="854"/>
    </row>
    <row r="49" spans="2:5">
      <c r="B49" s="684" t="s">
        <v>503</v>
      </c>
      <c r="C49" s="143"/>
      <c r="D49" s="845">
        <f>D34-D47</f>
        <v>149.70888779239084</v>
      </c>
      <c r="E49" s="854"/>
    </row>
    <row r="50" spans="2:5" ht="73" thickBot="1">
      <c r="B50" s="855" t="s">
        <v>73</v>
      </c>
      <c r="C50" s="147"/>
      <c r="D50" s="856">
        <f>D49/D34</f>
        <v>0.74854443896195422</v>
      </c>
      <c r="E50" s="854" t="s">
        <v>504</v>
      </c>
    </row>
    <row r="51" spans="2:5" ht="43.5">
      <c r="E51" s="854" t="s">
        <v>511</v>
      </c>
    </row>
    <row r="52" spans="2:5">
      <c r="E52" s="85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7270C-DED9-4B05-873B-FAB618C14678}">
  <dimension ref="B2:AS146"/>
  <sheetViews>
    <sheetView showGridLines="0" zoomScale="70" zoomScaleNormal="70" workbookViewId="0">
      <pane xSplit="2" ySplit="2" topLeftCell="C76" activePane="bottomRight" state="frozen"/>
      <selection pane="topRight" activeCell="C1" sqref="C1"/>
      <selection pane="bottomLeft" activeCell="A3" sqref="A3"/>
      <selection pane="bottomRight" activeCell="B96" sqref="B96:AQ128"/>
    </sheetView>
  </sheetViews>
  <sheetFormatPr defaultRowHeight="14.5" outlineLevelCol="1"/>
  <cols>
    <col min="2" max="2" width="52.90625" customWidth="1"/>
    <col min="3" max="3" width="11.26953125" customWidth="1"/>
    <col min="4" max="7" width="11.26953125" hidden="1" customWidth="1" outlineLevel="1"/>
    <col min="8" max="8" width="11.26953125" customWidth="1" collapsed="1"/>
    <col min="9" max="12" width="11.26953125" hidden="1" customWidth="1" outlineLevel="1"/>
    <col min="13" max="13" width="11.26953125" customWidth="1" collapsed="1"/>
    <col min="14" max="17" width="11.26953125" hidden="1" customWidth="1" outlineLevel="1"/>
    <col min="18" max="18" width="11.26953125" customWidth="1" collapsed="1"/>
    <col min="19" max="22" width="11.26953125" hidden="1" customWidth="1" outlineLevel="1"/>
    <col min="23" max="23" width="11.26953125" customWidth="1" collapsed="1"/>
    <col min="24" max="27" width="11.26953125" hidden="1" customWidth="1" outlineLevel="1"/>
    <col min="28" max="28" width="11.26953125" customWidth="1" collapsed="1"/>
    <col min="29" max="32" width="11.26953125" hidden="1" customWidth="1" outlineLevel="1"/>
    <col min="33" max="33" width="11.26953125" customWidth="1" collapsed="1"/>
    <col min="34" max="37" width="11.26953125" hidden="1" customWidth="1" outlineLevel="1"/>
    <col min="38" max="38" width="11.26953125" customWidth="1" collapsed="1"/>
    <col min="39" max="42" width="11.26953125" hidden="1" customWidth="1" outlineLevel="1"/>
    <col min="43" max="43" width="11.26953125" customWidth="1" collapsed="1"/>
    <col min="44" max="44" width="3.36328125" customWidth="1"/>
    <col min="45" max="45" width="8.7265625" style="651"/>
  </cols>
  <sheetData>
    <row r="2" spans="2:45">
      <c r="C2" s="566" t="str">
        <f>tower!E4</f>
        <v>FY-2018</v>
      </c>
      <c r="D2" s="566" t="str">
        <f>tower!F4</f>
        <v>1QFY-2019</v>
      </c>
      <c r="E2" s="566" t="str">
        <f>tower!G4</f>
        <v>2QFY-2019</v>
      </c>
      <c r="F2" s="566" t="str">
        <f>tower!H4</f>
        <v>3QFY-2019</v>
      </c>
      <c r="G2" s="566" t="str">
        <f>tower!I4</f>
        <v>4QFY-2019</v>
      </c>
      <c r="H2" s="566" t="str">
        <f>tower!J4</f>
        <v>FY-2019</v>
      </c>
      <c r="I2" s="566" t="str">
        <f>tower!K4</f>
        <v>1QFY-2020</v>
      </c>
      <c r="J2" s="566" t="str">
        <f>tower!L4</f>
        <v>2QFY-2020</v>
      </c>
      <c r="K2" s="566" t="str">
        <f>tower!M4</f>
        <v>3QFY-2020</v>
      </c>
      <c r="L2" s="566" t="str">
        <f>tower!N4</f>
        <v>4QFY-2020</v>
      </c>
      <c r="M2" s="566" t="str">
        <f>tower!O4</f>
        <v>FY-2020</v>
      </c>
      <c r="N2" s="566" t="str">
        <f>tower!P4</f>
        <v>1QFY-2021</v>
      </c>
      <c r="O2" s="566" t="str">
        <f>tower!Q4</f>
        <v>2QFY-2021</v>
      </c>
      <c r="P2" s="566" t="str">
        <f>tower!R4</f>
        <v>3QFY-2021</v>
      </c>
      <c r="Q2" s="566" t="str">
        <f>tower!S4</f>
        <v>4QFY-2021</v>
      </c>
      <c r="R2" s="566" t="str">
        <f>tower!T4</f>
        <v>FY-2021</v>
      </c>
      <c r="S2" s="566" t="str">
        <f>tower!U4</f>
        <v>1QFY-2022</v>
      </c>
      <c r="T2" s="566" t="str">
        <f>tower!V4</f>
        <v>2QFY-2022</v>
      </c>
      <c r="U2" s="566" t="str">
        <f>tower!W4</f>
        <v>3QFY-2022</v>
      </c>
      <c r="V2" s="566" t="str">
        <f>tower!X4</f>
        <v>4QFY-2022</v>
      </c>
      <c r="W2" s="566" t="str">
        <f>tower!Y4</f>
        <v>FY-2022</v>
      </c>
      <c r="X2" s="566" t="str">
        <f>tower!Z4</f>
        <v>1QFY-2023</v>
      </c>
      <c r="Y2" s="566" t="str">
        <f>tower!AA4</f>
        <v>2QFY-2023</v>
      </c>
      <c r="Z2" s="566" t="str">
        <f>tower!AB4</f>
        <v>3QFY-2023</v>
      </c>
      <c r="AA2" s="666" t="str">
        <f>tower!AC4</f>
        <v>4QFY-2023</v>
      </c>
      <c r="AB2" s="666" t="str">
        <f>tower!AD4</f>
        <v>FY-2023</v>
      </c>
      <c r="AC2" s="666" t="str">
        <f>tower!AE4</f>
        <v>1QFY-2024</v>
      </c>
      <c r="AD2" s="666" t="str">
        <f>tower!AF4</f>
        <v>2QFY-2024</v>
      </c>
      <c r="AE2" s="666" t="str">
        <f>tower!AG4</f>
        <v>3QFY-2024</v>
      </c>
      <c r="AF2" s="666" t="str">
        <f>tower!AH4</f>
        <v>4QFY-2024</v>
      </c>
      <c r="AG2" s="666" t="str">
        <f>tower!AI4</f>
        <v>FY-2024</v>
      </c>
      <c r="AH2" s="666" t="str">
        <f>tower!AJ4</f>
        <v>1QFY-2025</v>
      </c>
      <c r="AI2" s="666" t="str">
        <f>tower!AK4</f>
        <v>2QFY-2025</v>
      </c>
      <c r="AJ2" s="666" t="str">
        <f>tower!AL4</f>
        <v>3QFY-2025</v>
      </c>
      <c r="AK2" s="666" t="str">
        <f>tower!AM4</f>
        <v>4QFY-2025</v>
      </c>
      <c r="AL2" s="666" t="str">
        <f>tower!AN4</f>
        <v>FY-2025</v>
      </c>
      <c r="AM2" s="666" t="str">
        <f>tower!AO4</f>
        <v>1QFY-2026</v>
      </c>
      <c r="AN2" s="666" t="str">
        <f>tower!AP4</f>
        <v>2QFY-2026</v>
      </c>
      <c r="AO2" s="666" t="str">
        <f>tower!AQ4</f>
        <v>3QFY-2026</v>
      </c>
      <c r="AP2" s="666" t="str">
        <f>tower!AR4</f>
        <v>4QFY-2026</v>
      </c>
      <c r="AQ2" s="666" t="str">
        <f>tower!AS4</f>
        <v>FY-2026</v>
      </c>
    </row>
    <row r="3" spans="2:45" ht="15" thickBot="1">
      <c r="AS3"/>
    </row>
    <row r="4" spans="2:45">
      <c r="B4" s="668" t="s">
        <v>662</v>
      </c>
      <c r="C4" s="669"/>
      <c r="D4" s="669"/>
      <c r="E4" s="669"/>
      <c r="F4" s="669"/>
      <c r="G4" s="669"/>
      <c r="H4" s="669"/>
      <c r="I4" s="669"/>
      <c r="J4" s="669"/>
      <c r="K4" s="669"/>
      <c r="L4" s="669"/>
      <c r="M4" s="669"/>
      <c r="N4" s="669"/>
      <c r="O4" s="669"/>
      <c r="P4" s="669"/>
      <c r="Q4" s="669"/>
      <c r="R4" s="669"/>
      <c r="S4" s="669"/>
      <c r="T4" s="669"/>
      <c r="U4" s="669"/>
      <c r="V4" s="669"/>
      <c r="W4" s="669"/>
      <c r="X4" s="669"/>
      <c r="Y4" s="669"/>
      <c r="Z4" s="669"/>
      <c r="AA4" s="670"/>
      <c r="AB4" s="670"/>
      <c r="AC4" s="670"/>
      <c r="AD4" s="670"/>
      <c r="AE4" s="670"/>
      <c r="AF4" s="670"/>
      <c r="AG4" s="670"/>
      <c r="AH4" s="670"/>
      <c r="AI4" s="670"/>
      <c r="AJ4" s="670"/>
      <c r="AK4" s="670"/>
      <c r="AL4" s="670"/>
      <c r="AM4" s="670"/>
      <c r="AN4" s="670"/>
      <c r="AO4" s="670"/>
      <c r="AP4" s="670"/>
      <c r="AQ4" s="671"/>
      <c r="AS4"/>
    </row>
    <row r="5" spans="2:45">
      <c r="B5" s="104"/>
      <c r="C5" s="143"/>
      <c r="D5" s="143"/>
      <c r="E5" s="143"/>
      <c r="F5" s="143"/>
      <c r="G5" s="143"/>
      <c r="H5" s="143"/>
      <c r="I5" s="143"/>
      <c r="J5" s="143"/>
      <c r="K5" s="143"/>
      <c r="L5" s="143"/>
      <c r="M5" s="143"/>
      <c r="N5" s="143"/>
      <c r="O5" s="143"/>
      <c r="P5" s="143"/>
      <c r="Q5" s="143"/>
      <c r="R5" s="143"/>
      <c r="S5" s="143"/>
      <c r="T5" s="143"/>
      <c r="U5" s="143"/>
      <c r="V5" s="143"/>
      <c r="W5" s="143"/>
      <c r="X5" s="143"/>
      <c r="Y5" s="143"/>
      <c r="Z5" s="143"/>
      <c r="AA5" s="143"/>
      <c r="AB5" s="143"/>
      <c r="AC5" s="143"/>
      <c r="AD5" s="143"/>
      <c r="AE5" s="143"/>
      <c r="AF5" s="143"/>
      <c r="AG5" s="143"/>
      <c r="AH5" s="143"/>
      <c r="AI5" s="143"/>
      <c r="AJ5" s="143"/>
      <c r="AK5" s="143"/>
      <c r="AL5" s="143"/>
      <c r="AM5" s="143"/>
      <c r="AN5" s="143"/>
      <c r="AO5" s="143"/>
      <c r="AP5" s="143"/>
      <c r="AQ5" s="145"/>
    </row>
    <row r="6" spans="2:45">
      <c r="B6" s="672" t="s">
        <v>644</v>
      </c>
      <c r="C6" s="673"/>
      <c r="D6" s="673"/>
      <c r="E6" s="673"/>
      <c r="F6" s="673"/>
      <c r="G6" s="673"/>
      <c r="H6" s="673"/>
      <c r="I6" s="673"/>
      <c r="J6" s="673"/>
      <c r="K6" s="673"/>
      <c r="L6" s="673"/>
      <c r="M6" s="673"/>
      <c r="N6" s="673"/>
      <c r="O6" s="673"/>
      <c r="P6" s="673"/>
      <c r="Q6" s="673"/>
      <c r="R6" s="673"/>
      <c r="S6" s="673"/>
      <c r="T6" s="673"/>
      <c r="U6" s="673"/>
      <c r="V6" s="673"/>
      <c r="W6" s="673"/>
      <c r="X6" s="673"/>
      <c r="Y6" s="673"/>
      <c r="Z6" s="673"/>
      <c r="AA6" s="674"/>
      <c r="AB6" s="674"/>
      <c r="AC6" s="674"/>
      <c r="AD6" s="674"/>
      <c r="AE6" s="674"/>
      <c r="AF6" s="674"/>
      <c r="AG6" s="674"/>
      <c r="AH6" s="674"/>
      <c r="AI6" s="674"/>
      <c r="AJ6" s="674"/>
      <c r="AK6" s="674"/>
      <c r="AL6" s="674"/>
      <c r="AM6" s="674"/>
      <c r="AN6" s="674"/>
      <c r="AO6" s="674"/>
      <c r="AP6" s="674"/>
      <c r="AQ6" s="675"/>
    </row>
    <row r="7" spans="2:45">
      <c r="B7" s="104"/>
      <c r="C7" s="148"/>
      <c r="D7" s="143"/>
      <c r="E7" s="143"/>
      <c r="F7" s="143"/>
      <c r="G7" s="143"/>
      <c r="H7" s="148"/>
      <c r="I7" s="143"/>
      <c r="J7" s="143"/>
      <c r="K7" s="143"/>
      <c r="L7" s="143"/>
      <c r="M7" s="148"/>
      <c r="N7" s="143"/>
      <c r="O7" s="143"/>
      <c r="P7" s="143"/>
      <c r="Q7" s="143"/>
      <c r="R7" s="148"/>
      <c r="S7" s="143"/>
      <c r="T7" s="143"/>
      <c r="U7" s="143"/>
      <c r="V7" s="143"/>
      <c r="W7" s="148"/>
      <c r="X7" s="143"/>
      <c r="Y7" s="143"/>
      <c r="Z7" s="143"/>
      <c r="AA7" s="143"/>
      <c r="AB7" s="279"/>
      <c r="AC7" s="143"/>
      <c r="AD7" s="143"/>
      <c r="AE7" s="143"/>
      <c r="AF7" s="143"/>
      <c r="AG7" s="279"/>
      <c r="AH7" s="143"/>
      <c r="AI7" s="143"/>
      <c r="AJ7" s="143"/>
      <c r="AK7" s="143"/>
      <c r="AL7" s="279"/>
      <c r="AM7" s="143"/>
      <c r="AN7" s="143"/>
      <c r="AO7" s="143"/>
      <c r="AP7" s="143"/>
      <c r="AQ7" s="676"/>
    </row>
    <row r="8" spans="2:45">
      <c r="B8" s="104" t="s">
        <v>634</v>
      </c>
      <c r="C8" s="677">
        <f>H8*(0.995)</f>
        <v>54888372.034999996</v>
      </c>
      <c r="D8" s="144">
        <f>C8+(H8-C8)/4</f>
        <v>54957327.276249997</v>
      </c>
      <c r="E8" s="144">
        <f>D8+(H8-C8)/4</f>
        <v>55026282.517499998</v>
      </c>
      <c r="F8" s="144">
        <f>E8+(H8-C8)/4</f>
        <v>55095237.758749999</v>
      </c>
      <c r="G8" s="144">
        <f>F8+(H8-C8)/4</f>
        <v>55164193</v>
      </c>
      <c r="H8" s="677">
        <f>M8*(0.995)</f>
        <v>55164193</v>
      </c>
      <c r="I8" s="144">
        <f>H8+(M8-H8)/4</f>
        <v>55233494.75</v>
      </c>
      <c r="J8" s="144">
        <f>I8+(M8-H8)/4</f>
        <v>55302796.5</v>
      </c>
      <c r="K8" s="144">
        <f>J8+(M8-H8)/4</f>
        <v>55372098.25</v>
      </c>
      <c r="L8" s="144">
        <f>K8+(M8-H8)/4</f>
        <v>55441400</v>
      </c>
      <c r="M8" s="677">
        <f>R8*(0.995)</f>
        <v>55441400</v>
      </c>
      <c r="N8" s="144">
        <f>M8+(R8-M8)/4</f>
        <v>55511050</v>
      </c>
      <c r="O8" s="144">
        <f>N8+(R8-M8)/4</f>
        <v>55580700</v>
      </c>
      <c r="P8" s="144">
        <f>O8+(R8-M8)/4</f>
        <v>55650350</v>
      </c>
      <c r="Q8" s="144">
        <f>P8+(R8-M8)/4</f>
        <v>55720000</v>
      </c>
      <c r="R8" s="677">
        <f>W8*(0.995)</f>
        <v>55720000</v>
      </c>
      <c r="S8" s="144">
        <f>R8+(W8-R8)/4</f>
        <v>55790000</v>
      </c>
      <c r="T8" s="144">
        <f>S8+(W8-R8)/4</f>
        <v>55860000</v>
      </c>
      <c r="U8" s="144">
        <f>T8+(W8-R8)/4</f>
        <v>55930000</v>
      </c>
      <c r="V8" s="144">
        <f>U8+(W8-R8)/4</f>
        <v>56000000</v>
      </c>
      <c r="W8" s="277">
        <v>56000000</v>
      </c>
      <c r="X8" s="144">
        <f>W8+(AB8-W8)/4</f>
        <v>56070000</v>
      </c>
      <c r="Y8" s="144">
        <f>X8+(AB8-W8)/4</f>
        <v>56140000</v>
      </c>
      <c r="Z8" s="144">
        <f>Y8+(AB8-W8)/4</f>
        <v>56210000</v>
      </c>
      <c r="AA8" s="144">
        <f>Z8+(AB8-W8)/4</f>
        <v>56280000</v>
      </c>
      <c r="AB8" s="288">
        <f>W8*1.005</f>
        <v>56279999.999999993</v>
      </c>
      <c r="AC8" s="144">
        <f>AB8+(AG8-AB8)/4</f>
        <v>56350349.999999993</v>
      </c>
      <c r="AD8" s="144">
        <f>AC8+(AG8-AB8)/4</f>
        <v>56420699.999999993</v>
      </c>
      <c r="AE8" s="144">
        <f>AD8+(AG8-AB8)/4</f>
        <v>56491049.999999993</v>
      </c>
      <c r="AF8" s="144">
        <f>AE8+(AG8-AB8)/4</f>
        <v>56561399.999999993</v>
      </c>
      <c r="AG8" s="288">
        <f>AB8*1.005</f>
        <v>56561399.999999985</v>
      </c>
      <c r="AH8" s="144">
        <f>AG8+(AL8-AG8)/4</f>
        <v>56632101.749999985</v>
      </c>
      <c r="AI8" s="144">
        <f>AH8+(AL8-AG8)/4</f>
        <v>56702803.499999985</v>
      </c>
      <c r="AJ8" s="144">
        <f>AI8+(AL8-AG8)/4</f>
        <v>56773505.249999985</v>
      </c>
      <c r="AK8" s="144">
        <f>AJ8+(AL8-AG8)/4</f>
        <v>56844206.999999985</v>
      </c>
      <c r="AL8" s="288">
        <f>AG8*1.005</f>
        <v>56844206.999999978</v>
      </c>
      <c r="AM8" s="144">
        <f>AL8+(AQ8-AL8)/4</f>
        <v>56915262.258749977</v>
      </c>
      <c r="AN8" s="144">
        <f>AM8+(AQ8-AL8)/4</f>
        <v>56986317.517499976</v>
      </c>
      <c r="AO8" s="144">
        <f>AN8+(AQ8-AL8)/4</f>
        <v>57057372.776249975</v>
      </c>
      <c r="AP8" s="144">
        <f>AO8+(AQ8-AL8)/4</f>
        <v>57128428.034999974</v>
      </c>
      <c r="AQ8" s="678">
        <f>AL8*1.005</f>
        <v>57128428.034999974</v>
      </c>
      <c r="AS8" s="651" t="s">
        <v>637</v>
      </c>
    </row>
    <row r="9" spans="2:45">
      <c r="B9" s="50" t="s">
        <v>624</v>
      </c>
      <c r="C9" s="570">
        <v>0.66</v>
      </c>
      <c r="D9" s="359">
        <v>0.66</v>
      </c>
      <c r="E9" s="359">
        <v>0.66</v>
      </c>
      <c r="F9" s="359">
        <v>0.66</v>
      </c>
      <c r="G9" s="359">
        <v>0.66</v>
      </c>
      <c r="H9" s="570">
        <v>0.66</v>
      </c>
      <c r="I9" s="359">
        <v>0.66</v>
      </c>
      <c r="J9" s="359">
        <v>0.66</v>
      </c>
      <c r="K9" s="359">
        <v>0.66</v>
      </c>
      <c r="L9" s="359">
        <v>0.66</v>
      </c>
      <c r="M9" s="570">
        <v>0.66</v>
      </c>
      <c r="N9" s="359">
        <v>0.66</v>
      </c>
      <c r="O9" s="359">
        <v>0.66</v>
      </c>
      <c r="P9" s="359">
        <v>0.66</v>
      </c>
      <c r="Q9" s="359">
        <v>0.66</v>
      </c>
      <c r="R9" s="570">
        <v>0.66</v>
      </c>
      <c r="S9" s="359">
        <v>0.66</v>
      </c>
      <c r="T9" s="359">
        <v>0.66</v>
      </c>
      <c r="U9" s="359">
        <v>0.66</v>
      </c>
      <c r="V9" s="359">
        <v>0.66</v>
      </c>
      <c r="W9" s="570">
        <v>0.66</v>
      </c>
      <c r="X9" s="359">
        <v>0.66</v>
      </c>
      <c r="Y9" s="359">
        <v>0.66</v>
      </c>
      <c r="Z9" s="359">
        <v>0.66</v>
      </c>
      <c r="AA9" s="359">
        <v>0.66</v>
      </c>
      <c r="AB9" s="571">
        <v>0.66</v>
      </c>
      <c r="AC9" s="359">
        <v>0.66</v>
      </c>
      <c r="AD9" s="359">
        <v>0.66</v>
      </c>
      <c r="AE9" s="359">
        <v>0.66</v>
      </c>
      <c r="AF9" s="359">
        <v>0.66</v>
      </c>
      <c r="AG9" s="571">
        <v>0.66</v>
      </c>
      <c r="AH9" s="359">
        <v>0.66</v>
      </c>
      <c r="AI9" s="359">
        <v>0.66</v>
      </c>
      <c r="AJ9" s="359">
        <v>0.66</v>
      </c>
      <c r="AK9" s="359">
        <v>0.66</v>
      </c>
      <c r="AL9" s="571">
        <v>0.66</v>
      </c>
      <c r="AM9" s="359">
        <v>0.66</v>
      </c>
      <c r="AN9" s="359">
        <v>0.66</v>
      </c>
      <c r="AO9" s="359">
        <v>0.66</v>
      </c>
      <c r="AP9" s="359">
        <v>0.66</v>
      </c>
      <c r="AQ9" s="679">
        <v>0.66</v>
      </c>
      <c r="AS9" s="651" t="s">
        <v>668</v>
      </c>
    </row>
    <row r="10" spans="2:45">
      <c r="B10" s="50" t="s">
        <v>626</v>
      </c>
      <c r="C10" s="680">
        <v>0.5</v>
      </c>
      <c r="D10" s="681">
        <v>0.5</v>
      </c>
      <c r="E10" s="681">
        <v>0.5</v>
      </c>
      <c r="F10" s="681">
        <v>0.5</v>
      </c>
      <c r="G10" s="681">
        <v>0.5</v>
      </c>
      <c r="H10" s="680">
        <v>0.5</v>
      </c>
      <c r="I10" s="681">
        <v>0.5</v>
      </c>
      <c r="J10" s="681">
        <v>0.5</v>
      </c>
      <c r="K10" s="681">
        <v>0.5</v>
      </c>
      <c r="L10" s="681">
        <v>0.5</v>
      </c>
      <c r="M10" s="680">
        <v>0.5</v>
      </c>
      <c r="N10" s="681">
        <v>0.5</v>
      </c>
      <c r="O10" s="681">
        <v>0.5</v>
      </c>
      <c r="P10" s="681">
        <v>0.5</v>
      </c>
      <c r="Q10" s="681">
        <v>0.5</v>
      </c>
      <c r="R10" s="680">
        <v>0.5</v>
      </c>
      <c r="S10" s="681">
        <v>0.5</v>
      </c>
      <c r="T10" s="681">
        <v>0.5</v>
      </c>
      <c r="U10" s="681">
        <v>0.5</v>
      </c>
      <c r="V10" s="681">
        <v>0.5</v>
      </c>
      <c r="W10" s="680">
        <v>0.5</v>
      </c>
      <c r="X10" s="681">
        <v>0.5</v>
      </c>
      <c r="Y10" s="681">
        <v>0.5</v>
      </c>
      <c r="Z10" s="681">
        <v>0.5</v>
      </c>
      <c r="AA10" s="681">
        <v>0.5</v>
      </c>
      <c r="AB10" s="682">
        <v>0.5</v>
      </c>
      <c r="AC10" s="681">
        <v>0.5</v>
      </c>
      <c r="AD10" s="681">
        <v>0.5</v>
      </c>
      <c r="AE10" s="681">
        <v>0.5</v>
      </c>
      <c r="AF10" s="681">
        <v>0.5</v>
      </c>
      <c r="AG10" s="682">
        <v>0.5</v>
      </c>
      <c r="AH10" s="681">
        <v>0.5</v>
      </c>
      <c r="AI10" s="681">
        <v>0.5</v>
      </c>
      <c r="AJ10" s="681">
        <v>0.5</v>
      </c>
      <c r="AK10" s="681">
        <v>0.5</v>
      </c>
      <c r="AL10" s="682">
        <v>0.5</v>
      </c>
      <c r="AM10" s="681">
        <v>0.5</v>
      </c>
      <c r="AN10" s="681">
        <v>0.5</v>
      </c>
      <c r="AO10" s="681">
        <v>0.5</v>
      </c>
      <c r="AP10" s="681">
        <v>0.5</v>
      </c>
      <c r="AQ10" s="683">
        <v>0.5</v>
      </c>
      <c r="AS10" s="651" t="s">
        <v>669</v>
      </c>
    </row>
    <row r="11" spans="2:45">
      <c r="B11" s="50"/>
      <c r="C11" s="148"/>
      <c r="D11" s="143"/>
      <c r="E11" s="143"/>
      <c r="F11" s="143"/>
      <c r="G11" s="143"/>
      <c r="H11" s="148"/>
      <c r="I11" s="143"/>
      <c r="J11" s="143"/>
      <c r="K11" s="143"/>
      <c r="L11" s="143"/>
      <c r="M11" s="148"/>
      <c r="N11" s="143"/>
      <c r="O11" s="143"/>
      <c r="P11" s="143"/>
      <c r="Q11" s="143"/>
      <c r="R11" s="148"/>
      <c r="S11" s="143"/>
      <c r="T11" s="143"/>
      <c r="U11" s="143"/>
      <c r="V11" s="143"/>
      <c r="W11" s="148"/>
      <c r="X11" s="143"/>
      <c r="Y11" s="143"/>
      <c r="Z11" s="143"/>
      <c r="AA11" s="143"/>
      <c r="AB11" s="279"/>
      <c r="AC11" s="143"/>
      <c r="AD11" s="143"/>
      <c r="AE11" s="143"/>
      <c r="AF11" s="143"/>
      <c r="AG11" s="279"/>
      <c r="AH11" s="143"/>
      <c r="AI11" s="143"/>
      <c r="AJ11" s="143"/>
      <c r="AK11" s="143"/>
      <c r="AL11" s="279"/>
      <c r="AM11" s="143"/>
      <c r="AN11" s="143"/>
      <c r="AO11" s="143"/>
      <c r="AP11" s="143"/>
      <c r="AQ11" s="676"/>
    </row>
    <row r="12" spans="2:45">
      <c r="B12" s="104" t="s">
        <v>647</v>
      </c>
      <c r="C12" s="677">
        <f>H12*(0.995)</f>
        <v>55868521.535625003</v>
      </c>
      <c r="D12" s="144">
        <f>C12+(H12-C12)/4</f>
        <v>55938708.120468751</v>
      </c>
      <c r="E12" s="144">
        <f>D12+(H12-C12)/4</f>
        <v>56008894.705312498</v>
      </c>
      <c r="F12" s="144">
        <f>E12+(H12-C12)/4</f>
        <v>56079081.290156245</v>
      </c>
      <c r="G12" s="144">
        <f>F12+(H12-C12)/4</f>
        <v>56149267.874999993</v>
      </c>
      <c r="H12" s="677">
        <f>M12*(0.995)</f>
        <v>56149267.875</v>
      </c>
      <c r="I12" s="144">
        <f>H12+(M12-H12)/4</f>
        <v>56219807.15625</v>
      </c>
      <c r="J12" s="144">
        <f>I12+(M12-H12)/4</f>
        <v>56290346.4375</v>
      </c>
      <c r="K12" s="144">
        <f>J12+(M12-H12)/4</f>
        <v>56360885.71875</v>
      </c>
      <c r="L12" s="144">
        <f>K12+(M12-H12)/4</f>
        <v>56431425</v>
      </c>
      <c r="M12" s="677">
        <f>R12*(0.995)</f>
        <v>56431425</v>
      </c>
      <c r="N12" s="144">
        <f>M12+(R12-M12)/4</f>
        <v>56502318.75</v>
      </c>
      <c r="O12" s="144">
        <f>N12+(R12-M12)/4</f>
        <v>56573212.5</v>
      </c>
      <c r="P12" s="144">
        <f>O12+(R12-M12)/4</f>
        <v>56644106.25</v>
      </c>
      <c r="Q12" s="144">
        <f>P12+(R12-M12)/4</f>
        <v>56715000</v>
      </c>
      <c r="R12" s="677">
        <f>W12*(0.995)</f>
        <v>56715000</v>
      </c>
      <c r="S12" s="144">
        <f>R12+(W12-R12)/4</f>
        <v>56786250</v>
      </c>
      <c r="T12" s="144">
        <f>S12+(W12-R12)/4</f>
        <v>56857500</v>
      </c>
      <c r="U12" s="144">
        <f>T12+(W12-R12)/4</f>
        <v>56928750</v>
      </c>
      <c r="V12" s="144">
        <f>U12+(W12-R12)/4</f>
        <v>57000000</v>
      </c>
      <c r="W12" s="277">
        <v>57000000</v>
      </c>
      <c r="X12" s="144">
        <f>W12+(AB12-W12)/4</f>
        <v>57071250</v>
      </c>
      <c r="Y12" s="144">
        <f>X12+(AB12-W12)/4</f>
        <v>57142500</v>
      </c>
      <c r="Z12" s="144">
        <f>Y12+(AB12-W12)/4</f>
        <v>57213750</v>
      </c>
      <c r="AA12" s="144">
        <f>Z12+(AB12-W12)/4</f>
        <v>57285000</v>
      </c>
      <c r="AB12" s="288">
        <f>W12*1.005</f>
        <v>57284999.999999993</v>
      </c>
      <c r="AC12" s="144">
        <f>AB12+(AG12-AB12)/4</f>
        <v>57356606.249999993</v>
      </c>
      <c r="AD12" s="144">
        <f>AC12+(AG12-AB12)/4</f>
        <v>57428212.499999993</v>
      </c>
      <c r="AE12" s="144">
        <f>AD12+(AG12-AB12)/4</f>
        <v>57499818.749999993</v>
      </c>
      <c r="AF12" s="144">
        <f>AE12+(AG12-AB12)/4</f>
        <v>57571424.999999993</v>
      </c>
      <c r="AG12" s="288">
        <f>AB12*1.005</f>
        <v>57571424.999999985</v>
      </c>
      <c r="AH12" s="144">
        <f>AG12+(AL12-AG12)/4</f>
        <v>57643389.281249985</v>
      </c>
      <c r="AI12" s="144">
        <f>AH12+(AL12-AG12)/4</f>
        <v>57715353.562499985</v>
      </c>
      <c r="AJ12" s="144">
        <f>AI12+(AL12-AG12)/4</f>
        <v>57787317.843749985</v>
      </c>
      <c r="AK12" s="144">
        <f>AJ12+(AL12-AG12)/4</f>
        <v>57859282.124999985</v>
      </c>
      <c r="AL12" s="288">
        <f>AG12*1.005</f>
        <v>57859282.124999978</v>
      </c>
      <c r="AM12" s="144">
        <f>AL12+(AQ12-AL12)/4</f>
        <v>57931606.22765623</v>
      </c>
      <c r="AN12" s="144">
        <f>AM12+(AQ12-AL12)/4</f>
        <v>58003930.330312476</v>
      </c>
      <c r="AO12" s="144">
        <f>AN12+(AQ12-AL12)/4</f>
        <v>58076254.432968721</v>
      </c>
      <c r="AP12" s="144">
        <f>AO12+(AQ12-AL12)/4</f>
        <v>58148578.535624966</v>
      </c>
      <c r="AQ12" s="678">
        <f>AL12*1.005</f>
        <v>58148578.535624973</v>
      </c>
    </row>
    <row r="13" spans="2:45">
      <c r="B13" s="50" t="s">
        <v>625</v>
      </c>
      <c r="C13" s="570">
        <v>0.1</v>
      </c>
      <c r="D13" s="359">
        <v>0.1</v>
      </c>
      <c r="E13" s="359">
        <v>0.1</v>
      </c>
      <c r="F13" s="359">
        <v>0.1</v>
      </c>
      <c r="G13" s="359">
        <v>0.1</v>
      </c>
      <c r="H13" s="570">
        <v>0.1</v>
      </c>
      <c r="I13" s="359">
        <v>0.1</v>
      </c>
      <c r="J13" s="359">
        <v>0.1</v>
      </c>
      <c r="K13" s="359">
        <v>0.1</v>
      </c>
      <c r="L13" s="359">
        <v>0.1</v>
      </c>
      <c r="M13" s="570">
        <v>0.1</v>
      </c>
      <c r="N13" s="359">
        <v>0.1</v>
      </c>
      <c r="O13" s="359">
        <v>0.1</v>
      </c>
      <c r="P13" s="359">
        <v>0.1</v>
      </c>
      <c r="Q13" s="359">
        <v>0.1</v>
      </c>
      <c r="R13" s="570">
        <v>0.1</v>
      </c>
      <c r="S13" s="359">
        <v>0.1</v>
      </c>
      <c r="T13" s="359">
        <v>0.1</v>
      </c>
      <c r="U13" s="359">
        <v>0.1</v>
      </c>
      <c r="V13" s="359">
        <v>0.1</v>
      </c>
      <c r="W13" s="570">
        <v>0.1</v>
      </c>
      <c r="X13" s="359">
        <v>0.1</v>
      </c>
      <c r="Y13" s="359">
        <v>0.1</v>
      </c>
      <c r="Z13" s="359">
        <v>0.1</v>
      </c>
      <c r="AA13" s="359">
        <v>0.1</v>
      </c>
      <c r="AB13" s="571">
        <v>0.1</v>
      </c>
      <c r="AC13" s="359">
        <v>0.1</v>
      </c>
      <c r="AD13" s="359">
        <v>0.1</v>
      </c>
      <c r="AE13" s="359">
        <v>0.1</v>
      </c>
      <c r="AF13" s="359">
        <v>0.1</v>
      </c>
      <c r="AG13" s="571">
        <v>0.1</v>
      </c>
      <c r="AH13" s="359">
        <v>0.1</v>
      </c>
      <c r="AI13" s="359">
        <v>0.1</v>
      </c>
      <c r="AJ13" s="359">
        <v>0.1</v>
      </c>
      <c r="AK13" s="359">
        <v>0.1</v>
      </c>
      <c r="AL13" s="571">
        <v>0.1</v>
      </c>
      <c r="AM13" s="359">
        <v>0.1</v>
      </c>
      <c r="AN13" s="359">
        <v>0.1</v>
      </c>
      <c r="AO13" s="359">
        <v>0.1</v>
      </c>
      <c r="AP13" s="359">
        <v>0.1</v>
      </c>
      <c r="AQ13" s="679">
        <v>0.1</v>
      </c>
      <c r="AS13" s="651" t="s">
        <v>668</v>
      </c>
    </row>
    <row r="14" spans="2:45">
      <c r="B14" s="50" t="s">
        <v>626</v>
      </c>
      <c r="C14" s="680">
        <f>C10/2</f>
        <v>0.25</v>
      </c>
      <c r="D14" s="681">
        <f t="shared" ref="D14:AQ14" si="0">D10/2</f>
        <v>0.25</v>
      </c>
      <c r="E14" s="681">
        <f t="shared" si="0"/>
        <v>0.25</v>
      </c>
      <c r="F14" s="681">
        <f t="shared" si="0"/>
        <v>0.25</v>
      </c>
      <c r="G14" s="681">
        <f t="shared" si="0"/>
        <v>0.25</v>
      </c>
      <c r="H14" s="680">
        <f t="shared" si="0"/>
        <v>0.25</v>
      </c>
      <c r="I14" s="681">
        <f t="shared" si="0"/>
        <v>0.25</v>
      </c>
      <c r="J14" s="681">
        <f t="shared" si="0"/>
        <v>0.25</v>
      </c>
      <c r="K14" s="681">
        <f t="shared" si="0"/>
        <v>0.25</v>
      </c>
      <c r="L14" s="681">
        <f t="shared" si="0"/>
        <v>0.25</v>
      </c>
      <c r="M14" s="680">
        <f t="shared" si="0"/>
        <v>0.25</v>
      </c>
      <c r="N14" s="681">
        <f t="shared" si="0"/>
        <v>0.25</v>
      </c>
      <c r="O14" s="681">
        <f t="shared" si="0"/>
        <v>0.25</v>
      </c>
      <c r="P14" s="681">
        <f t="shared" si="0"/>
        <v>0.25</v>
      </c>
      <c r="Q14" s="681">
        <f t="shared" si="0"/>
        <v>0.25</v>
      </c>
      <c r="R14" s="680">
        <f t="shared" si="0"/>
        <v>0.25</v>
      </c>
      <c r="S14" s="681">
        <f t="shared" si="0"/>
        <v>0.25</v>
      </c>
      <c r="T14" s="681">
        <f t="shared" si="0"/>
        <v>0.25</v>
      </c>
      <c r="U14" s="681">
        <f t="shared" si="0"/>
        <v>0.25</v>
      </c>
      <c r="V14" s="681">
        <f t="shared" si="0"/>
        <v>0.25</v>
      </c>
      <c r="W14" s="680">
        <f t="shared" si="0"/>
        <v>0.25</v>
      </c>
      <c r="X14" s="681">
        <f t="shared" si="0"/>
        <v>0.25</v>
      </c>
      <c r="Y14" s="681">
        <f t="shared" si="0"/>
        <v>0.25</v>
      </c>
      <c r="Z14" s="681">
        <f t="shared" si="0"/>
        <v>0.25</v>
      </c>
      <c r="AA14" s="681">
        <f t="shared" si="0"/>
        <v>0.25</v>
      </c>
      <c r="AB14" s="682">
        <f t="shared" si="0"/>
        <v>0.25</v>
      </c>
      <c r="AC14" s="681">
        <f t="shared" si="0"/>
        <v>0.25</v>
      </c>
      <c r="AD14" s="681">
        <f t="shared" si="0"/>
        <v>0.25</v>
      </c>
      <c r="AE14" s="681">
        <f t="shared" si="0"/>
        <v>0.25</v>
      </c>
      <c r="AF14" s="681">
        <f t="shared" si="0"/>
        <v>0.25</v>
      </c>
      <c r="AG14" s="682">
        <f t="shared" si="0"/>
        <v>0.25</v>
      </c>
      <c r="AH14" s="681">
        <f t="shared" si="0"/>
        <v>0.25</v>
      </c>
      <c r="AI14" s="681">
        <f t="shared" si="0"/>
        <v>0.25</v>
      </c>
      <c r="AJ14" s="681">
        <f t="shared" si="0"/>
        <v>0.25</v>
      </c>
      <c r="AK14" s="681">
        <f t="shared" si="0"/>
        <v>0.25</v>
      </c>
      <c r="AL14" s="682">
        <f t="shared" si="0"/>
        <v>0.25</v>
      </c>
      <c r="AM14" s="681">
        <f t="shared" si="0"/>
        <v>0.25</v>
      </c>
      <c r="AN14" s="681">
        <f t="shared" si="0"/>
        <v>0.25</v>
      </c>
      <c r="AO14" s="681">
        <f t="shared" si="0"/>
        <v>0.25</v>
      </c>
      <c r="AP14" s="681">
        <f t="shared" si="0"/>
        <v>0.25</v>
      </c>
      <c r="AQ14" s="683">
        <f t="shared" si="0"/>
        <v>0.25</v>
      </c>
      <c r="AS14" s="651" t="s">
        <v>631</v>
      </c>
    </row>
    <row r="15" spans="2:45">
      <c r="B15" s="50"/>
      <c r="C15" s="148"/>
      <c r="D15" s="143"/>
      <c r="E15" s="143"/>
      <c r="F15" s="143"/>
      <c r="G15" s="143"/>
      <c r="H15" s="148"/>
      <c r="I15" s="143"/>
      <c r="J15" s="143"/>
      <c r="K15" s="143"/>
      <c r="L15" s="143"/>
      <c r="M15" s="148"/>
      <c r="N15" s="143"/>
      <c r="O15" s="143"/>
      <c r="P15" s="143"/>
      <c r="Q15" s="143"/>
      <c r="R15" s="148"/>
      <c r="S15" s="143"/>
      <c r="T15" s="143"/>
      <c r="U15" s="143"/>
      <c r="V15" s="143"/>
      <c r="W15" s="148"/>
      <c r="X15" s="143"/>
      <c r="Y15" s="143"/>
      <c r="Z15" s="143"/>
      <c r="AA15" s="143"/>
      <c r="AB15" s="279"/>
      <c r="AC15" s="143"/>
      <c r="AD15" s="143"/>
      <c r="AE15" s="143"/>
      <c r="AF15" s="143"/>
      <c r="AG15" s="279"/>
      <c r="AH15" s="143"/>
      <c r="AI15" s="143"/>
      <c r="AJ15" s="143"/>
      <c r="AK15" s="143"/>
      <c r="AL15" s="279"/>
      <c r="AM15" s="143"/>
      <c r="AN15" s="143"/>
      <c r="AO15" s="143"/>
      <c r="AP15" s="143"/>
      <c r="AQ15" s="676"/>
    </row>
    <row r="16" spans="2:45">
      <c r="B16" s="684" t="s">
        <v>683</v>
      </c>
      <c r="C16" s="677">
        <f>C8*C9*C10+C12*C13*C14</f>
        <v>19509875.809940625</v>
      </c>
      <c r="D16" s="144">
        <f t="shared" ref="D16:AQ16" si="1">D8*D9*D10+D12*D13*D14</f>
        <v>19534385.704174217</v>
      </c>
      <c r="E16" s="144">
        <f t="shared" si="1"/>
        <v>19558895.598407812</v>
      </c>
      <c r="F16" s="144">
        <f t="shared" si="1"/>
        <v>19583405.492641408</v>
      </c>
      <c r="G16" s="144">
        <f t="shared" si="1"/>
        <v>19607915.386875</v>
      </c>
      <c r="H16" s="677">
        <f t="shared" si="1"/>
        <v>19607915.386875</v>
      </c>
      <c r="I16" s="144">
        <f t="shared" si="1"/>
        <v>19632548.446406253</v>
      </c>
      <c r="J16" s="144">
        <f t="shared" si="1"/>
        <v>19657181.505937502</v>
      </c>
      <c r="K16" s="144">
        <f t="shared" si="1"/>
        <v>19681814.565468751</v>
      </c>
      <c r="L16" s="144">
        <f t="shared" si="1"/>
        <v>19706447.625</v>
      </c>
      <c r="M16" s="677">
        <f t="shared" si="1"/>
        <v>19706447.625</v>
      </c>
      <c r="N16" s="144">
        <f t="shared" si="1"/>
        <v>19731204.46875</v>
      </c>
      <c r="O16" s="144">
        <f t="shared" si="1"/>
        <v>19755961.3125</v>
      </c>
      <c r="P16" s="144">
        <f t="shared" si="1"/>
        <v>19780718.15625</v>
      </c>
      <c r="Q16" s="144">
        <f t="shared" si="1"/>
        <v>19805475</v>
      </c>
      <c r="R16" s="677">
        <f t="shared" si="1"/>
        <v>19805475</v>
      </c>
      <c r="S16" s="144">
        <f t="shared" si="1"/>
        <v>19830356.25</v>
      </c>
      <c r="T16" s="144">
        <f t="shared" si="1"/>
        <v>19855237.5</v>
      </c>
      <c r="U16" s="144">
        <f t="shared" si="1"/>
        <v>19880118.75</v>
      </c>
      <c r="V16" s="144">
        <f t="shared" si="1"/>
        <v>19905000</v>
      </c>
      <c r="W16" s="677">
        <f t="shared" si="1"/>
        <v>19905000</v>
      </c>
      <c r="X16" s="144">
        <f t="shared" si="1"/>
        <v>19929881.25</v>
      </c>
      <c r="Y16" s="144">
        <f t="shared" si="1"/>
        <v>19954762.5</v>
      </c>
      <c r="Z16" s="144">
        <f t="shared" si="1"/>
        <v>19979643.75</v>
      </c>
      <c r="AA16" s="144">
        <f t="shared" si="1"/>
        <v>20004525</v>
      </c>
      <c r="AB16" s="288">
        <f t="shared" si="1"/>
        <v>20004525</v>
      </c>
      <c r="AC16" s="144">
        <f t="shared" si="1"/>
        <v>20029530.65625</v>
      </c>
      <c r="AD16" s="144">
        <f t="shared" si="1"/>
        <v>20054536.3125</v>
      </c>
      <c r="AE16" s="144">
        <f t="shared" si="1"/>
        <v>20079541.96875</v>
      </c>
      <c r="AF16" s="144">
        <f t="shared" si="1"/>
        <v>20104547.625</v>
      </c>
      <c r="AG16" s="288">
        <f t="shared" si="1"/>
        <v>20104547.624999996</v>
      </c>
      <c r="AH16" s="144">
        <f t="shared" si="1"/>
        <v>20129678.309531245</v>
      </c>
      <c r="AI16" s="144">
        <f t="shared" si="1"/>
        <v>20154808.994062498</v>
      </c>
      <c r="AJ16" s="144">
        <f t="shared" si="1"/>
        <v>20179939.678593744</v>
      </c>
      <c r="AK16" s="144">
        <f t="shared" si="1"/>
        <v>20205070.363124996</v>
      </c>
      <c r="AL16" s="288">
        <f t="shared" si="1"/>
        <v>20205070.363124996</v>
      </c>
      <c r="AM16" s="144">
        <f t="shared" si="1"/>
        <v>20230326.701078899</v>
      </c>
      <c r="AN16" s="144">
        <f t="shared" si="1"/>
        <v>20255583.039032802</v>
      </c>
      <c r="AO16" s="144">
        <f t="shared" si="1"/>
        <v>20280839.376986712</v>
      </c>
      <c r="AP16" s="144">
        <f t="shared" si="1"/>
        <v>20306095.714940615</v>
      </c>
      <c r="AQ16" s="678">
        <f t="shared" si="1"/>
        <v>20306095.714940619</v>
      </c>
    </row>
    <row r="17" spans="2:45">
      <c r="B17" s="684"/>
      <c r="C17" s="677"/>
      <c r="D17" s="144"/>
      <c r="E17" s="144"/>
      <c r="F17" s="144"/>
      <c r="G17" s="144"/>
      <c r="H17" s="677"/>
      <c r="I17" s="144"/>
      <c r="J17" s="144"/>
      <c r="K17" s="144"/>
      <c r="L17" s="144"/>
      <c r="M17" s="677"/>
      <c r="N17" s="144"/>
      <c r="O17" s="144"/>
      <c r="P17" s="144"/>
      <c r="Q17" s="144"/>
      <c r="R17" s="677"/>
      <c r="S17" s="144"/>
      <c r="T17" s="144"/>
      <c r="U17" s="144"/>
      <c r="V17" s="144"/>
      <c r="W17" s="677"/>
      <c r="X17" s="144"/>
      <c r="Y17" s="144"/>
      <c r="Z17" s="144"/>
      <c r="AA17" s="144"/>
      <c r="AB17" s="288"/>
      <c r="AC17" s="144"/>
      <c r="AD17" s="144"/>
      <c r="AE17" s="144"/>
      <c r="AF17" s="144"/>
      <c r="AG17" s="288"/>
      <c r="AH17" s="144"/>
      <c r="AI17" s="144"/>
      <c r="AJ17" s="144"/>
      <c r="AK17" s="144"/>
      <c r="AL17" s="288"/>
      <c r="AM17" s="144"/>
      <c r="AN17" s="144"/>
      <c r="AO17" s="144"/>
      <c r="AP17" s="144"/>
      <c r="AQ17" s="678"/>
    </row>
    <row r="18" spans="2:45">
      <c r="B18" s="684" t="s">
        <v>684</v>
      </c>
      <c r="C18" s="677">
        <f>C8*C9+C12*C13</f>
        <v>41813177.696662501</v>
      </c>
      <c r="D18" s="144">
        <f t="shared" ref="D18:AQ18" si="2">D8*D9+D12*D13</f>
        <v>41865706.814371876</v>
      </c>
      <c r="E18" s="144">
        <f t="shared" si="2"/>
        <v>41918235.932081245</v>
      </c>
      <c r="F18" s="144">
        <f t="shared" si="2"/>
        <v>41970765.049790628</v>
      </c>
      <c r="G18" s="144">
        <f t="shared" si="2"/>
        <v>42023294.167500004</v>
      </c>
      <c r="H18" s="677">
        <f t="shared" si="2"/>
        <v>42023294.167500004</v>
      </c>
      <c r="I18" s="144">
        <f t="shared" si="2"/>
        <v>42076087.250625007</v>
      </c>
      <c r="J18" s="144">
        <f t="shared" si="2"/>
        <v>42128880.33375001</v>
      </c>
      <c r="K18" s="144">
        <f t="shared" si="2"/>
        <v>42181673.416874997</v>
      </c>
      <c r="L18" s="144">
        <f t="shared" si="2"/>
        <v>42234466.5</v>
      </c>
      <c r="M18" s="677">
        <f t="shared" si="2"/>
        <v>42234466.5</v>
      </c>
      <c r="N18" s="144">
        <f t="shared" si="2"/>
        <v>42287524.875</v>
      </c>
      <c r="O18" s="144">
        <f t="shared" si="2"/>
        <v>42340583.25</v>
      </c>
      <c r="P18" s="144">
        <f t="shared" si="2"/>
        <v>42393641.625</v>
      </c>
      <c r="Q18" s="144">
        <f t="shared" si="2"/>
        <v>42446700</v>
      </c>
      <c r="R18" s="677">
        <f t="shared" si="2"/>
        <v>42446700</v>
      </c>
      <c r="S18" s="144">
        <f t="shared" si="2"/>
        <v>42500025</v>
      </c>
      <c r="T18" s="144">
        <f t="shared" si="2"/>
        <v>42553350</v>
      </c>
      <c r="U18" s="144">
        <f t="shared" si="2"/>
        <v>42606675</v>
      </c>
      <c r="V18" s="144">
        <f t="shared" si="2"/>
        <v>42660000</v>
      </c>
      <c r="W18" s="677">
        <f t="shared" si="2"/>
        <v>42660000</v>
      </c>
      <c r="X18" s="144">
        <f t="shared" si="2"/>
        <v>42713325</v>
      </c>
      <c r="Y18" s="144">
        <f t="shared" si="2"/>
        <v>42766650</v>
      </c>
      <c r="Z18" s="144">
        <f t="shared" si="2"/>
        <v>42819975</v>
      </c>
      <c r="AA18" s="144">
        <f t="shared" si="2"/>
        <v>42873300</v>
      </c>
      <c r="AB18" s="288">
        <f t="shared" si="2"/>
        <v>42873300</v>
      </c>
      <c r="AC18" s="144">
        <f t="shared" si="2"/>
        <v>42926891.625</v>
      </c>
      <c r="AD18" s="144">
        <f t="shared" si="2"/>
        <v>42980483.25</v>
      </c>
      <c r="AE18" s="144">
        <f t="shared" si="2"/>
        <v>43034074.875</v>
      </c>
      <c r="AF18" s="144">
        <f t="shared" si="2"/>
        <v>43087666.5</v>
      </c>
      <c r="AG18" s="288">
        <f t="shared" si="2"/>
        <v>43087666.499999993</v>
      </c>
      <c r="AH18" s="144">
        <f t="shared" si="2"/>
        <v>43141526.083124995</v>
      </c>
      <c r="AI18" s="144">
        <f t="shared" si="2"/>
        <v>43195385.66624999</v>
      </c>
      <c r="AJ18" s="144">
        <f t="shared" si="2"/>
        <v>43249245.249374986</v>
      </c>
      <c r="AK18" s="144">
        <f t="shared" si="2"/>
        <v>43303104.832499988</v>
      </c>
      <c r="AL18" s="288">
        <f t="shared" si="2"/>
        <v>43303104.832499988</v>
      </c>
      <c r="AM18" s="144">
        <f t="shared" si="2"/>
        <v>43357233.713540606</v>
      </c>
      <c r="AN18" s="144">
        <f t="shared" si="2"/>
        <v>43411362.594581231</v>
      </c>
      <c r="AO18" s="144">
        <f t="shared" si="2"/>
        <v>43465491.475621857</v>
      </c>
      <c r="AP18" s="144">
        <f t="shared" si="2"/>
        <v>43519620.356662482</v>
      </c>
      <c r="AQ18" s="678">
        <f t="shared" si="2"/>
        <v>43519620.356662482</v>
      </c>
    </row>
    <row r="19" spans="2:45">
      <c r="B19" s="684"/>
      <c r="C19" s="677"/>
      <c r="D19" s="144"/>
      <c r="E19" s="144"/>
      <c r="F19" s="144"/>
      <c r="G19" s="144"/>
      <c r="H19" s="677"/>
      <c r="I19" s="144"/>
      <c r="J19" s="144"/>
      <c r="K19" s="144"/>
      <c r="L19" s="144"/>
      <c r="M19" s="677"/>
      <c r="N19" s="144"/>
      <c r="O19" s="144"/>
      <c r="P19" s="144"/>
      <c r="Q19" s="144"/>
      <c r="R19" s="677"/>
      <c r="S19" s="144"/>
      <c r="T19" s="144"/>
      <c r="U19" s="144"/>
      <c r="V19" s="144"/>
      <c r="W19" s="677"/>
      <c r="X19" s="144"/>
      <c r="Y19" s="144"/>
      <c r="Z19" s="144"/>
      <c r="AA19" s="144"/>
      <c r="AB19" s="288"/>
      <c r="AC19" s="144"/>
      <c r="AD19" s="144"/>
      <c r="AE19" s="144"/>
      <c r="AF19" s="144"/>
      <c r="AG19" s="288"/>
      <c r="AH19" s="144"/>
      <c r="AI19" s="144"/>
      <c r="AJ19" s="144"/>
      <c r="AK19" s="144"/>
      <c r="AL19" s="288"/>
      <c r="AM19" s="144"/>
      <c r="AN19" s="144"/>
      <c r="AO19" s="144"/>
      <c r="AP19" s="144"/>
      <c r="AQ19" s="678"/>
    </row>
    <row r="20" spans="2:45">
      <c r="B20" s="672" t="s">
        <v>622</v>
      </c>
      <c r="C20" s="673"/>
      <c r="D20" s="673"/>
      <c r="E20" s="673"/>
      <c r="F20" s="673"/>
      <c r="G20" s="673"/>
      <c r="H20" s="673"/>
      <c r="I20" s="673"/>
      <c r="J20" s="673"/>
      <c r="K20" s="673"/>
      <c r="L20" s="673"/>
      <c r="M20" s="673"/>
      <c r="N20" s="673"/>
      <c r="O20" s="673"/>
      <c r="P20" s="673"/>
      <c r="Q20" s="673"/>
      <c r="R20" s="673"/>
      <c r="S20" s="673"/>
      <c r="T20" s="673"/>
      <c r="U20" s="673"/>
      <c r="V20" s="673"/>
      <c r="W20" s="673"/>
      <c r="X20" s="673"/>
      <c r="Y20" s="673"/>
      <c r="Z20" s="673"/>
      <c r="AA20" s="674"/>
      <c r="AB20" s="674"/>
      <c r="AC20" s="674"/>
      <c r="AD20" s="674"/>
      <c r="AE20" s="674"/>
      <c r="AF20" s="674"/>
      <c r="AG20" s="674"/>
      <c r="AH20" s="674"/>
      <c r="AI20" s="674"/>
      <c r="AJ20" s="674"/>
      <c r="AK20" s="674"/>
      <c r="AL20" s="674"/>
      <c r="AM20" s="674"/>
      <c r="AN20" s="674"/>
      <c r="AO20" s="674"/>
      <c r="AP20" s="674"/>
      <c r="AQ20" s="675"/>
    </row>
    <row r="21" spans="2:45">
      <c r="B21" s="104"/>
      <c r="C21" s="148"/>
      <c r="D21" s="143"/>
      <c r="E21" s="143"/>
      <c r="F21" s="143"/>
      <c r="G21" s="143"/>
      <c r="H21" s="148"/>
      <c r="I21" s="143"/>
      <c r="J21" s="143"/>
      <c r="K21" s="143"/>
      <c r="L21" s="143"/>
      <c r="M21" s="148"/>
      <c r="N21" s="143"/>
      <c r="O21" s="143"/>
      <c r="P21" s="143"/>
      <c r="Q21" s="143"/>
      <c r="R21" s="148"/>
      <c r="S21" s="143"/>
      <c r="T21" s="143"/>
      <c r="U21" s="143"/>
      <c r="V21" s="143"/>
      <c r="W21" s="148"/>
      <c r="X21" s="143"/>
      <c r="Y21" s="143"/>
      <c r="Z21" s="143"/>
      <c r="AA21" s="143"/>
      <c r="AB21" s="279"/>
      <c r="AC21" s="143"/>
      <c r="AD21" s="143"/>
      <c r="AE21" s="143"/>
      <c r="AF21" s="143"/>
      <c r="AG21" s="279"/>
      <c r="AH21" s="143"/>
      <c r="AI21" s="143"/>
      <c r="AJ21" s="143"/>
      <c r="AK21" s="143"/>
      <c r="AL21" s="279"/>
      <c r="AM21" s="143"/>
      <c r="AN21" s="143"/>
      <c r="AO21" s="143"/>
      <c r="AP21" s="143"/>
      <c r="AQ21" s="676"/>
    </row>
    <row r="22" spans="2:45">
      <c r="B22" s="104" t="s">
        <v>645</v>
      </c>
      <c r="C22" s="685">
        <f>tower!E103</f>
        <v>55.2</v>
      </c>
      <c r="D22" s="686">
        <f>tower!F103</f>
        <v>18.2</v>
      </c>
      <c r="E22" s="686">
        <f>tower!G103</f>
        <v>22.2</v>
      </c>
      <c r="F22" s="686">
        <f>tower!H103</f>
        <v>21.1</v>
      </c>
      <c r="G22" s="686">
        <f>tower!I103</f>
        <v>26.1</v>
      </c>
      <c r="H22" s="685">
        <f>tower!J103</f>
        <v>85.2</v>
      </c>
      <c r="I22" s="686">
        <f>tower!K103</f>
        <v>18.5</v>
      </c>
      <c r="J22" s="687">
        <f>tower!L103</f>
        <v>8.1</v>
      </c>
      <c r="K22" s="686">
        <f>tower!M103</f>
        <v>18.600000000000001</v>
      </c>
      <c r="L22" s="686">
        <f>tower!N103</f>
        <v>20.5</v>
      </c>
      <c r="M22" s="685">
        <f>tower!O103</f>
        <v>65.7</v>
      </c>
      <c r="N22" s="686">
        <f>tower!P103</f>
        <v>21.9</v>
      </c>
      <c r="O22" s="686">
        <f>tower!Q103</f>
        <v>31.6</v>
      </c>
      <c r="P22" s="686">
        <f>tower!R103</f>
        <v>32</v>
      </c>
      <c r="Q22" s="686">
        <f>tower!S103</f>
        <v>35.200000000000003</v>
      </c>
      <c r="R22" s="685">
        <f>tower!T103</f>
        <v>120.7</v>
      </c>
      <c r="S22" s="686">
        <f>tower!U103</f>
        <v>33.799999999999997</v>
      </c>
      <c r="T22" s="686">
        <f>tower!V103</f>
        <v>38.753</v>
      </c>
      <c r="U22" s="686">
        <f>tower!W103</f>
        <v>39.700000000000003</v>
      </c>
      <c r="V22" s="686">
        <f>tower!X103</f>
        <v>47.4</v>
      </c>
      <c r="W22" s="685">
        <f>tower!Y103</f>
        <v>159.65299999999999</v>
      </c>
      <c r="X22" s="686">
        <f>tower!Z103</f>
        <v>40.9</v>
      </c>
      <c r="Y22" s="686">
        <f>tower!AA103</f>
        <v>51.9</v>
      </c>
      <c r="Z22" s="686">
        <f>tower!AB103</f>
        <v>46.4</v>
      </c>
      <c r="AA22" s="686">
        <f>tower!AC103</f>
        <v>38.048000000000002</v>
      </c>
      <c r="AB22" s="688">
        <f>tower!AD103</f>
        <v>177.24799999999999</v>
      </c>
      <c r="AC22" s="686">
        <f>tower!AE103</f>
        <v>35.765120000000003</v>
      </c>
      <c r="AD22" s="686">
        <f>tower!AF103</f>
        <v>35.765120000000003</v>
      </c>
      <c r="AE22" s="686">
        <f>tower!AG103</f>
        <v>54.216299021657328</v>
      </c>
      <c r="AF22" s="686">
        <f>tower!AH103</f>
        <v>62.479774584807295</v>
      </c>
      <c r="AG22" s="688">
        <f>tower!AI103</f>
        <v>188.22631360646463</v>
      </c>
      <c r="AH22" s="686">
        <f>tower!AJ103</f>
        <v>57.904579042385443</v>
      </c>
      <c r="AI22" s="686">
        <f>tower!AK103</f>
        <v>73.179581596386484</v>
      </c>
      <c r="AJ22" s="686">
        <f>tower!AL103</f>
        <v>65.471674108442883</v>
      </c>
      <c r="AK22" s="686">
        <f>tower!AM103</f>
        <v>75.859059645823848</v>
      </c>
      <c r="AL22" s="688">
        <f>tower!AN103</f>
        <v>272.41489439303865</v>
      </c>
      <c r="AM22" s="686">
        <f>tower!AO103</f>
        <v>65.533663896133504</v>
      </c>
      <c r="AN22" s="686">
        <f>tower!AP103</f>
        <v>83.008061649614703</v>
      </c>
      <c r="AO22" s="686">
        <f>tower!AQ103</f>
        <v>74.221783340545883</v>
      </c>
      <c r="AP22" s="686">
        <f>tower!AR103</f>
        <v>86.142981747194469</v>
      </c>
      <c r="AQ22" s="689">
        <f>tower!AS103</f>
        <v>308.90649063348854</v>
      </c>
    </row>
    <row r="23" spans="2:45">
      <c r="B23" s="50" t="s">
        <v>636</v>
      </c>
      <c r="C23" s="417">
        <f t="shared" ref="C23:T23" si="3">C141/C144</f>
        <v>0.78968034903392392</v>
      </c>
      <c r="D23" s="414">
        <f t="shared" si="3"/>
        <v>0.76368876080691639</v>
      </c>
      <c r="E23" s="414">
        <f t="shared" si="3"/>
        <v>0.75059101654846339</v>
      </c>
      <c r="F23" s="414">
        <f t="shared" si="3"/>
        <v>0.75213875885952419</v>
      </c>
      <c r="G23" s="414">
        <f t="shared" si="3"/>
        <v>0.68530686425276111</v>
      </c>
      <c r="H23" s="417">
        <f t="shared" si="3"/>
        <v>0.73456845693571715</v>
      </c>
      <c r="I23" s="414">
        <f t="shared" si="3"/>
        <v>0.73497049422178506</v>
      </c>
      <c r="J23" s="414">
        <f t="shared" si="3"/>
        <v>0.67079909322754316</v>
      </c>
      <c r="K23" s="414">
        <f t="shared" si="3"/>
        <v>0.61287615740740742</v>
      </c>
      <c r="L23" s="414">
        <f t="shared" si="3"/>
        <v>0.70987328405491035</v>
      </c>
      <c r="M23" s="417">
        <f t="shared" si="3"/>
        <v>0.68395022335673261</v>
      </c>
      <c r="N23" s="414">
        <f t="shared" si="3"/>
        <v>0.65794455428883936</v>
      </c>
      <c r="O23" s="414">
        <f t="shared" si="3"/>
        <v>0.64142659529680635</v>
      </c>
      <c r="P23" s="414">
        <f t="shared" si="3"/>
        <v>0.66101222357550593</v>
      </c>
      <c r="Q23" s="414">
        <f t="shared" si="3"/>
        <v>0.64758823453889502</v>
      </c>
      <c r="R23" s="417">
        <f t="shared" si="3"/>
        <v>0.65142299085687039</v>
      </c>
      <c r="S23" s="414">
        <f t="shared" si="3"/>
        <v>0.5914738447258503</v>
      </c>
      <c r="T23" s="414">
        <f t="shared" si="3"/>
        <v>0.72780482151135839</v>
      </c>
      <c r="U23" s="413">
        <f>27.6/U22</f>
        <v>0.69521410579345089</v>
      </c>
      <c r="V23" s="414">
        <f>V141/V144</f>
        <v>0.66142887713613152</v>
      </c>
      <c r="W23" s="417">
        <f t="shared" ref="W23:Y23" si="4">W141/W144</f>
        <v>0.66482360143873886</v>
      </c>
      <c r="X23" s="414">
        <f t="shared" si="4"/>
        <v>0.61403834117619782</v>
      </c>
      <c r="Y23" s="414">
        <f t="shared" si="4"/>
        <v>0.54174788685637432</v>
      </c>
      <c r="Z23" s="413">
        <f>31.4/Z22</f>
        <v>0.67672413793103448</v>
      </c>
      <c r="AA23" s="359">
        <v>0.66</v>
      </c>
      <c r="AB23" s="422">
        <f>AVERAGE(X23:AA23)</f>
        <v>0.62312759149090169</v>
      </c>
      <c r="AC23" s="359">
        <v>0.66</v>
      </c>
      <c r="AD23" s="359">
        <v>0.66</v>
      </c>
      <c r="AE23" s="359">
        <v>0.66</v>
      </c>
      <c r="AF23" s="359">
        <v>0.66</v>
      </c>
      <c r="AG23" s="422">
        <f>AVERAGE(AC23:AF23)</f>
        <v>0.66</v>
      </c>
      <c r="AH23" s="359">
        <v>0.66</v>
      </c>
      <c r="AI23" s="359">
        <v>0.66</v>
      </c>
      <c r="AJ23" s="359">
        <v>0.66</v>
      </c>
      <c r="AK23" s="359">
        <v>0.66</v>
      </c>
      <c r="AL23" s="422">
        <f>AVERAGE(AH23:AK23)</f>
        <v>0.66</v>
      </c>
      <c r="AM23" s="359">
        <v>0.66</v>
      </c>
      <c r="AN23" s="359">
        <v>0.66</v>
      </c>
      <c r="AO23" s="359">
        <v>0.66</v>
      </c>
      <c r="AP23" s="359">
        <v>0.66</v>
      </c>
      <c r="AQ23" s="690">
        <f>AVERAGE(AM23:AP23)</f>
        <v>0.66</v>
      </c>
      <c r="AS23" s="651" t="s">
        <v>646</v>
      </c>
    </row>
    <row r="24" spans="2:45">
      <c r="B24" s="50" t="s">
        <v>621</v>
      </c>
      <c r="C24" s="691">
        <v>25</v>
      </c>
      <c r="D24" s="692">
        <v>25</v>
      </c>
      <c r="E24" s="692">
        <v>25</v>
      </c>
      <c r="F24" s="692">
        <v>25</v>
      </c>
      <c r="G24" s="692">
        <v>25</v>
      </c>
      <c r="H24" s="691">
        <v>25</v>
      </c>
      <c r="I24" s="692">
        <v>25</v>
      </c>
      <c r="J24" s="692">
        <v>25</v>
      </c>
      <c r="K24" s="692">
        <v>25</v>
      </c>
      <c r="L24" s="692">
        <v>25</v>
      </c>
      <c r="M24" s="691">
        <v>25</v>
      </c>
      <c r="N24" s="692">
        <v>25</v>
      </c>
      <c r="O24" s="692">
        <v>25</v>
      </c>
      <c r="P24" s="692">
        <v>25</v>
      </c>
      <c r="Q24" s="692">
        <v>25</v>
      </c>
      <c r="R24" s="691">
        <v>25</v>
      </c>
      <c r="S24" s="692">
        <v>25</v>
      </c>
      <c r="T24" s="692">
        <v>25</v>
      </c>
      <c r="U24" s="692">
        <v>25</v>
      </c>
      <c r="V24" s="692">
        <v>25</v>
      </c>
      <c r="W24" s="691">
        <v>25</v>
      </c>
      <c r="X24" s="692">
        <v>25</v>
      </c>
      <c r="Y24" s="692">
        <v>25</v>
      </c>
      <c r="Z24" s="692">
        <v>25</v>
      </c>
      <c r="AA24" s="692">
        <v>25</v>
      </c>
      <c r="AB24" s="693">
        <v>25</v>
      </c>
      <c r="AC24" s="692">
        <v>25</v>
      </c>
      <c r="AD24" s="692">
        <v>25</v>
      </c>
      <c r="AE24" s="692">
        <v>25</v>
      </c>
      <c r="AF24" s="692">
        <v>25</v>
      </c>
      <c r="AG24" s="693">
        <v>25</v>
      </c>
      <c r="AH24" s="692">
        <v>25</v>
      </c>
      <c r="AI24" s="692">
        <v>25</v>
      </c>
      <c r="AJ24" s="692">
        <v>25</v>
      </c>
      <c r="AK24" s="692">
        <v>25</v>
      </c>
      <c r="AL24" s="693">
        <v>25</v>
      </c>
      <c r="AM24" s="692">
        <v>25</v>
      </c>
      <c r="AN24" s="692">
        <v>25</v>
      </c>
      <c r="AO24" s="692">
        <v>25</v>
      </c>
      <c r="AP24" s="692">
        <v>25</v>
      </c>
      <c r="AQ24" s="694">
        <v>25</v>
      </c>
      <c r="AS24" s="651" t="s">
        <v>670</v>
      </c>
    </row>
    <row r="25" spans="2:45">
      <c r="B25" s="50" t="s">
        <v>620</v>
      </c>
      <c r="C25" s="138">
        <v>12</v>
      </c>
      <c r="D25" s="131">
        <v>3</v>
      </c>
      <c r="E25" s="131">
        <v>3</v>
      </c>
      <c r="F25" s="131">
        <v>3</v>
      </c>
      <c r="G25" s="131">
        <v>3</v>
      </c>
      <c r="H25" s="138">
        <f>C25</f>
        <v>12</v>
      </c>
      <c r="I25" s="131">
        <f>D25</f>
        <v>3</v>
      </c>
      <c r="J25" s="131">
        <f>E25</f>
        <v>3</v>
      </c>
      <c r="K25" s="131">
        <f>F25</f>
        <v>3</v>
      </c>
      <c r="L25" s="131">
        <f>G25</f>
        <v>3</v>
      </c>
      <c r="M25" s="138">
        <f>H25</f>
        <v>12</v>
      </c>
      <c r="N25" s="131">
        <f>I25</f>
        <v>3</v>
      </c>
      <c r="O25" s="131">
        <f>J25</f>
        <v>3</v>
      </c>
      <c r="P25" s="131">
        <f>K25</f>
        <v>3</v>
      </c>
      <c r="Q25" s="131">
        <f>L25</f>
        <v>3</v>
      </c>
      <c r="R25" s="138">
        <f>M25</f>
        <v>12</v>
      </c>
      <c r="S25" s="131">
        <f t="shared" ref="S25:AQ25" si="5">N25</f>
        <v>3</v>
      </c>
      <c r="T25" s="131">
        <f t="shared" si="5"/>
        <v>3</v>
      </c>
      <c r="U25" s="131">
        <f t="shared" si="5"/>
        <v>3</v>
      </c>
      <c r="V25" s="131">
        <f t="shared" si="5"/>
        <v>3</v>
      </c>
      <c r="W25" s="138">
        <f t="shared" si="5"/>
        <v>12</v>
      </c>
      <c r="X25" s="131">
        <f t="shared" si="5"/>
        <v>3</v>
      </c>
      <c r="Y25" s="131">
        <f t="shared" si="5"/>
        <v>3</v>
      </c>
      <c r="Z25" s="131">
        <f t="shared" si="5"/>
        <v>3</v>
      </c>
      <c r="AA25" s="131">
        <f t="shared" si="5"/>
        <v>3</v>
      </c>
      <c r="AB25" s="695">
        <f t="shared" si="5"/>
        <v>12</v>
      </c>
      <c r="AC25" s="131">
        <f t="shared" si="5"/>
        <v>3</v>
      </c>
      <c r="AD25" s="131">
        <f t="shared" si="5"/>
        <v>3</v>
      </c>
      <c r="AE25" s="131">
        <f t="shared" si="5"/>
        <v>3</v>
      </c>
      <c r="AF25" s="131">
        <f t="shared" si="5"/>
        <v>3</v>
      </c>
      <c r="AG25" s="695">
        <f t="shared" si="5"/>
        <v>12</v>
      </c>
      <c r="AH25" s="131">
        <f t="shared" si="5"/>
        <v>3</v>
      </c>
      <c r="AI25" s="131">
        <f t="shared" si="5"/>
        <v>3</v>
      </c>
      <c r="AJ25" s="131">
        <f t="shared" si="5"/>
        <v>3</v>
      </c>
      <c r="AK25" s="131">
        <f t="shared" si="5"/>
        <v>3</v>
      </c>
      <c r="AL25" s="695">
        <f t="shared" si="5"/>
        <v>12</v>
      </c>
      <c r="AM25" s="131">
        <f t="shared" si="5"/>
        <v>3</v>
      </c>
      <c r="AN25" s="131">
        <f t="shared" si="5"/>
        <v>3</v>
      </c>
      <c r="AO25" s="131">
        <f t="shared" si="5"/>
        <v>3</v>
      </c>
      <c r="AP25" s="131">
        <f t="shared" si="5"/>
        <v>3</v>
      </c>
      <c r="AQ25" s="696">
        <f t="shared" si="5"/>
        <v>12</v>
      </c>
    </row>
    <row r="26" spans="2:45">
      <c r="B26" s="104"/>
      <c r="C26" s="148"/>
      <c r="D26" s="143"/>
      <c r="E26" s="143"/>
      <c r="F26" s="143"/>
      <c r="G26" s="143"/>
      <c r="H26" s="677"/>
      <c r="I26" s="143"/>
      <c r="J26" s="143"/>
      <c r="K26" s="143"/>
      <c r="L26" s="143"/>
      <c r="M26" s="148"/>
      <c r="N26" s="143"/>
      <c r="O26" s="143"/>
      <c r="P26" s="143"/>
      <c r="Q26" s="143"/>
      <c r="R26" s="148"/>
      <c r="S26" s="143"/>
      <c r="T26" s="143"/>
      <c r="U26" s="143"/>
      <c r="V26" s="143"/>
      <c r="W26" s="148"/>
      <c r="X26" s="143"/>
      <c r="Y26" s="143"/>
      <c r="Z26" s="143"/>
      <c r="AA26" s="143"/>
      <c r="AB26" s="279"/>
      <c r="AC26" s="143"/>
      <c r="AD26" s="143"/>
      <c r="AE26" s="143"/>
      <c r="AF26" s="143"/>
      <c r="AG26" s="279"/>
      <c r="AH26" s="143"/>
      <c r="AI26" s="143"/>
      <c r="AJ26" s="143"/>
      <c r="AK26" s="143"/>
      <c r="AL26" s="279"/>
      <c r="AM26" s="143"/>
      <c r="AN26" s="143"/>
      <c r="AO26" s="143"/>
      <c r="AP26" s="143"/>
      <c r="AQ26" s="676"/>
    </row>
    <row r="27" spans="2:45">
      <c r="B27" s="104" t="s">
        <v>619</v>
      </c>
      <c r="C27" s="677">
        <f>C22*C23*1000*1000/C24/C25</f>
        <v>145301.18422224201</v>
      </c>
      <c r="D27" s="144">
        <f t="shared" ref="D27:AP27" si="6">D22*D23*1000*1000/D24/D25</f>
        <v>185321.80595581167</v>
      </c>
      <c r="E27" s="144">
        <f t="shared" si="6"/>
        <v>222174.9408983452</v>
      </c>
      <c r="F27" s="144">
        <f t="shared" si="6"/>
        <v>211601.70415914615</v>
      </c>
      <c r="G27" s="144">
        <f t="shared" si="6"/>
        <v>238486.78875996088</v>
      </c>
      <c r="H27" s="677">
        <f t="shared" si="6"/>
        <v>208617.44176974366</v>
      </c>
      <c r="I27" s="144">
        <f t="shared" si="6"/>
        <v>181292.72190804032</v>
      </c>
      <c r="J27" s="144">
        <f t="shared" si="6"/>
        <v>72446.30206857466</v>
      </c>
      <c r="K27" s="144">
        <f t="shared" si="6"/>
        <v>151993.28703703705</v>
      </c>
      <c r="L27" s="144">
        <f t="shared" si="6"/>
        <v>194032.03097500885</v>
      </c>
      <c r="M27" s="677">
        <f t="shared" si="6"/>
        <v>149785.09891512443</v>
      </c>
      <c r="N27" s="144">
        <f t="shared" si="6"/>
        <v>192119.80985234107</v>
      </c>
      <c r="O27" s="144">
        <f t="shared" si="6"/>
        <v>270254.40548505442</v>
      </c>
      <c r="P27" s="144">
        <f t="shared" si="6"/>
        <v>282031.8820588825</v>
      </c>
      <c r="Q27" s="144">
        <f t="shared" si="6"/>
        <v>303934.74474358809</v>
      </c>
      <c r="R27" s="677">
        <f t="shared" si="6"/>
        <v>262089.18332141414</v>
      </c>
      <c r="S27" s="144">
        <f t="shared" si="6"/>
        <v>266557.54602311651</v>
      </c>
      <c r="T27" s="144">
        <f t="shared" si="6"/>
        <v>376061.60330706235</v>
      </c>
      <c r="U27" s="144">
        <f t="shared" si="6"/>
        <v>368000</v>
      </c>
      <c r="V27" s="144">
        <f t="shared" si="6"/>
        <v>418023.05035003508</v>
      </c>
      <c r="W27" s="677">
        <f t="shared" si="6"/>
        <v>353803.60813499661</v>
      </c>
      <c r="X27" s="144">
        <f t="shared" si="6"/>
        <v>334855.57538808655</v>
      </c>
      <c r="Y27" s="144">
        <f t="shared" si="6"/>
        <v>374889.53770461102</v>
      </c>
      <c r="Z27" s="144">
        <f t="shared" si="6"/>
        <v>418666.66666666669</v>
      </c>
      <c r="AA27" s="144">
        <f t="shared" si="6"/>
        <v>334822.40000000008</v>
      </c>
      <c r="AB27" s="288">
        <f>AVERAGE(X27:AA27)</f>
        <v>365808.54493984109</v>
      </c>
      <c r="AC27" s="144">
        <f t="shared" si="6"/>
        <v>314733.05600000004</v>
      </c>
      <c r="AD27" s="144">
        <f t="shared" si="6"/>
        <v>314733.05600000004</v>
      </c>
      <c r="AE27" s="144">
        <f t="shared" si="6"/>
        <v>477103.43139058445</v>
      </c>
      <c r="AF27" s="144">
        <f t="shared" si="6"/>
        <v>549822.0163463041</v>
      </c>
      <c r="AG27" s="288">
        <f>AVERAGE(AC27:AF27)</f>
        <v>414097.88993422221</v>
      </c>
      <c r="AH27" s="144">
        <f t="shared" si="6"/>
        <v>509560.29557299189</v>
      </c>
      <c r="AI27" s="144">
        <f t="shared" si="6"/>
        <v>643980.31804820115</v>
      </c>
      <c r="AJ27" s="144">
        <f t="shared" si="6"/>
        <v>576150.73215429741</v>
      </c>
      <c r="AK27" s="144">
        <f t="shared" si="6"/>
        <v>667559.72488324984</v>
      </c>
      <c r="AL27" s="288">
        <f>AVERAGE(AH27:AK27)</f>
        <v>599312.76766468503</v>
      </c>
      <c r="AM27" s="144">
        <f t="shared" si="6"/>
        <v>576696.24228597479</v>
      </c>
      <c r="AN27" s="144">
        <f t="shared" si="6"/>
        <v>730470.94251660944</v>
      </c>
      <c r="AO27" s="144">
        <f t="shared" si="6"/>
        <v>653151.69339680381</v>
      </c>
      <c r="AP27" s="144">
        <f t="shared" si="6"/>
        <v>758058.23937531142</v>
      </c>
      <c r="AQ27" s="678">
        <f>AVERAGE(AM27:AP27)</f>
        <v>679594.27939367492</v>
      </c>
    </row>
    <row r="28" spans="2:45">
      <c r="B28" s="50" t="s">
        <v>627</v>
      </c>
      <c r="C28" s="697">
        <f>C16</f>
        <v>19509875.809940625</v>
      </c>
      <c r="D28" s="336">
        <f>D16</f>
        <v>19534385.704174217</v>
      </c>
      <c r="E28" s="336">
        <f>E16</f>
        <v>19558895.598407812</v>
      </c>
      <c r="F28" s="336">
        <f>F16</f>
        <v>19583405.492641408</v>
      </c>
      <c r="G28" s="336">
        <f>G16</f>
        <v>19607915.386875</v>
      </c>
      <c r="H28" s="697">
        <f>H16</f>
        <v>19607915.386875</v>
      </c>
      <c r="I28" s="336">
        <f>I16</f>
        <v>19632548.446406253</v>
      </c>
      <c r="J28" s="336">
        <f>J16</f>
        <v>19657181.505937502</v>
      </c>
      <c r="K28" s="336">
        <f>K16</f>
        <v>19681814.565468751</v>
      </c>
      <c r="L28" s="336">
        <f>L16</f>
        <v>19706447.625</v>
      </c>
      <c r="M28" s="697">
        <f>M16</f>
        <v>19706447.625</v>
      </c>
      <c r="N28" s="336">
        <f>N16</f>
        <v>19731204.46875</v>
      </c>
      <c r="O28" s="336">
        <f>O16</f>
        <v>19755961.3125</v>
      </c>
      <c r="P28" s="336">
        <f>P16</f>
        <v>19780718.15625</v>
      </c>
      <c r="Q28" s="336">
        <f>Q16</f>
        <v>19805475</v>
      </c>
      <c r="R28" s="697">
        <f>R16</f>
        <v>19805475</v>
      </c>
      <c r="S28" s="336">
        <f>S16</f>
        <v>19830356.25</v>
      </c>
      <c r="T28" s="336">
        <f>T16</f>
        <v>19855237.5</v>
      </c>
      <c r="U28" s="336">
        <f>U16</f>
        <v>19880118.75</v>
      </c>
      <c r="V28" s="336">
        <f>V16</f>
        <v>19905000</v>
      </c>
      <c r="W28" s="697">
        <f>W16</f>
        <v>19905000</v>
      </c>
      <c r="X28" s="336">
        <f>X16</f>
        <v>19929881.25</v>
      </c>
      <c r="Y28" s="336">
        <f>Y16</f>
        <v>19954762.5</v>
      </c>
      <c r="Z28" s="336">
        <f>Z16</f>
        <v>19979643.75</v>
      </c>
      <c r="AA28" s="336">
        <f>AA16</f>
        <v>20004525</v>
      </c>
      <c r="AB28" s="698">
        <f>AB16</f>
        <v>20004525</v>
      </c>
      <c r="AC28" s="336">
        <f>AC16</f>
        <v>20029530.65625</v>
      </c>
      <c r="AD28" s="336">
        <f>AD16</f>
        <v>20054536.3125</v>
      </c>
      <c r="AE28" s="336">
        <f>AE16</f>
        <v>20079541.96875</v>
      </c>
      <c r="AF28" s="336">
        <f>AF16</f>
        <v>20104547.625</v>
      </c>
      <c r="AG28" s="698">
        <f>AG16</f>
        <v>20104547.624999996</v>
      </c>
      <c r="AH28" s="336">
        <f>AH16</f>
        <v>20129678.309531245</v>
      </c>
      <c r="AI28" s="336">
        <f>AI16</f>
        <v>20154808.994062498</v>
      </c>
      <c r="AJ28" s="336">
        <f>AJ16</f>
        <v>20179939.678593744</v>
      </c>
      <c r="AK28" s="336">
        <f>AK16</f>
        <v>20205070.363124996</v>
      </c>
      <c r="AL28" s="698">
        <f>AL16</f>
        <v>20205070.363124996</v>
      </c>
      <c r="AM28" s="336">
        <f>AM16</f>
        <v>20230326.701078899</v>
      </c>
      <c r="AN28" s="336">
        <f>AN16</f>
        <v>20255583.039032802</v>
      </c>
      <c r="AO28" s="336">
        <f>AO16</f>
        <v>20280839.376986712</v>
      </c>
      <c r="AP28" s="336">
        <f>AP16</f>
        <v>20306095.714940615</v>
      </c>
      <c r="AQ28" s="699">
        <f>AQ16</f>
        <v>20306095.714940619</v>
      </c>
    </row>
    <row r="29" spans="2:45">
      <c r="B29" s="684"/>
      <c r="C29" s="148"/>
      <c r="D29" s="143"/>
      <c r="E29" s="143"/>
      <c r="F29" s="143"/>
      <c r="G29" s="143"/>
      <c r="H29" s="148"/>
      <c r="I29" s="143"/>
      <c r="J29" s="143"/>
      <c r="K29" s="143"/>
      <c r="L29" s="143"/>
      <c r="M29" s="148"/>
      <c r="N29" s="143"/>
      <c r="O29" s="143"/>
      <c r="P29" s="143"/>
      <c r="Q29" s="143"/>
      <c r="R29" s="148"/>
      <c r="S29" s="143"/>
      <c r="T29" s="143"/>
      <c r="U29" s="143"/>
      <c r="V29" s="143"/>
      <c r="W29" s="148"/>
      <c r="X29" s="143"/>
      <c r="Y29" s="143"/>
      <c r="Z29" s="143"/>
      <c r="AA29" s="143"/>
      <c r="AB29" s="279"/>
      <c r="AC29" s="143"/>
      <c r="AD29" s="143"/>
      <c r="AE29" s="143"/>
      <c r="AF29" s="143"/>
      <c r="AG29" s="279"/>
      <c r="AH29" s="143"/>
      <c r="AI29" s="143"/>
      <c r="AJ29" s="143"/>
      <c r="AK29" s="143"/>
      <c r="AL29" s="279"/>
      <c r="AM29" s="143"/>
      <c r="AN29" s="143"/>
      <c r="AO29" s="143"/>
      <c r="AP29" s="143"/>
      <c r="AQ29" s="676"/>
    </row>
    <row r="30" spans="2:45">
      <c r="B30" s="684" t="s">
        <v>628</v>
      </c>
      <c r="C30" s="334">
        <f>C27/C28</f>
        <v>7.4475709449779532E-3</v>
      </c>
      <c r="D30" s="289">
        <f t="shared" ref="D30:AQ30" si="7">D27/D28</f>
        <v>9.4869533530409951E-3</v>
      </c>
      <c r="E30" s="289">
        <f t="shared" si="7"/>
        <v>1.1359278430650824E-2</v>
      </c>
      <c r="F30" s="289">
        <f t="shared" si="7"/>
        <v>1.0805153589790952E-2</v>
      </c>
      <c r="G30" s="289">
        <f t="shared" si="7"/>
        <v>1.2162781410184858E-2</v>
      </c>
      <c r="H30" s="334">
        <f t="shared" si="7"/>
        <v>1.0639450326748474E-2</v>
      </c>
      <c r="I30" s="289">
        <f t="shared" si="7"/>
        <v>9.2342938769737776E-3</v>
      </c>
      <c r="J30" s="289">
        <f t="shared" si="7"/>
        <v>3.6854877718197833E-3</v>
      </c>
      <c r="K30" s="289">
        <f t="shared" si="7"/>
        <v>7.7225240859501573E-3</v>
      </c>
      <c r="L30" s="289">
        <f t="shared" si="7"/>
        <v>9.8461191315301223E-3</v>
      </c>
      <c r="M30" s="334">
        <f t="shared" si="7"/>
        <v>7.6008168374854133E-3</v>
      </c>
      <c r="N30" s="289">
        <f t="shared" si="7"/>
        <v>9.7368516025779211E-3</v>
      </c>
      <c r="O30" s="289">
        <f t="shared" si="7"/>
        <v>1.3679638323347948E-2</v>
      </c>
      <c r="P30" s="289">
        <f t="shared" si="7"/>
        <v>1.4257919243936577E-2</v>
      </c>
      <c r="Q30" s="289">
        <f t="shared" si="7"/>
        <v>1.5345996233041019E-2</v>
      </c>
      <c r="R30" s="334">
        <f t="shared" si="7"/>
        <v>1.3233168268946549E-2</v>
      </c>
      <c r="S30" s="289">
        <f t="shared" si="7"/>
        <v>1.3441893966131673E-2</v>
      </c>
      <c r="T30" s="289">
        <f t="shared" si="7"/>
        <v>1.8940171494149206E-2</v>
      </c>
      <c r="U30" s="289">
        <f t="shared" si="7"/>
        <v>1.8510955826156722E-2</v>
      </c>
      <c r="V30" s="289">
        <f t="shared" si="7"/>
        <v>2.1000906824920125E-2</v>
      </c>
      <c r="W30" s="334">
        <f t="shared" si="7"/>
        <v>1.7774609803315581E-2</v>
      </c>
      <c r="X30" s="289">
        <f t="shared" si="7"/>
        <v>1.6801684424892726E-2</v>
      </c>
      <c r="Y30" s="289">
        <f t="shared" si="7"/>
        <v>1.8786970664502321E-2</v>
      </c>
      <c r="Z30" s="289">
        <f t="shared" si="7"/>
        <v>2.0954661249486327E-2</v>
      </c>
      <c r="AA30" s="289">
        <f t="shared" si="7"/>
        <v>1.6737333178368397E-2</v>
      </c>
      <c r="AB30" s="339">
        <f t="shared" si="7"/>
        <v>1.8286289973885463E-2</v>
      </c>
      <c r="AC30" s="289">
        <f t="shared" si="7"/>
        <v>1.5713451373449479E-2</v>
      </c>
      <c r="AD30" s="289">
        <f t="shared" si="7"/>
        <v>1.569385854131301E-2</v>
      </c>
      <c r="AE30" s="289">
        <f t="shared" si="7"/>
        <v>2.3760673033932023E-2</v>
      </c>
      <c r="AF30" s="289">
        <f t="shared" si="7"/>
        <v>2.7348141654408607E-2</v>
      </c>
      <c r="AG30" s="339">
        <f t="shared" si="7"/>
        <v>2.0597224949209583E-2</v>
      </c>
      <c r="AH30" s="289">
        <f t="shared" si="7"/>
        <v>2.5313881709263037E-2</v>
      </c>
      <c r="AI30" s="289">
        <f t="shared" si="7"/>
        <v>3.1951695411150477E-2</v>
      </c>
      <c r="AJ30" s="289">
        <f t="shared" si="7"/>
        <v>2.8550666718070536E-2</v>
      </c>
      <c r="AK30" s="289">
        <f t="shared" si="7"/>
        <v>3.3039218022302516E-2</v>
      </c>
      <c r="AL30" s="339">
        <f t="shared" si="7"/>
        <v>2.9661503617352064E-2</v>
      </c>
      <c r="AM30" s="289">
        <f t="shared" si="7"/>
        <v>2.8506521461920786E-2</v>
      </c>
      <c r="AN30" s="289">
        <f t="shared" si="7"/>
        <v>3.6062696448133896E-2</v>
      </c>
      <c r="AO30" s="289">
        <f t="shared" si="7"/>
        <v>3.2205358035523664E-2</v>
      </c>
      <c r="AP30" s="289">
        <f t="shared" si="7"/>
        <v>3.7331560434710004E-2</v>
      </c>
      <c r="AQ30" s="700">
        <f t="shared" si="7"/>
        <v>3.346750103682658E-2</v>
      </c>
    </row>
    <row r="31" spans="2:45">
      <c r="B31" s="684"/>
      <c r="C31" s="148"/>
      <c r="D31" s="143"/>
      <c r="E31" s="143"/>
      <c r="F31" s="143"/>
      <c r="G31" s="143"/>
      <c r="H31" s="148"/>
      <c r="I31" s="143"/>
      <c r="J31" s="143"/>
      <c r="K31" s="143"/>
      <c r="L31" s="143"/>
      <c r="M31" s="148"/>
      <c r="N31" s="143"/>
      <c r="O31" s="143"/>
      <c r="P31" s="143"/>
      <c r="Q31" s="143"/>
      <c r="R31" s="148"/>
      <c r="S31" s="143"/>
      <c r="T31" s="143"/>
      <c r="U31" s="143"/>
      <c r="V31" s="143"/>
      <c r="W31" s="148"/>
      <c r="X31" s="143"/>
      <c r="Y31" s="143"/>
      <c r="Z31" s="143"/>
      <c r="AA31" s="143"/>
      <c r="AB31" s="279"/>
      <c r="AC31" s="143"/>
      <c r="AD31" s="143"/>
      <c r="AE31" s="143"/>
      <c r="AF31" s="143"/>
      <c r="AG31" s="279"/>
      <c r="AH31" s="143"/>
      <c r="AI31" s="143"/>
      <c r="AJ31" s="143"/>
      <c r="AK31" s="143"/>
      <c r="AL31" s="279"/>
      <c r="AM31" s="143"/>
      <c r="AN31" s="143"/>
      <c r="AO31" s="143"/>
      <c r="AP31" s="143"/>
      <c r="AQ31" s="676"/>
    </row>
    <row r="32" spans="2:45">
      <c r="B32" s="672" t="s">
        <v>623</v>
      </c>
      <c r="C32" s="673"/>
      <c r="D32" s="673"/>
      <c r="E32" s="673"/>
      <c r="F32" s="673"/>
      <c r="G32" s="673"/>
      <c r="H32" s="673"/>
      <c r="I32" s="673"/>
      <c r="J32" s="673"/>
      <c r="K32" s="673"/>
      <c r="L32" s="673"/>
      <c r="M32" s="673"/>
      <c r="N32" s="673"/>
      <c r="O32" s="673"/>
      <c r="P32" s="673"/>
      <c r="Q32" s="673"/>
      <c r="R32" s="673"/>
      <c r="S32" s="673"/>
      <c r="T32" s="673"/>
      <c r="U32" s="673"/>
      <c r="V32" s="673"/>
      <c r="W32" s="673"/>
      <c r="X32" s="673"/>
      <c r="Y32" s="673"/>
      <c r="Z32" s="673"/>
      <c r="AA32" s="674"/>
      <c r="AB32" s="674"/>
      <c r="AC32" s="674"/>
      <c r="AD32" s="674"/>
      <c r="AE32" s="674"/>
      <c r="AF32" s="674"/>
      <c r="AG32" s="674"/>
      <c r="AH32" s="674"/>
      <c r="AI32" s="674"/>
      <c r="AJ32" s="674"/>
      <c r="AK32" s="674"/>
      <c r="AL32" s="674"/>
      <c r="AM32" s="674"/>
      <c r="AN32" s="674"/>
      <c r="AO32" s="674"/>
      <c r="AP32" s="674"/>
      <c r="AQ32" s="675"/>
    </row>
    <row r="33" spans="2:45">
      <c r="B33" s="104"/>
      <c r="C33" s="148"/>
      <c r="D33" s="143"/>
      <c r="E33" s="143"/>
      <c r="F33" s="143"/>
      <c r="G33" s="143"/>
      <c r="H33" s="148"/>
      <c r="I33" s="143"/>
      <c r="J33" s="143"/>
      <c r="K33" s="143"/>
      <c r="L33" s="143"/>
      <c r="M33" s="148"/>
      <c r="N33" s="143"/>
      <c r="O33" s="143"/>
      <c r="P33" s="143"/>
      <c r="Q33" s="143"/>
      <c r="R33" s="148"/>
      <c r="S33" s="143"/>
      <c r="T33" s="143"/>
      <c r="U33" s="143"/>
      <c r="V33" s="143"/>
      <c r="W33" s="148"/>
      <c r="X33" s="143"/>
      <c r="Y33" s="143"/>
      <c r="Z33" s="143"/>
      <c r="AA33" s="143"/>
      <c r="AB33" s="279"/>
      <c r="AC33" s="143"/>
      <c r="AD33" s="143"/>
      <c r="AE33" s="143"/>
      <c r="AF33" s="143"/>
      <c r="AG33" s="279"/>
      <c r="AH33" s="143"/>
      <c r="AI33" s="143"/>
      <c r="AJ33" s="143"/>
      <c r="AK33" s="143"/>
      <c r="AL33" s="279"/>
      <c r="AM33" s="143"/>
      <c r="AN33" s="143"/>
      <c r="AO33" s="143"/>
      <c r="AP33" s="143"/>
      <c r="AQ33" s="676"/>
    </row>
    <row r="34" spans="2:45">
      <c r="B34" s="104" t="s">
        <v>643</v>
      </c>
      <c r="C34" s="685">
        <f>tower!E23</f>
        <v>57.067</v>
      </c>
      <c r="D34" s="686">
        <f>tower!F23</f>
        <v>17</v>
      </c>
      <c r="E34" s="686">
        <f>tower!G23</f>
        <v>20.9</v>
      </c>
      <c r="F34" s="686">
        <f>tower!H23</f>
        <v>19</v>
      </c>
      <c r="G34" s="686">
        <f>tower!I23</f>
        <v>24.567</v>
      </c>
      <c r="H34" s="685">
        <f>tower!J23</f>
        <v>81.466999999999999</v>
      </c>
      <c r="I34" s="686">
        <f>tower!K23</f>
        <v>14.081000000000001</v>
      </c>
      <c r="J34" s="686">
        <f>tower!L23</f>
        <v>5.9749999999999996</v>
      </c>
      <c r="K34" s="686">
        <f>tower!M23</f>
        <v>15.925000000000001</v>
      </c>
      <c r="L34" s="686">
        <f>tower!N23</f>
        <v>17.390999999999998</v>
      </c>
      <c r="M34" s="685">
        <f>tower!O23</f>
        <v>53.372</v>
      </c>
      <c r="N34" s="686">
        <f>tower!P23</f>
        <v>25.671999999999997</v>
      </c>
      <c r="O34" s="686">
        <f>tower!Q23</f>
        <v>34.944000000000003</v>
      </c>
      <c r="P34" s="686">
        <f>tower!R23</f>
        <v>36.182000000000002</v>
      </c>
      <c r="Q34" s="686">
        <f>tower!S23</f>
        <v>42.665999999999997</v>
      </c>
      <c r="R34" s="685">
        <f>tower!T23</f>
        <v>139.464</v>
      </c>
      <c r="S34" s="686">
        <f>tower!U23</f>
        <v>41.646999999999998</v>
      </c>
      <c r="T34" s="686">
        <f>tower!V23</f>
        <v>64.783000000000001</v>
      </c>
      <c r="U34" s="686">
        <f>tower!W23</f>
        <v>49.094000000000001</v>
      </c>
      <c r="V34" s="686">
        <f>tower!X23</f>
        <v>50.7</v>
      </c>
      <c r="W34" s="685">
        <f>tower!Y23</f>
        <v>206.22399999999999</v>
      </c>
      <c r="X34" s="686">
        <f>tower!Z23</f>
        <v>45.353000000000002</v>
      </c>
      <c r="Y34" s="686">
        <f>tower!AA23</f>
        <v>65.59</v>
      </c>
      <c r="Z34" s="686">
        <f>tower!AB23</f>
        <v>51</v>
      </c>
      <c r="AA34" s="686">
        <f>tower!AC23</f>
        <v>7.5224791550861587</v>
      </c>
      <c r="AB34" s="688">
        <f>tower!AD23</f>
        <v>169.46547915508617</v>
      </c>
      <c r="AC34" s="686">
        <f>tower!AE23</f>
        <v>8.0128973105134467</v>
      </c>
      <c r="AD34" s="686">
        <f>tower!AF23</f>
        <v>9.039765592298032</v>
      </c>
      <c r="AE34" s="686">
        <f>tower!AG23</f>
        <v>13.120359955005624</v>
      </c>
      <c r="AF34" s="686">
        <f>tower!AH23</f>
        <v>16.534647910227903</v>
      </c>
      <c r="AG34" s="688">
        <f>tower!AI23</f>
        <v>46.707670768045006</v>
      </c>
      <c r="AH34" s="686">
        <f>tower!AJ23</f>
        <v>19.567763917794622</v>
      </c>
      <c r="AI34" s="686">
        <f>tower!AK23</f>
        <v>21.624731263992299</v>
      </c>
      <c r="AJ34" s="686">
        <f>tower!AL23</f>
        <v>26.281003667229697</v>
      </c>
      <c r="AK34" s="686">
        <f>tower!AM23</f>
        <v>24.359347104141854</v>
      </c>
      <c r="AL34" s="688">
        <f>tower!AN23</f>
        <v>91.832845953158483</v>
      </c>
      <c r="AM34" s="686">
        <f>tower!AO23</f>
        <v>25.28106146413301</v>
      </c>
      <c r="AN34" s="686">
        <f>tower!AP23</f>
        <v>24.977817181471138</v>
      </c>
      <c r="AO34" s="686">
        <f>tower!AQ23</f>
        <v>27.399248427462584</v>
      </c>
      <c r="AP34" s="686">
        <f>tower!AR23</f>
        <v>32.403815120558086</v>
      </c>
      <c r="AQ34" s="689">
        <f>tower!AS23</f>
        <v>110.06194219362482</v>
      </c>
      <c r="AS34" s="651" t="s">
        <v>630</v>
      </c>
    </row>
    <row r="35" spans="2:45">
      <c r="B35" s="104" t="s">
        <v>659</v>
      </c>
      <c r="C35" s="685">
        <f>tower!E73</f>
        <v>8259.7215786661909</v>
      </c>
      <c r="D35" s="686">
        <f>tower!F73</f>
        <v>9471.9431573323836</v>
      </c>
      <c r="E35" s="686">
        <f>tower!G73</f>
        <v>10049.939611233094</v>
      </c>
      <c r="F35" s="686">
        <f>tower!H73</f>
        <v>10655.141972950729</v>
      </c>
      <c r="G35" s="686">
        <f>tower!I73</f>
        <v>11304.735410475467</v>
      </c>
      <c r="H35" s="685">
        <f>tower!J73</f>
        <v>10434.533048757832</v>
      </c>
      <c r="I35" s="686">
        <f>tower!K73</f>
        <v>11863.872340847163</v>
      </c>
      <c r="J35" s="686">
        <f>tower!L73</f>
        <v>12090.44130796046</v>
      </c>
      <c r="K35" s="686">
        <f>tower!M73</f>
        <v>12308.010425914508</v>
      </c>
      <c r="L35" s="686">
        <f>tower!N73</f>
        <v>12695.265257250183</v>
      </c>
      <c r="M35" s="685">
        <f>tower!O73</f>
        <v>12275.946738632258</v>
      </c>
      <c r="N35" s="686">
        <f>tower!P73</f>
        <v>13164.484519359103</v>
      </c>
      <c r="O35" s="686">
        <f>tower!Q73</f>
        <v>13811.24908369992</v>
      </c>
      <c r="P35" s="686">
        <f>tower!R73</f>
        <v>14540.622703376612</v>
      </c>
      <c r="Q35" s="686">
        <f>tower!S73</f>
        <v>15395.431874017933</v>
      </c>
      <c r="R35" s="685">
        <f>tower!T73</f>
        <v>14391.344272063372</v>
      </c>
      <c r="S35" s="686">
        <f>tower!U73</f>
        <v>16317.091764298872</v>
      </c>
      <c r="T35" s="686">
        <f>tower!V73</f>
        <v>17181.587438566603</v>
      </c>
      <c r="U35" s="686">
        <f>tower!W73</f>
        <v>18129.449449283107</v>
      </c>
      <c r="V35" s="686">
        <f>tower!X73</f>
        <v>18922.396103469484</v>
      </c>
      <c r="W35" s="685">
        <f>tower!Y73</f>
        <v>17550.360335499619</v>
      </c>
      <c r="X35" s="686">
        <f>tower!Z73</f>
        <v>19843.332347071093</v>
      </c>
      <c r="Y35" s="686">
        <f>tower!AA73</f>
        <v>21095.371125431011</v>
      </c>
      <c r="Z35" s="686">
        <f>tower!AB73</f>
        <v>20342.214656571003</v>
      </c>
      <c r="AA35" s="686">
        <f>tower!AC73</f>
        <v>19499.906498998353</v>
      </c>
      <c r="AB35" s="688">
        <f>tower!AD73</f>
        <v>19617.533284740995</v>
      </c>
      <c r="AC35" s="686">
        <f>tower!AE73</f>
        <v>20513.746974792732</v>
      </c>
      <c r="AD35" s="686">
        <f>tower!AF73</f>
        <v>21448.949990813646</v>
      </c>
      <c r="AE35" s="686">
        <f>tower!AG73</f>
        <v>22071.762886288037</v>
      </c>
      <c r="AF35" s="686">
        <f>tower!AH73</f>
        <v>22412.200025011793</v>
      </c>
      <c r="AG35" s="688">
        <f>tower!AI73</f>
        <v>21302.904060272933</v>
      </c>
      <c r="AH35" s="686">
        <f>tower!AJ73</f>
        <v>22748.656588747268</v>
      </c>
      <c r="AI35" s="686">
        <f>tower!AK73</f>
        <v>23111.096379980176</v>
      </c>
      <c r="AJ35" s="686">
        <f>tower!AL73</f>
        <v>23502.156823944963</v>
      </c>
      <c r="AK35" s="686">
        <f>tower!AM73</f>
        <v>23928.184595415216</v>
      </c>
      <c r="AL35" s="688">
        <f>tower!AN73</f>
        <v>23367.011777720763</v>
      </c>
      <c r="AM35" s="686">
        <f>tower!AO73</f>
        <v>24355.114765672493</v>
      </c>
      <c r="AN35" s="686">
        <f>tower!AP73</f>
        <v>24750.89247224979</v>
      </c>
      <c r="AO35" s="686">
        <f>tower!AQ73</f>
        <v>25127.942209233908</v>
      </c>
      <c r="AP35" s="686">
        <f>tower!AR73</f>
        <v>25583.647759600964</v>
      </c>
      <c r="AQ35" s="689">
        <f>tower!AS73</f>
        <v>25006.962597368285</v>
      </c>
      <c r="AS35" s="651" t="s">
        <v>630</v>
      </c>
    </row>
    <row r="36" spans="2:45">
      <c r="B36" s="50" t="s">
        <v>632</v>
      </c>
      <c r="C36" s="685">
        <f>unitEconomics!$D$13</f>
        <v>376.48500000000001</v>
      </c>
      <c r="D36" s="686">
        <f>unitEconomics!$D$13</f>
        <v>376.48500000000001</v>
      </c>
      <c r="E36" s="686">
        <f>unitEconomics!$D$13</f>
        <v>376.48500000000001</v>
      </c>
      <c r="F36" s="686">
        <f>unitEconomics!$D$13</f>
        <v>376.48500000000001</v>
      </c>
      <c r="G36" s="686">
        <f>unitEconomics!$D$13</f>
        <v>376.48500000000001</v>
      </c>
      <c r="H36" s="685">
        <f>unitEconomics!$D$13</f>
        <v>376.48500000000001</v>
      </c>
      <c r="I36" s="686">
        <f>unitEconomics!$D$13</f>
        <v>376.48500000000001</v>
      </c>
      <c r="J36" s="686">
        <f>unitEconomics!$D$13</f>
        <v>376.48500000000001</v>
      </c>
      <c r="K36" s="686">
        <f>unitEconomics!$D$13</f>
        <v>376.48500000000001</v>
      </c>
      <c r="L36" s="686">
        <f>unitEconomics!$D$13</f>
        <v>376.48500000000001</v>
      </c>
      <c r="M36" s="685">
        <f>unitEconomics!$D$13</f>
        <v>376.48500000000001</v>
      </c>
      <c r="N36" s="686">
        <f>unitEconomics!$D$13</f>
        <v>376.48500000000001</v>
      </c>
      <c r="O36" s="686">
        <f>unitEconomics!$D$13</f>
        <v>376.48500000000001</v>
      </c>
      <c r="P36" s="686">
        <f>unitEconomics!$D$13</f>
        <v>376.48500000000001</v>
      </c>
      <c r="Q36" s="686">
        <f>unitEconomics!$D$13</f>
        <v>376.48500000000001</v>
      </c>
      <c r="R36" s="685">
        <f>unitEconomics!$D$13</f>
        <v>376.48500000000001</v>
      </c>
      <c r="S36" s="686">
        <f>unitEconomics!$D$13</f>
        <v>376.48500000000001</v>
      </c>
      <c r="T36" s="686">
        <f>unitEconomics!$D$13</f>
        <v>376.48500000000001</v>
      </c>
      <c r="U36" s="686">
        <f>unitEconomics!$D$13</f>
        <v>376.48500000000001</v>
      </c>
      <c r="V36" s="686">
        <f>unitEconomics!$D$13</f>
        <v>376.48500000000001</v>
      </c>
      <c r="W36" s="685">
        <f>unitEconomics!$D$13</f>
        <v>376.48500000000001</v>
      </c>
      <c r="X36" s="686">
        <f>unitEconomics!$D$13</f>
        <v>376.48500000000001</v>
      </c>
      <c r="Y36" s="686">
        <f>unitEconomics!$D$13</f>
        <v>376.48500000000001</v>
      </c>
      <c r="Z36" s="686">
        <f>unitEconomics!$D$13</f>
        <v>376.48500000000001</v>
      </c>
      <c r="AA36" s="686">
        <f>unitEconomics!$D$13</f>
        <v>376.48500000000001</v>
      </c>
      <c r="AB36" s="688">
        <f>unitEconomics!$D$13</f>
        <v>376.48500000000001</v>
      </c>
      <c r="AC36" s="686">
        <f>unitEconomics!$D$13</f>
        <v>376.48500000000001</v>
      </c>
      <c r="AD36" s="686">
        <f>unitEconomics!$D$13</f>
        <v>376.48500000000001</v>
      </c>
      <c r="AE36" s="686">
        <f>unitEconomics!$D$13</f>
        <v>376.48500000000001</v>
      </c>
      <c r="AF36" s="686">
        <f>unitEconomics!$D$13</f>
        <v>376.48500000000001</v>
      </c>
      <c r="AG36" s="688">
        <f>unitEconomics!$D$13</f>
        <v>376.48500000000001</v>
      </c>
      <c r="AH36" s="686">
        <f>unitEconomics!$D$13</f>
        <v>376.48500000000001</v>
      </c>
      <c r="AI36" s="686">
        <f>unitEconomics!$D$13</f>
        <v>376.48500000000001</v>
      </c>
      <c r="AJ36" s="686">
        <f>unitEconomics!$D$13</f>
        <v>376.48500000000001</v>
      </c>
      <c r="AK36" s="686">
        <f>unitEconomics!$D$13</f>
        <v>376.48500000000001</v>
      </c>
      <c r="AL36" s="688">
        <f>unitEconomics!$D$13</f>
        <v>376.48500000000001</v>
      </c>
      <c r="AM36" s="686">
        <f>unitEconomics!$D$13</f>
        <v>376.48500000000001</v>
      </c>
      <c r="AN36" s="686">
        <f>unitEconomics!$D$13</f>
        <v>376.48500000000001</v>
      </c>
      <c r="AO36" s="686">
        <f>unitEconomics!$D$13</f>
        <v>376.48500000000001</v>
      </c>
      <c r="AP36" s="686">
        <f>unitEconomics!$D$13</f>
        <v>376.48500000000001</v>
      </c>
      <c r="AQ36" s="689">
        <f>unitEconomics!$D$13</f>
        <v>376.48500000000001</v>
      </c>
      <c r="AS36" s="651" t="s">
        <v>629</v>
      </c>
    </row>
    <row r="37" spans="2:45">
      <c r="B37" s="50" t="s">
        <v>635</v>
      </c>
      <c r="C37" s="316">
        <v>1</v>
      </c>
      <c r="D37" s="280">
        <v>4</v>
      </c>
      <c r="E37" s="280">
        <v>4</v>
      </c>
      <c r="F37" s="280">
        <v>4</v>
      </c>
      <c r="G37" s="280">
        <v>4</v>
      </c>
      <c r="H37" s="316">
        <v>1</v>
      </c>
      <c r="I37" s="280">
        <v>4</v>
      </c>
      <c r="J37" s="280">
        <v>4</v>
      </c>
      <c r="K37" s="280">
        <v>4</v>
      </c>
      <c r="L37" s="280">
        <v>4</v>
      </c>
      <c r="M37" s="316">
        <v>1</v>
      </c>
      <c r="N37" s="280">
        <v>4</v>
      </c>
      <c r="O37" s="280">
        <v>4</v>
      </c>
      <c r="P37" s="280">
        <v>4</v>
      </c>
      <c r="Q37" s="280">
        <v>4</v>
      </c>
      <c r="R37" s="316">
        <v>1</v>
      </c>
      <c r="S37" s="280">
        <v>4</v>
      </c>
      <c r="T37" s="280">
        <v>4</v>
      </c>
      <c r="U37" s="280">
        <v>4</v>
      </c>
      <c r="V37" s="280">
        <v>4</v>
      </c>
      <c r="W37" s="316">
        <v>1</v>
      </c>
      <c r="X37" s="280">
        <v>4</v>
      </c>
      <c r="Y37" s="280">
        <v>4</v>
      </c>
      <c r="Z37" s="280">
        <v>4</v>
      </c>
      <c r="AA37" s="280">
        <v>4</v>
      </c>
      <c r="AB37" s="320">
        <v>1</v>
      </c>
      <c r="AC37" s="280">
        <v>4</v>
      </c>
      <c r="AD37" s="280">
        <v>4</v>
      </c>
      <c r="AE37" s="280">
        <v>4</v>
      </c>
      <c r="AF37" s="280">
        <v>4</v>
      </c>
      <c r="AG37" s="320">
        <v>1</v>
      </c>
      <c r="AH37" s="280">
        <v>4</v>
      </c>
      <c r="AI37" s="280">
        <v>4</v>
      </c>
      <c r="AJ37" s="280">
        <v>4</v>
      </c>
      <c r="AK37" s="280">
        <v>4</v>
      </c>
      <c r="AL37" s="320">
        <v>1</v>
      </c>
      <c r="AM37" s="280">
        <v>4</v>
      </c>
      <c r="AN37" s="280">
        <v>4</v>
      </c>
      <c r="AO37" s="280">
        <v>4</v>
      </c>
      <c r="AP37" s="280">
        <v>4</v>
      </c>
      <c r="AQ37" s="701">
        <v>1</v>
      </c>
    </row>
    <row r="38" spans="2:45">
      <c r="B38" s="50" t="s">
        <v>620</v>
      </c>
      <c r="C38" s="677">
        <f>C25</f>
        <v>12</v>
      </c>
      <c r="D38" s="144">
        <f>D25</f>
        <v>3</v>
      </c>
      <c r="E38" s="144">
        <f>E25</f>
        <v>3</v>
      </c>
      <c r="F38" s="144">
        <f>F25</f>
        <v>3</v>
      </c>
      <c r="G38" s="144">
        <f>G25</f>
        <v>3</v>
      </c>
      <c r="H38" s="677">
        <f>H25</f>
        <v>12</v>
      </c>
      <c r="I38" s="144">
        <f>I25</f>
        <v>3</v>
      </c>
      <c r="J38" s="144">
        <f>J25</f>
        <v>3</v>
      </c>
      <c r="K38" s="144">
        <f>K25</f>
        <v>3</v>
      </c>
      <c r="L38" s="144">
        <f>L25</f>
        <v>3</v>
      </c>
      <c r="M38" s="677">
        <f>M25</f>
        <v>12</v>
      </c>
      <c r="N38" s="144">
        <f>N25</f>
        <v>3</v>
      </c>
      <c r="O38" s="144">
        <f>O25</f>
        <v>3</v>
      </c>
      <c r="P38" s="144">
        <f>P25</f>
        <v>3</v>
      </c>
      <c r="Q38" s="144">
        <f>Q25</f>
        <v>3</v>
      </c>
      <c r="R38" s="677">
        <f>R25</f>
        <v>12</v>
      </c>
      <c r="S38" s="144">
        <f>S25</f>
        <v>3</v>
      </c>
      <c r="T38" s="144">
        <f>T25</f>
        <v>3</v>
      </c>
      <c r="U38" s="144">
        <f>U25</f>
        <v>3</v>
      </c>
      <c r="V38" s="144">
        <f>V25</f>
        <v>3</v>
      </c>
      <c r="W38" s="677">
        <f>W25</f>
        <v>12</v>
      </c>
      <c r="X38" s="144">
        <f>X25</f>
        <v>3</v>
      </c>
      <c r="Y38" s="144">
        <f>Y25</f>
        <v>3</v>
      </c>
      <c r="Z38" s="144">
        <f>Z25</f>
        <v>3</v>
      </c>
      <c r="AA38" s="144">
        <f>AA25</f>
        <v>3</v>
      </c>
      <c r="AB38" s="288">
        <f>AB25</f>
        <v>12</v>
      </c>
      <c r="AC38" s="144">
        <f>AC25</f>
        <v>3</v>
      </c>
      <c r="AD38" s="144">
        <f>AD25</f>
        <v>3</v>
      </c>
      <c r="AE38" s="144">
        <f>AE25</f>
        <v>3</v>
      </c>
      <c r="AF38" s="144">
        <f>AF25</f>
        <v>3</v>
      </c>
      <c r="AG38" s="288">
        <f>AG25</f>
        <v>12</v>
      </c>
      <c r="AH38" s="144">
        <f>AH25</f>
        <v>3</v>
      </c>
      <c r="AI38" s="144">
        <f>AI25</f>
        <v>3</v>
      </c>
      <c r="AJ38" s="144">
        <f>AJ25</f>
        <v>3</v>
      </c>
      <c r="AK38" s="144">
        <f>AK25</f>
        <v>3</v>
      </c>
      <c r="AL38" s="288">
        <f>AL25</f>
        <v>12</v>
      </c>
      <c r="AM38" s="144">
        <f>AM25</f>
        <v>3</v>
      </c>
      <c r="AN38" s="144">
        <f>AN25</f>
        <v>3</v>
      </c>
      <c r="AO38" s="144">
        <f>AO25</f>
        <v>3</v>
      </c>
      <c r="AP38" s="144">
        <f>AP25</f>
        <v>3</v>
      </c>
      <c r="AQ38" s="678">
        <f>AQ25</f>
        <v>12</v>
      </c>
    </row>
    <row r="39" spans="2:45">
      <c r="B39" s="50"/>
      <c r="C39" s="677"/>
      <c r="D39" s="144"/>
      <c r="E39" s="144"/>
      <c r="F39" s="144"/>
      <c r="G39" s="144"/>
      <c r="H39" s="677"/>
      <c r="I39" s="144"/>
      <c r="J39" s="144"/>
      <c r="K39" s="144"/>
      <c r="L39" s="144"/>
      <c r="M39" s="677"/>
      <c r="N39" s="144"/>
      <c r="O39" s="144"/>
      <c r="P39" s="144"/>
      <c r="Q39" s="144"/>
      <c r="R39" s="677"/>
      <c r="S39" s="144"/>
      <c r="T39" s="144"/>
      <c r="U39" s="144"/>
      <c r="V39" s="144"/>
      <c r="W39" s="677"/>
      <c r="X39" s="144"/>
      <c r="Y39" s="144"/>
      <c r="Z39" s="144"/>
      <c r="AA39" s="144"/>
      <c r="AB39" s="288"/>
      <c r="AC39" s="144"/>
      <c r="AD39" s="144"/>
      <c r="AE39" s="144"/>
      <c r="AF39" s="144"/>
      <c r="AG39" s="288"/>
      <c r="AH39" s="144"/>
      <c r="AI39" s="144"/>
      <c r="AJ39" s="144"/>
      <c r="AK39" s="144"/>
      <c r="AL39" s="288"/>
      <c r="AM39" s="144"/>
      <c r="AN39" s="144"/>
      <c r="AO39" s="144"/>
      <c r="AP39" s="144"/>
      <c r="AQ39" s="678"/>
    </row>
    <row r="40" spans="2:45">
      <c r="B40" s="104" t="s">
        <v>633</v>
      </c>
      <c r="C40" s="677">
        <f>C35*C36/C38/C37</f>
        <v>259138.43987867841</v>
      </c>
      <c r="D40" s="144">
        <f>D35*D36/D38/D37</f>
        <v>297170.3766323569</v>
      </c>
      <c r="E40" s="144">
        <f>E35*E36/E38/E37</f>
        <v>315304.29287792434</v>
      </c>
      <c r="F40" s="144">
        <f>F35*F36/F38/F37</f>
        <v>334291.76047386293</v>
      </c>
      <c r="G40" s="144">
        <f>G35*G36/G38/G37</f>
        <v>354671.94258440472</v>
      </c>
      <c r="H40" s="677">
        <f>H35*H36/H38/H37</f>
        <v>327370.43123846606</v>
      </c>
      <c r="I40" s="144">
        <f>I35*I36/I38/I37</f>
        <v>372214.1648536537</v>
      </c>
      <c r="J40" s="144">
        <f>J35*J36/J38/J37</f>
        <v>379322.48298562452</v>
      </c>
      <c r="K40" s="144">
        <f>K35*K36/K38/K37</f>
        <v>386148.44210003532</v>
      </c>
      <c r="L40" s="144">
        <f>L35*L36/L38/L37</f>
        <v>398298.07836465299</v>
      </c>
      <c r="M40" s="677">
        <f>M35*M36/M38/M37</f>
        <v>385142.48399116378</v>
      </c>
      <c r="N40" s="144">
        <f>N35*N36/N38/N37</f>
        <v>413019.24618924269</v>
      </c>
      <c r="O40" s="144">
        <f>O35*O36/O38/O37</f>
        <v>433310.67593973037</v>
      </c>
      <c r="P40" s="144">
        <f>P35*P36/P38/P37</f>
        <v>456193.86154006195</v>
      </c>
      <c r="Q40" s="144">
        <f>Q35*Q36/Q38/Q37</f>
        <v>483012.43075747014</v>
      </c>
      <c r="R40" s="677">
        <f>R35*R36/R38/R37</f>
        <v>451510.43735564826</v>
      </c>
      <c r="S40" s="144">
        <f>S35*S36/S38/S37</f>
        <v>511928.35774017172</v>
      </c>
      <c r="T40" s="144">
        <f>T35*T36/T38/T37</f>
        <v>539050.82890072896</v>
      </c>
      <c r="U40" s="144">
        <f>U35*U36/U38/U37</f>
        <v>568788.8146594459</v>
      </c>
      <c r="V40" s="144">
        <f>V35*V36/V38/V37</f>
        <v>593666.52475122572</v>
      </c>
      <c r="W40" s="677">
        <f>W35*W36/W38/W37</f>
        <v>550620.61757588119</v>
      </c>
      <c r="X40" s="144">
        <f>X35*X36/X38/X37</f>
        <v>622559.74822392175</v>
      </c>
      <c r="Y40" s="144">
        <f>Y35*Y36/Y38/Y37</f>
        <v>661840.89984649117</v>
      </c>
      <c r="Z40" s="144">
        <f>Z35*Z36/Z38/Z37</f>
        <v>638211.55708159448</v>
      </c>
      <c r="AA40" s="144">
        <f>AA35*AA36/AA38/AA37</f>
        <v>611785.19152294961</v>
      </c>
      <c r="AB40" s="288">
        <f>AB35*AB36/AB38/AB37</f>
        <v>615475.5848921428</v>
      </c>
      <c r="AC40" s="144">
        <f>AC35*AC36/AC38/AC37</f>
        <v>643593.16915040347</v>
      </c>
      <c r="AD40" s="144">
        <f>AD35*AD36/AD38/AD37</f>
        <v>672933.99477428966</v>
      </c>
      <c r="AE40" s="144">
        <f>AE35*AE36/AE38/AE37</f>
        <v>692473.97085367935</v>
      </c>
      <c r="AF40" s="144">
        <f>AF35*AF36/AF38/AF37</f>
        <v>703154.76053471386</v>
      </c>
      <c r="AG40" s="288">
        <f>AG35*AG36/AG38/AG37</f>
        <v>668351.98626098793</v>
      </c>
      <c r="AH40" s="144">
        <f>AH35*AH36/AH38/AH37</f>
        <v>713710.6646512096</v>
      </c>
      <c r="AI40" s="144">
        <f>AI35*AI36/AI38/AI37</f>
        <v>725081.76005140308</v>
      </c>
      <c r="AJ40" s="144">
        <f>AJ35*AJ36/AJ38/AJ37</f>
        <v>737350.79265524319</v>
      </c>
      <c r="AK40" s="144">
        <f>AK35*AK36/AK38/AK37</f>
        <v>750716.88145040814</v>
      </c>
      <c r="AL40" s="288">
        <f>AL35*AL36/AL38/AL37</f>
        <v>733110.78576126683</v>
      </c>
      <c r="AM40" s="144">
        <f>AM35*AM36/AM38/AM37</f>
        <v>764111.28187951737</v>
      </c>
      <c r="AN40" s="144">
        <f>AN35*AN36/AN38/AN37</f>
        <v>776528.31270124682</v>
      </c>
      <c r="AO40" s="144">
        <f>AO35*AO36/AO38/AO37</f>
        <v>788357.77688695246</v>
      </c>
      <c r="AP40" s="144">
        <f>AP35*AP36/AP38/AP37</f>
        <v>802654.96889778075</v>
      </c>
      <c r="AQ40" s="678">
        <f>AQ35*AQ36/AQ38/AQ37</f>
        <v>784562.19278918335</v>
      </c>
    </row>
    <row r="41" spans="2:45">
      <c r="B41" s="50" t="s">
        <v>627</v>
      </c>
      <c r="C41" s="697">
        <f>C28</f>
        <v>19509875.809940625</v>
      </c>
      <c r="D41" s="336">
        <f t="shared" ref="D41:AQ41" si="8">D28</f>
        <v>19534385.704174217</v>
      </c>
      <c r="E41" s="336">
        <f t="shared" si="8"/>
        <v>19558895.598407812</v>
      </c>
      <c r="F41" s="336">
        <f t="shared" si="8"/>
        <v>19583405.492641408</v>
      </c>
      <c r="G41" s="336">
        <f t="shared" si="8"/>
        <v>19607915.386875</v>
      </c>
      <c r="H41" s="697">
        <f t="shared" si="8"/>
        <v>19607915.386875</v>
      </c>
      <c r="I41" s="336">
        <f t="shared" si="8"/>
        <v>19632548.446406253</v>
      </c>
      <c r="J41" s="336">
        <f t="shared" si="8"/>
        <v>19657181.505937502</v>
      </c>
      <c r="K41" s="336">
        <f t="shared" si="8"/>
        <v>19681814.565468751</v>
      </c>
      <c r="L41" s="336">
        <f t="shared" si="8"/>
        <v>19706447.625</v>
      </c>
      <c r="M41" s="697">
        <f t="shared" si="8"/>
        <v>19706447.625</v>
      </c>
      <c r="N41" s="336">
        <f t="shared" si="8"/>
        <v>19731204.46875</v>
      </c>
      <c r="O41" s="336">
        <f t="shared" si="8"/>
        <v>19755961.3125</v>
      </c>
      <c r="P41" s="336">
        <f t="shared" si="8"/>
        <v>19780718.15625</v>
      </c>
      <c r="Q41" s="336">
        <f t="shared" si="8"/>
        <v>19805475</v>
      </c>
      <c r="R41" s="697">
        <f t="shared" si="8"/>
        <v>19805475</v>
      </c>
      <c r="S41" s="336">
        <f t="shared" si="8"/>
        <v>19830356.25</v>
      </c>
      <c r="T41" s="336">
        <f t="shared" si="8"/>
        <v>19855237.5</v>
      </c>
      <c r="U41" s="336">
        <f t="shared" si="8"/>
        <v>19880118.75</v>
      </c>
      <c r="V41" s="336">
        <f t="shared" si="8"/>
        <v>19905000</v>
      </c>
      <c r="W41" s="697">
        <f t="shared" si="8"/>
        <v>19905000</v>
      </c>
      <c r="X41" s="336">
        <f t="shared" si="8"/>
        <v>19929881.25</v>
      </c>
      <c r="Y41" s="336">
        <f t="shared" si="8"/>
        <v>19954762.5</v>
      </c>
      <c r="Z41" s="336">
        <f t="shared" si="8"/>
        <v>19979643.75</v>
      </c>
      <c r="AA41" s="336">
        <f t="shared" si="8"/>
        <v>20004525</v>
      </c>
      <c r="AB41" s="698">
        <f t="shared" si="8"/>
        <v>20004525</v>
      </c>
      <c r="AC41" s="336">
        <f t="shared" si="8"/>
        <v>20029530.65625</v>
      </c>
      <c r="AD41" s="336">
        <f t="shared" si="8"/>
        <v>20054536.3125</v>
      </c>
      <c r="AE41" s="336">
        <f t="shared" si="8"/>
        <v>20079541.96875</v>
      </c>
      <c r="AF41" s="336">
        <f t="shared" si="8"/>
        <v>20104547.625</v>
      </c>
      <c r="AG41" s="698">
        <f t="shared" si="8"/>
        <v>20104547.624999996</v>
      </c>
      <c r="AH41" s="336">
        <f t="shared" si="8"/>
        <v>20129678.309531245</v>
      </c>
      <c r="AI41" s="336">
        <f t="shared" si="8"/>
        <v>20154808.994062498</v>
      </c>
      <c r="AJ41" s="336">
        <f t="shared" si="8"/>
        <v>20179939.678593744</v>
      </c>
      <c r="AK41" s="336">
        <f t="shared" si="8"/>
        <v>20205070.363124996</v>
      </c>
      <c r="AL41" s="698">
        <f t="shared" si="8"/>
        <v>20205070.363124996</v>
      </c>
      <c r="AM41" s="336">
        <f t="shared" si="8"/>
        <v>20230326.701078899</v>
      </c>
      <c r="AN41" s="336">
        <f t="shared" si="8"/>
        <v>20255583.039032802</v>
      </c>
      <c r="AO41" s="336">
        <f t="shared" si="8"/>
        <v>20280839.376986712</v>
      </c>
      <c r="AP41" s="336">
        <f t="shared" si="8"/>
        <v>20306095.714940615</v>
      </c>
      <c r="AQ41" s="699">
        <f t="shared" si="8"/>
        <v>20306095.714940619</v>
      </c>
    </row>
    <row r="42" spans="2:45">
      <c r="B42" s="104"/>
      <c r="C42" s="148"/>
      <c r="D42" s="143"/>
      <c r="E42" s="143"/>
      <c r="F42" s="143"/>
      <c r="G42" s="143"/>
      <c r="H42" s="148"/>
      <c r="I42" s="143"/>
      <c r="J42" s="143"/>
      <c r="K42" s="143"/>
      <c r="L42" s="143"/>
      <c r="M42" s="148"/>
      <c r="N42" s="143"/>
      <c r="O42" s="143"/>
      <c r="P42" s="143"/>
      <c r="Q42" s="143"/>
      <c r="R42" s="148"/>
      <c r="S42" s="143"/>
      <c r="T42" s="143"/>
      <c r="U42" s="143"/>
      <c r="V42" s="143"/>
      <c r="W42" s="148"/>
      <c r="X42" s="143"/>
      <c r="Y42" s="143"/>
      <c r="Z42" s="143"/>
      <c r="AA42" s="143"/>
      <c r="AB42" s="279"/>
      <c r="AC42" s="143"/>
      <c r="AD42" s="143"/>
      <c r="AE42" s="143"/>
      <c r="AF42" s="143"/>
      <c r="AG42" s="279"/>
      <c r="AH42" s="143"/>
      <c r="AI42" s="143"/>
      <c r="AJ42" s="143"/>
      <c r="AK42" s="143"/>
      <c r="AL42" s="279"/>
      <c r="AM42" s="143"/>
      <c r="AN42" s="143"/>
      <c r="AO42" s="143"/>
      <c r="AP42" s="143"/>
      <c r="AQ42" s="676"/>
    </row>
    <row r="43" spans="2:45">
      <c r="B43" s="104" t="s">
        <v>628</v>
      </c>
      <c r="C43" s="334">
        <f>C40/C41</f>
        <v>1.3282423855647651E-2</v>
      </c>
      <c r="D43" s="289">
        <f>D40/D41</f>
        <v>1.5212680917263544E-2</v>
      </c>
      <c r="E43" s="289">
        <f>E40/E41</f>
        <v>1.6120761588583336E-2</v>
      </c>
      <c r="F43" s="289">
        <f>F40/F41</f>
        <v>1.7070154657190511E-2</v>
      </c>
      <c r="G43" s="289">
        <f>G40/G41</f>
        <v>1.8088202421651225E-2</v>
      </c>
      <c r="H43" s="334">
        <f>H40/H41</f>
        <v>1.6695830473523913E-2</v>
      </c>
      <c r="I43" s="289">
        <f>I40/I41</f>
        <v>1.895903457820259E-2</v>
      </c>
      <c r="J43" s="289">
        <f>J40/J41</f>
        <v>1.9296890699770423E-2</v>
      </c>
      <c r="K43" s="289">
        <f>K40/K41</f>
        <v>1.9619554935626872E-2</v>
      </c>
      <c r="L43" s="289">
        <f>L40/L41</f>
        <v>2.021156151245463E-2</v>
      </c>
      <c r="M43" s="334">
        <f>M40/M41</f>
        <v>1.9543983335817673E-2</v>
      </c>
      <c r="N43" s="289">
        <f>N40/N41</f>
        <v>2.0932287577444988E-2</v>
      </c>
      <c r="O43" s="289">
        <f>O40/O41</f>
        <v>2.1933160785527851E-2</v>
      </c>
      <c r="P43" s="289">
        <f>P40/P41</f>
        <v>2.3062553034553044E-2</v>
      </c>
      <c r="Q43" s="289">
        <f>Q40/Q41</f>
        <v>2.438782360723336E-2</v>
      </c>
      <c r="R43" s="334">
        <f>R40/R41</f>
        <v>2.2797253656155595E-2</v>
      </c>
      <c r="S43" s="289">
        <f>S40/S41</f>
        <v>2.5815388855667771E-2</v>
      </c>
      <c r="T43" s="289">
        <f>T40/T41</f>
        <v>2.7149049660107512E-2</v>
      </c>
      <c r="U43" s="289">
        <f>U40/U41</f>
        <v>2.8610936474383279E-2</v>
      </c>
      <c r="V43" s="289">
        <f>V40/V41</f>
        <v>2.9824994963638569E-2</v>
      </c>
      <c r="W43" s="334">
        <f>W40/W41</f>
        <v>2.7662427408986747E-2</v>
      </c>
      <c r="X43" s="289">
        <f>X40/X41</f>
        <v>3.1237504148396357E-2</v>
      </c>
      <c r="Y43" s="289">
        <f>Y40/Y41</f>
        <v>3.3167064746898949E-2</v>
      </c>
      <c r="Z43" s="289">
        <f>Z40/Z41</f>
        <v>3.1943089930299408E-2</v>
      </c>
      <c r="AA43" s="289">
        <f>AA40/AA41</f>
        <v>3.0582340321649706E-2</v>
      </c>
      <c r="AB43" s="339">
        <f>AB40/AB41</f>
        <v>3.0766818251977631E-2</v>
      </c>
      <c r="AC43" s="289">
        <f>AC40/AC41</f>
        <v>3.2132214188931939E-2</v>
      </c>
      <c r="AD43" s="289">
        <f>AD40/AD41</f>
        <v>3.3555200892620471E-2</v>
      </c>
      <c r="AE43" s="289">
        <f>AE40/AE41</f>
        <v>3.448654216970605E-2</v>
      </c>
      <c r="AF43" s="289">
        <f>AF40/AF41</f>
        <v>3.4974910833623585E-2</v>
      </c>
      <c r="AG43" s="339">
        <f>AG40/AG41</f>
        <v>3.3243821185505937E-2</v>
      </c>
      <c r="AH43" s="289">
        <f>AH40/AH41</f>
        <v>3.5455641847653034E-2</v>
      </c>
      <c r="AI43" s="289">
        <f>AI40/AI41</f>
        <v>3.5975620521385657E-2</v>
      </c>
      <c r="AJ43" s="289">
        <f>AJ40/AJ41</f>
        <v>3.6538800630677909E-2</v>
      </c>
      <c r="AK43" s="289">
        <f>AK40/AK41</f>
        <v>3.7154875878110991E-2</v>
      </c>
      <c r="AL43" s="339">
        <f>AL40/AL41</f>
        <v>3.6283505703559503E-2</v>
      </c>
      <c r="AM43" s="289">
        <f>AM40/AM41</f>
        <v>3.777058537758398E-2</v>
      </c>
      <c r="AN43" s="289">
        <f>AN40/AN41</f>
        <v>3.8336507579409859E-2</v>
      </c>
      <c r="AO43" s="289">
        <f>AO40/AO41</f>
        <v>3.8872048746736096E-2</v>
      </c>
      <c r="AP43" s="289">
        <f>AP40/AP41</f>
        <v>3.9527784177005101E-2</v>
      </c>
      <c r="AQ43" s="700">
        <f>AQ40/AQ41</f>
        <v>3.8636781969461804E-2</v>
      </c>
    </row>
    <row r="44" spans="2:45">
      <c r="B44" s="104"/>
      <c r="C44" s="334"/>
      <c r="D44" s="289"/>
      <c r="E44" s="289"/>
      <c r="F44" s="289"/>
      <c r="G44" s="289"/>
      <c r="H44" s="334"/>
      <c r="I44" s="289"/>
      <c r="J44" s="289"/>
      <c r="K44" s="289"/>
      <c r="L44" s="289"/>
      <c r="M44" s="334"/>
      <c r="N44" s="289"/>
      <c r="O44" s="289"/>
      <c r="P44" s="289"/>
      <c r="Q44" s="289"/>
      <c r="R44" s="334"/>
      <c r="S44" s="289"/>
      <c r="T44" s="289"/>
      <c r="U44" s="289"/>
      <c r="V44" s="289"/>
      <c r="W44" s="334"/>
      <c r="X44" s="289"/>
      <c r="Y44" s="289"/>
      <c r="Z44" s="289"/>
      <c r="AA44" s="289"/>
      <c r="AB44" s="339"/>
      <c r="AC44" s="289"/>
      <c r="AD44" s="289"/>
      <c r="AE44" s="289"/>
      <c r="AF44" s="289"/>
      <c r="AG44" s="339"/>
      <c r="AH44" s="289"/>
      <c r="AI44" s="289"/>
      <c r="AJ44" s="289"/>
      <c r="AK44" s="289"/>
      <c r="AL44" s="339"/>
      <c r="AM44" s="289"/>
      <c r="AN44" s="289"/>
      <c r="AO44" s="289"/>
      <c r="AP44" s="289"/>
      <c r="AQ44" s="700"/>
    </row>
    <row r="45" spans="2:45">
      <c r="B45" s="702"/>
      <c r="C45" s="673"/>
      <c r="D45" s="673"/>
      <c r="E45" s="673"/>
      <c r="F45" s="673"/>
      <c r="G45" s="673"/>
      <c r="H45" s="673"/>
      <c r="I45" s="673"/>
      <c r="J45" s="673"/>
      <c r="K45" s="673"/>
      <c r="L45" s="673"/>
      <c r="M45" s="673"/>
      <c r="N45" s="673"/>
      <c r="O45" s="673"/>
      <c r="P45" s="673"/>
      <c r="Q45" s="673"/>
      <c r="R45" s="673"/>
      <c r="S45" s="673"/>
      <c r="T45" s="673"/>
      <c r="U45" s="673"/>
      <c r="V45" s="673"/>
      <c r="W45" s="673"/>
      <c r="X45" s="673"/>
      <c r="Y45" s="673"/>
      <c r="Z45" s="673"/>
      <c r="AA45" s="674"/>
      <c r="AB45" s="674"/>
      <c r="AC45" s="674"/>
      <c r="AD45" s="674"/>
      <c r="AE45" s="674"/>
      <c r="AF45" s="674"/>
      <c r="AG45" s="674"/>
      <c r="AH45" s="674"/>
      <c r="AI45" s="674"/>
      <c r="AJ45" s="674"/>
      <c r="AK45" s="674"/>
      <c r="AL45" s="674"/>
      <c r="AM45" s="674"/>
      <c r="AN45" s="674"/>
      <c r="AO45" s="674"/>
      <c r="AP45" s="674"/>
      <c r="AQ45" s="675"/>
    </row>
    <row r="46" spans="2:45">
      <c r="B46" s="104"/>
      <c r="C46" s="143"/>
      <c r="D46" s="143"/>
      <c r="E46" s="143"/>
      <c r="F46" s="143"/>
      <c r="G46" s="143"/>
      <c r="H46" s="143"/>
      <c r="I46" s="143"/>
      <c r="J46" s="143"/>
      <c r="K46" s="143"/>
      <c r="L46" s="143"/>
      <c r="M46" s="143"/>
      <c r="N46" s="143"/>
      <c r="O46" s="143"/>
      <c r="P46" s="143"/>
      <c r="Q46" s="143"/>
      <c r="R46" s="143"/>
      <c r="S46" s="143"/>
      <c r="T46" s="143"/>
      <c r="U46" s="143"/>
      <c r="V46" s="143"/>
      <c r="W46" s="143"/>
      <c r="X46" s="143"/>
      <c r="Y46" s="143"/>
      <c r="Z46" s="143"/>
      <c r="AA46" s="143"/>
      <c r="AB46" s="143"/>
      <c r="AC46" s="143"/>
      <c r="AD46" s="143"/>
      <c r="AE46" s="143"/>
      <c r="AF46" s="143"/>
      <c r="AG46" s="143"/>
      <c r="AH46" s="143"/>
      <c r="AI46" s="143"/>
      <c r="AJ46" s="143"/>
      <c r="AK46" s="143"/>
      <c r="AL46" s="143"/>
      <c r="AM46" s="143"/>
      <c r="AN46" s="143"/>
      <c r="AO46" s="143"/>
      <c r="AP46" s="143"/>
      <c r="AQ46" s="145"/>
    </row>
    <row r="47" spans="2:45">
      <c r="B47" s="672" t="s">
        <v>660</v>
      </c>
      <c r="C47" s="566" t="str">
        <f>C2</f>
        <v>FY-2018</v>
      </c>
      <c r="D47" s="566" t="str">
        <f t="shared" ref="D47:AQ47" si="9">D2</f>
        <v>1QFY-2019</v>
      </c>
      <c r="E47" s="566" t="str">
        <f t="shared" si="9"/>
        <v>2QFY-2019</v>
      </c>
      <c r="F47" s="566" t="str">
        <f t="shared" si="9"/>
        <v>3QFY-2019</v>
      </c>
      <c r="G47" s="566" t="str">
        <f t="shared" si="9"/>
        <v>4QFY-2019</v>
      </c>
      <c r="H47" s="566" t="str">
        <f t="shared" si="9"/>
        <v>FY-2019</v>
      </c>
      <c r="I47" s="566" t="str">
        <f t="shared" si="9"/>
        <v>1QFY-2020</v>
      </c>
      <c r="J47" s="566" t="str">
        <f t="shared" si="9"/>
        <v>2QFY-2020</v>
      </c>
      <c r="K47" s="566" t="str">
        <f t="shared" si="9"/>
        <v>3QFY-2020</v>
      </c>
      <c r="L47" s="566" t="str">
        <f t="shared" si="9"/>
        <v>4QFY-2020</v>
      </c>
      <c r="M47" s="566" t="str">
        <f t="shared" si="9"/>
        <v>FY-2020</v>
      </c>
      <c r="N47" s="566" t="str">
        <f t="shared" si="9"/>
        <v>1QFY-2021</v>
      </c>
      <c r="O47" s="566" t="str">
        <f t="shared" si="9"/>
        <v>2QFY-2021</v>
      </c>
      <c r="P47" s="566" t="str">
        <f t="shared" si="9"/>
        <v>3QFY-2021</v>
      </c>
      <c r="Q47" s="566" t="str">
        <f t="shared" si="9"/>
        <v>4QFY-2021</v>
      </c>
      <c r="R47" s="566" t="str">
        <f t="shared" si="9"/>
        <v>FY-2021</v>
      </c>
      <c r="S47" s="566" t="str">
        <f t="shared" si="9"/>
        <v>1QFY-2022</v>
      </c>
      <c r="T47" s="566" t="str">
        <f t="shared" si="9"/>
        <v>2QFY-2022</v>
      </c>
      <c r="U47" s="566" t="str">
        <f t="shared" si="9"/>
        <v>3QFY-2022</v>
      </c>
      <c r="V47" s="566" t="str">
        <f t="shared" si="9"/>
        <v>4QFY-2022</v>
      </c>
      <c r="W47" s="566" t="str">
        <f t="shared" si="9"/>
        <v>FY-2022</v>
      </c>
      <c r="X47" s="566" t="str">
        <f t="shared" si="9"/>
        <v>1QFY-2023</v>
      </c>
      <c r="Y47" s="566" t="str">
        <f t="shared" si="9"/>
        <v>2QFY-2023</v>
      </c>
      <c r="Z47" s="566" t="str">
        <f t="shared" si="9"/>
        <v>3QFY-2023</v>
      </c>
      <c r="AA47" s="666" t="str">
        <f t="shared" si="9"/>
        <v>4QFY-2023</v>
      </c>
      <c r="AB47" s="666" t="str">
        <f t="shared" si="9"/>
        <v>FY-2023</v>
      </c>
      <c r="AC47" s="666" t="str">
        <f t="shared" si="9"/>
        <v>1QFY-2024</v>
      </c>
      <c r="AD47" s="666" t="str">
        <f t="shared" si="9"/>
        <v>2QFY-2024</v>
      </c>
      <c r="AE47" s="666" t="str">
        <f t="shared" si="9"/>
        <v>3QFY-2024</v>
      </c>
      <c r="AF47" s="666" t="str">
        <f t="shared" si="9"/>
        <v>4QFY-2024</v>
      </c>
      <c r="AG47" s="666" t="str">
        <f t="shared" si="9"/>
        <v>FY-2024</v>
      </c>
      <c r="AH47" s="666" t="str">
        <f t="shared" si="9"/>
        <v>1QFY-2025</v>
      </c>
      <c r="AI47" s="666" t="str">
        <f t="shared" si="9"/>
        <v>2QFY-2025</v>
      </c>
      <c r="AJ47" s="666" t="str">
        <f t="shared" si="9"/>
        <v>3QFY-2025</v>
      </c>
      <c r="AK47" s="666" t="str">
        <f t="shared" si="9"/>
        <v>4QFY-2025</v>
      </c>
      <c r="AL47" s="666" t="str">
        <f t="shared" si="9"/>
        <v>FY-2025</v>
      </c>
      <c r="AM47" s="666" t="str">
        <f t="shared" si="9"/>
        <v>1QFY-2026</v>
      </c>
      <c r="AN47" s="666" t="str">
        <f t="shared" si="9"/>
        <v>2QFY-2026</v>
      </c>
      <c r="AO47" s="666" t="str">
        <f t="shared" si="9"/>
        <v>3QFY-2026</v>
      </c>
      <c r="AP47" s="666" t="str">
        <f t="shared" si="9"/>
        <v>4QFY-2026</v>
      </c>
      <c r="AQ47" s="666" t="str">
        <f t="shared" si="9"/>
        <v>FY-2026</v>
      </c>
    </row>
    <row r="48" spans="2:45">
      <c r="B48" s="104"/>
      <c r="C48" s="148"/>
      <c r="D48" s="143"/>
      <c r="E48" s="143"/>
      <c r="F48" s="143"/>
      <c r="G48" s="143"/>
      <c r="H48" s="148"/>
      <c r="I48" s="143"/>
      <c r="J48" s="143"/>
      <c r="K48" s="143"/>
      <c r="L48" s="143"/>
      <c r="M48" s="148"/>
      <c r="N48" s="143"/>
      <c r="O48" s="143"/>
      <c r="P48" s="143"/>
      <c r="Q48" s="143"/>
      <c r="R48" s="148"/>
      <c r="S48" s="143"/>
      <c r="T48" s="143"/>
      <c r="U48" s="143"/>
      <c r="V48" s="143"/>
      <c r="W48" s="148"/>
      <c r="X48" s="143"/>
      <c r="Y48" s="143"/>
      <c r="Z48" s="143"/>
      <c r="AA48" s="143"/>
      <c r="AB48" s="279"/>
      <c r="AC48" s="143"/>
      <c r="AD48" s="143"/>
      <c r="AE48" s="143"/>
      <c r="AF48" s="143"/>
      <c r="AG48" s="279"/>
      <c r="AH48" s="143"/>
      <c r="AI48" s="143"/>
      <c r="AJ48" s="143"/>
      <c r="AK48" s="143"/>
      <c r="AL48" s="279"/>
      <c r="AM48" s="143"/>
      <c r="AN48" s="143"/>
      <c r="AO48" s="143"/>
      <c r="AP48" s="143"/>
      <c r="AQ48" s="676"/>
    </row>
    <row r="49" spans="2:45">
      <c r="B49" s="104" t="s">
        <v>634</v>
      </c>
      <c r="C49" s="677">
        <f>H49*(0.995)</f>
        <v>54888372.034999996</v>
      </c>
      <c r="D49" s="144">
        <f>C49+(H49-C49)/4</f>
        <v>54957327.276249997</v>
      </c>
      <c r="E49" s="144">
        <f>D49+(H49-C49)/4</f>
        <v>55026282.517499998</v>
      </c>
      <c r="F49" s="144">
        <f>E49+(H49-C49)/4</f>
        <v>55095237.758749999</v>
      </c>
      <c r="G49" s="144">
        <f>F49+(H49-C49)/4</f>
        <v>55164193</v>
      </c>
      <c r="H49" s="677">
        <f>M49*(0.995)</f>
        <v>55164193</v>
      </c>
      <c r="I49" s="144">
        <f>H49+(M49-H49)/4</f>
        <v>55233494.75</v>
      </c>
      <c r="J49" s="144">
        <f>I49+(M49-H49)/4</f>
        <v>55302796.5</v>
      </c>
      <c r="K49" s="144">
        <f>J49+(M49-H49)/4</f>
        <v>55372098.25</v>
      </c>
      <c r="L49" s="144">
        <f>K49+(M49-H49)/4</f>
        <v>55441400</v>
      </c>
      <c r="M49" s="677">
        <f>R49*(0.995)</f>
        <v>55441400</v>
      </c>
      <c r="N49" s="144">
        <f>M49+(R49-M49)/4</f>
        <v>55511050</v>
      </c>
      <c r="O49" s="144">
        <f>N49+(R49-M49)/4</f>
        <v>55580700</v>
      </c>
      <c r="P49" s="144">
        <f>O49+(R49-M49)/4</f>
        <v>55650350</v>
      </c>
      <c r="Q49" s="144">
        <f>P49+(R49-M49)/4</f>
        <v>55720000</v>
      </c>
      <c r="R49" s="677">
        <f>W49*(0.995)</f>
        <v>55720000</v>
      </c>
      <c r="S49" s="144">
        <f>R49+(W49-R49)/4</f>
        <v>55790000</v>
      </c>
      <c r="T49" s="144">
        <f>S49+(W49-R49)/4</f>
        <v>55860000</v>
      </c>
      <c r="U49" s="144">
        <f>T49+(W49-R49)/4</f>
        <v>55930000</v>
      </c>
      <c r="V49" s="144">
        <f>U49+(W49-R49)/4</f>
        <v>56000000</v>
      </c>
      <c r="W49" s="277">
        <v>56000000</v>
      </c>
      <c r="X49" s="144">
        <f>W49+(AB49-W49)/4</f>
        <v>56070000</v>
      </c>
      <c r="Y49" s="144">
        <f>X49+(AB49-W49)/4</f>
        <v>56140000</v>
      </c>
      <c r="Z49" s="144">
        <f>Y49+(AB49-W49)/4</f>
        <v>56210000</v>
      </c>
      <c r="AA49" s="144">
        <f>Z49+(AB49-W49)/4</f>
        <v>56280000</v>
      </c>
      <c r="AB49" s="288">
        <f>W49*1.005</f>
        <v>56279999.999999993</v>
      </c>
      <c r="AC49" s="144">
        <f>AB49+(AG49-AB49)/4</f>
        <v>56350349.999999993</v>
      </c>
      <c r="AD49" s="144">
        <f>AC49+(AG49-AB49)/4</f>
        <v>56420699.999999993</v>
      </c>
      <c r="AE49" s="144">
        <f>AD49+(AG49-AB49)/4</f>
        <v>56491049.999999993</v>
      </c>
      <c r="AF49" s="144">
        <f>AE49+(AG49-AB49)/4</f>
        <v>56561399.999999993</v>
      </c>
      <c r="AG49" s="288">
        <f>AB49*1.005</f>
        <v>56561399.999999985</v>
      </c>
      <c r="AH49" s="144">
        <f>AG49+(AL49-AG49)/4</f>
        <v>56632101.749999985</v>
      </c>
      <c r="AI49" s="144">
        <f>AH49+(AL49-AG49)/4</f>
        <v>56702803.499999985</v>
      </c>
      <c r="AJ49" s="144">
        <f>AI49+(AL49-AG49)/4</f>
        <v>56773505.249999985</v>
      </c>
      <c r="AK49" s="144">
        <f>AJ49+(AL49-AG49)/4</f>
        <v>56844206.999999985</v>
      </c>
      <c r="AL49" s="288">
        <f>AG49*1.005</f>
        <v>56844206.999999978</v>
      </c>
      <c r="AM49" s="144">
        <f>AL49+(AQ49-AL49)/4</f>
        <v>56915262.258749977</v>
      </c>
      <c r="AN49" s="144">
        <f>AM49+(AQ49-AL49)/4</f>
        <v>56986317.517499976</v>
      </c>
      <c r="AO49" s="144">
        <f>AN49+(AQ49-AL49)/4</f>
        <v>57057372.776249975</v>
      </c>
      <c r="AP49" s="144">
        <f>AO49+(AQ49-AL49)/4</f>
        <v>57128428.034999974</v>
      </c>
      <c r="AQ49" s="678">
        <f>AL49*1.005</f>
        <v>57128428.034999974</v>
      </c>
    </row>
    <row r="50" spans="2:45">
      <c r="B50" s="50" t="s">
        <v>661</v>
      </c>
      <c r="C50" s="570">
        <v>0.25</v>
      </c>
      <c r="D50" s="740">
        <v>0.25</v>
      </c>
      <c r="E50" s="740">
        <v>0.25</v>
      </c>
      <c r="F50" s="740">
        <v>0.25</v>
      </c>
      <c r="G50" s="740">
        <v>0.25</v>
      </c>
      <c r="H50" s="739">
        <v>0.25</v>
      </c>
      <c r="I50" s="740">
        <v>0.25</v>
      </c>
      <c r="J50" s="740">
        <v>0.25</v>
      </c>
      <c r="K50" s="740">
        <v>0.25</v>
      </c>
      <c r="L50" s="740">
        <v>0.25</v>
      </c>
      <c r="M50" s="739">
        <v>0.25</v>
      </c>
      <c r="N50" s="740">
        <v>0.25</v>
      </c>
      <c r="O50" s="740">
        <v>0.25</v>
      </c>
      <c r="P50" s="740">
        <v>0.25</v>
      </c>
      <c r="Q50" s="740">
        <v>0.25</v>
      </c>
      <c r="R50" s="739">
        <v>0.25</v>
      </c>
      <c r="S50" s="740">
        <v>0.25</v>
      </c>
      <c r="T50" s="740">
        <v>0.25</v>
      </c>
      <c r="U50" s="740">
        <v>0.25</v>
      </c>
      <c r="V50" s="740">
        <v>0.25</v>
      </c>
      <c r="W50" s="739">
        <v>0.25</v>
      </c>
      <c r="X50" s="740">
        <v>0.25</v>
      </c>
      <c r="Y50" s="740">
        <v>0.25</v>
      </c>
      <c r="Z50" s="740">
        <v>0.25</v>
      </c>
      <c r="AA50" s="740">
        <v>0.25</v>
      </c>
      <c r="AB50" s="741">
        <v>0.25</v>
      </c>
      <c r="AC50" s="740">
        <v>0.25</v>
      </c>
      <c r="AD50" s="740">
        <v>0.25</v>
      </c>
      <c r="AE50" s="740">
        <v>0.25</v>
      </c>
      <c r="AF50" s="740">
        <v>0.25</v>
      </c>
      <c r="AG50" s="741">
        <v>0.25</v>
      </c>
      <c r="AH50" s="740">
        <v>0.25</v>
      </c>
      <c r="AI50" s="740">
        <v>0.25</v>
      </c>
      <c r="AJ50" s="740">
        <v>0.25</v>
      </c>
      <c r="AK50" s="740">
        <v>0.25</v>
      </c>
      <c r="AL50" s="741">
        <v>0.25</v>
      </c>
      <c r="AM50" s="740">
        <v>0.25</v>
      </c>
      <c r="AN50" s="740">
        <v>0.25</v>
      </c>
      <c r="AO50" s="740">
        <v>0.25</v>
      </c>
      <c r="AP50" s="740">
        <v>0.25</v>
      </c>
      <c r="AQ50" s="742">
        <v>0.25</v>
      </c>
      <c r="AS50" s="651" t="s">
        <v>696</v>
      </c>
    </row>
    <row r="51" spans="2:45">
      <c r="B51" s="50" t="s">
        <v>624</v>
      </c>
      <c r="C51" s="570">
        <v>0.66</v>
      </c>
      <c r="D51" s="359">
        <v>0.66</v>
      </c>
      <c r="E51" s="359">
        <v>0.66</v>
      </c>
      <c r="F51" s="359">
        <v>0.66</v>
      </c>
      <c r="G51" s="359">
        <v>0.66</v>
      </c>
      <c r="H51" s="570">
        <v>0.66</v>
      </c>
      <c r="I51" s="359">
        <v>0.66</v>
      </c>
      <c r="J51" s="359">
        <v>0.66</v>
      </c>
      <c r="K51" s="359">
        <v>0.66</v>
      </c>
      <c r="L51" s="359">
        <v>0.66</v>
      </c>
      <c r="M51" s="570">
        <v>0.66</v>
      </c>
      <c r="N51" s="359">
        <v>0.66</v>
      </c>
      <c r="O51" s="359">
        <v>0.66</v>
      </c>
      <c r="P51" s="359">
        <v>0.66</v>
      </c>
      <c r="Q51" s="359">
        <v>0.66</v>
      </c>
      <c r="R51" s="570">
        <v>0.66</v>
      </c>
      <c r="S51" s="359">
        <v>0.66</v>
      </c>
      <c r="T51" s="359">
        <v>0.66</v>
      </c>
      <c r="U51" s="359">
        <v>0.66</v>
      </c>
      <c r="V51" s="359">
        <v>0.66</v>
      </c>
      <c r="W51" s="570">
        <v>0.66</v>
      </c>
      <c r="X51" s="359">
        <v>0.66</v>
      </c>
      <c r="Y51" s="359">
        <v>0.66</v>
      </c>
      <c r="Z51" s="359">
        <v>0.66</v>
      </c>
      <c r="AA51" s="359">
        <v>0.66</v>
      </c>
      <c r="AB51" s="571">
        <v>0.66</v>
      </c>
      <c r="AC51" s="359">
        <v>0.66</v>
      </c>
      <c r="AD51" s="359">
        <v>0.66</v>
      </c>
      <c r="AE51" s="359">
        <v>0.66</v>
      </c>
      <c r="AF51" s="359">
        <v>0.66</v>
      </c>
      <c r="AG51" s="571">
        <v>0.66</v>
      </c>
      <c r="AH51" s="359">
        <v>0.66</v>
      </c>
      <c r="AI51" s="359">
        <v>0.66</v>
      </c>
      <c r="AJ51" s="359">
        <v>0.66</v>
      </c>
      <c r="AK51" s="359">
        <v>0.66</v>
      </c>
      <c r="AL51" s="571">
        <v>0.66</v>
      </c>
      <c r="AM51" s="359">
        <v>0.66</v>
      </c>
      <c r="AN51" s="359">
        <v>0.66</v>
      </c>
      <c r="AO51" s="359">
        <v>0.66</v>
      </c>
      <c r="AP51" s="359">
        <v>0.66</v>
      </c>
      <c r="AQ51" s="679">
        <v>0.66</v>
      </c>
      <c r="AS51" s="651" t="str">
        <f>AS9</f>
        <v>mgmt. gives this as a rough guide</v>
      </c>
    </row>
    <row r="52" spans="2:45">
      <c r="B52" s="50" t="s">
        <v>626</v>
      </c>
      <c r="C52" s="680">
        <v>0.5</v>
      </c>
      <c r="D52" s="681">
        <v>0.5</v>
      </c>
      <c r="E52" s="681">
        <v>0.5</v>
      </c>
      <c r="F52" s="681">
        <v>0.5</v>
      </c>
      <c r="G52" s="681">
        <v>0.5</v>
      </c>
      <c r="H52" s="680">
        <v>0.5</v>
      </c>
      <c r="I52" s="681">
        <v>0.5</v>
      </c>
      <c r="J52" s="681">
        <v>0.5</v>
      </c>
      <c r="K52" s="681">
        <v>0.5</v>
      </c>
      <c r="L52" s="681">
        <v>0.5</v>
      </c>
      <c r="M52" s="680">
        <v>0.5</v>
      </c>
      <c r="N52" s="681">
        <v>0.5</v>
      </c>
      <c r="O52" s="681">
        <v>0.5</v>
      </c>
      <c r="P52" s="681">
        <v>0.5</v>
      </c>
      <c r="Q52" s="681">
        <v>0.5</v>
      </c>
      <c r="R52" s="680">
        <v>0.5</v>
      </c>
      <c r="S52" s="681">
        <v>0.5</v>
      </c>
      <c r="T52" s="681">
        <v>0.5</v>
      </c>
      <c r="U52" s="681">
        <v>0.5</v>
      </c>
      <c r="V52" s="681">
        <v>0.5</v>
      </c>
      <c r="W52" s="680">
        <v>0.5</v>
      </c>
      <c r="X52" s="681">
        <v>0.5</v>
      </c>
      <c r="Y52" s="681">
        <v>0.5</v>
      </c>
      <c r="Z52" s="681">
        <v>0.5</v>
      </c>
      <c r="AA52" s="681">
        <v>0.5</v>
      </c>
      <c r="AB52" s="682">
        <v>0.5</v>
      </c>
      <c r="AC52" s="681">
        <v>0.5</v>
      </c>
      <c r="AD52" s="681">
        <v>0.5</v>
      </c>
      <c r="AE52" s="681">
        <v>0.5</v>
      </c>
      <c r="AF52" s="681">
        <v>0.5</v>
      </c>
      <c r="AG52" s="682">
        <v>0.5</v>
      </c>
      <c r="AH52" s="681">
        <v>0.5</v>
      </c>
      <c r="AI52" s="681">
        <v>0.5</v>
      </c>
      <c r="AJ52" s="681">
        <v>0.5</v>
      </c>
      <c r="AK52" s="681">
        <v>0.5</v>
      </c>
      <c r="AL52" s="682">
        <v>0.5</v>
      </c>
      <c r="AM52" s="681">
        <v>0.5</v>
      </c>
      <c r="AN52" s="681">
        <v>0.5</v>
      </c>
      <c r="AO52" s="681">
        <v>0.5</v>
      </c>
      <c r="AP52" s="681">
        <v>0.5</v>
      </c>
      <c r="AQ52" s="683">
        <v>0.5</v>
      </c>
      <c r="AS52" s="651" t="str">
        <f>AS10</f>
        <v>mgmt. says that they get people to go on average around 1-2x / quarter</v>
      </c>
    </row>
    <row r="53" spans="2:45">
      <c r="B53" s="50"/>
      <c r="C53" s="148"/>
      <c r="D53" s="143"/>
      <c r="E53" s="143"/>
      <c r="F53" s="143"/>
      <c r="G53" s="143"/>
      <c r="H53" s="148"/>
      <c r="I53" s="143"/>
      <c r="J53" s="143"/>
      <c r="K53" s="143"/>
      <c r="L53" s="143"/>
      <c r="M53" s="148"/>
      <c r="N53" s="143"/>
      <c r="O53" s="143"/>
      <c r="P53" s="143"/>
      <c r="Q53" s="143"/>
      <c r="R53" s="148"/>
      <c r="S53" s="143"/>
      <c r="T53" s="143"/>
      <c r="U53" s="143"/>
      <c r="V53" s="143"/>
      <c r="W53" s="148"/>
      <c r="X53" s="143"/>
      <c r="Y53" s="143"/>
      <c r="Z53" s="143"/>
      <c r="AA53" s="143"/>
      <c r="AB53" s="279"/>
      <c r="AC53" s="143"/>
      <c r="AD53" s="143"/>
      <c r="AE53" s="143"/>
      <c r="AF53" s="143"/>
      <c r="AG53" s="279"/>
      <c r="AH53" s="143"/>
      <c r="AI53" s="143"/>
      <c r="AJ53" s="143"/>
      <c r="AK53" s="143"/>
      <c r="AL53" s="279"/>
      <c r="AM53" s="143"/>
      <c r="AN53" s="143"/>
      <c r="AO53" s="143"/>
      <c r="AP53" s="143"/>
      <c r="AQ53" s="676"/>
    </row>
    <row r="54" spans="2:45">
      <c r="B54" s="104" t="s">
        <v>647</v>
      </c>
      <c r="C54" s="677">
        <f>H54*(0.995)</f>
        <v>55868521.535625003</v>
      </c>
      <c r="D54" s="144">
        <f>C54+(H54-C54)/4</f>
        <v>55938708.120468751</v>
      </c>
      <c r="E54" s="144">
        <f>D54+(H54-C54)/4</f>
        <v>56008894.705312498</v>
      </c>
      <c r="F54" s="144">
        <f>E54+(H54-C54)/4</f>
        <v>56079081.290156245</v>
      </c>
      <c r="G54" s="144">
        <f>F54+(H54-C54)/4</f>
        <v>56149267.874999993</v>
      </c>
      <c r="H54" s="677">
        <f>M54*(0.995)</f>
        <v>56149267.875</v>
      </c>
      <c r="I54" s="144">
        <f>H54+(M54-H54)/4</f>
        <v>56219807.15625</v>
      </c>
      <c r="J54" s="144">
        <f>I54+(M54-H54)/4</f>
        <v>56290346.4375</v>
      </c>
      <c r="K54" s="144">
        <f>J54+(M54-H54)/4</f>
        <v>56360885.71875</v>
      </c>
      <c r="L54" s="144">
        <f>K54+(M54-H54)/4</f>
        <v>56431425</v>
      </c>
      <c r="M54" s="677">
        <f>R54*(0.995)</f>
        <v>56431425</v>
      </c>
      <c r="N54" s="144">
        <f>M54+(R54-M54)/4</f>
        <v>56502318.75</v>
      </c>
      <c r="O54" s="144">
        <f>N54+(R54-M54)/4</f>
        <v>56573212.5</v>
      </c>
      <c r="P54" s="144">
        <f>O54+(R54-M54)/4</f>
        <v>56644106.25</v>
      </c>
      <c r="Q54" s="144">
        <f>P54+(R54-M54)/4</f>
        <v>56715000</v>
      </c>
      <c r="R54" s="677">
        <f>W54*(0.995)</f>
        <v>56715000</v>
      </c>
      <c r="S54" s="144">
        <f>R54+(W54-R54)/4</f>
        <v>56786250</v>
      </c>
      <c r="T54" s="144">
        <f>S54+(W54-R54)/4</f>
        <v>56857500</v>
      </c>
      <c r="U54" s="144">
        <f>T54+(W54-R54)/4</f>
        <v>56928750</v>
      </c>
      <c r="V54" s="144">
        <f>U54+(W54-R54)/4</f>
        <v>57000000</v>
      </c>
      <c r="W54" s="277">
        <v>57000000</v>
      </c>
      <c r="X54" s="144">
        <f>W54+(AB54-W54)/4</f>
        <v>57071250</v>
      </c>
      <c r="Y54" s="144">
        <f>X54+(AB54-W54)/4</f>
        <v>57142500</v>
      </c>
      <c r="Z54" s="144">
        <f>Y54+(AB54-W54)/4</f>
        <v>57213750</v>
      </c>
      <c r="AA54" s="144">
        <f>Z54+(AB54-W54)/4</f>
        <v>57285000</v>
      </c>
      <c r="AB54" s="288">
        <f>W54*1.005</f>
        <v>57284999.999999993</v>
      </c>
      <c r="AC54" s="144">
        <f>AB54+(AG54-AB54)/4</f>
        <v>57356606.249999993</v>
      </c>
      <c r="AD54" s="144">
        <f>AC54+(AG54-AB54)/4</f>
        <v>57428212.499999993</v>
      </c>
      <c r="AE54" s="144">
        <f>AD54+(AG54-AB54)/4</f>
        <v>57499818.749999993</v>
      </c>
      <c r="AF54" s="144">
        <f>AE54+(AG54-AB54)/4</f>
        <v>57571424.999999993</v>
      </c>
      <c r="AG54" s="288">
        <f>AB54*1.005</f>
        <v>57571424.999999985</v>
      </c>
      <c r="AH54" s="144">
        <f>AG54+(AL54-AG54)/4</f>
        <v>57643389.281249985</v>
      </c>
      <c r="AI54" s="144">
        <f>AH54+(AL54-AG54)/4</f>
        <v>57715353.562499985</v>
      </c>
      <c r="AJ54" s="144">
        <f>AI54+(AL54-AG54)/4</f>
        <v>57787317.843749985</v>
      </c>
      <c r="AK54" s="144">
        <f>AJ54+(AL54-AG54)/4</f>
        <v>57859282.124999985</v>
      </c>
      <c r="AL54" s="288">
        <f>AG54*1.005</f>
        <v>57859282.124999978</v>
      </c>
      <c r="AM54" s="144">
        <f>AL54+(AQ54-AL54)/4</f>
        <v>57931606.22765623</v>
      </c>
      <c r="AN54" s="144">
        <f>AM54+(AQ54-AL54)/4</f>
        <v>58003930.330312476</v>
      </c>
      <c r="AO54" s="144">
        <f>AN54+(AQ54-AL54)/4</f>
        <v>58076254.432968721</v>
      </c>
      <c r="AP54" s="144">
        <f>AO54+(AQ54-AL54)/4</f>
        <v>58148578.535624966</v>
      </c>
      <c r="AQ54" s="678">
        <f>AL54*1.005</f>
        <v>58148578.535624973</v>
      </c>
    </row>
    <row r="55" spans="2:45">
      <c r="B55" s="50" t="s">
        <v>661</v>
      </c>
      <c r="C55" s="743">
        <f t="shared" ref="C55:AP55" si="10">C50*0.5</f>
        <v>0.125</v>
      </c>
      <c r="D55" s="744">
        <f t="shared" si="10"/>
        <v>0.125</v>
      </c>
      <c r="E55" s="744">
        <f t="shared" si="10"/>
        <v>0.125</v>
      </c>
      <c r="F55" s="744">
        <f t="shared" si="10"/>
        <v>0.125</v>
      </c>
      <c r="G55" s="744">
        <f t="shared" si="10"/>
        <v>0.125</v>
      </c>
      <c r="H55" s="743">
        <f t="shared" si="10"/>
        <v>0.125</v>
      </c>
      <c r="I55" s="744">
        <f t="shared" si="10"/>
        <v>0.125</v>
      </c>
      <c r="J55" s="744">
        <f t="shared" si="10"/>
        <v>0.125</v>
      </c>
      <c r="K55" s="744">
        <f t="shared" si="10"/>
        <v>0.125</v>
      </c>
      <c r="L55" s="744">
        <f t="shared" si="10"/>
        <v>0.125</v>
      </c>
      <c r="M55" s="743">
        <f t="shared" si="10"/>
        <v>0.125</v>
      </c>
      <c r="N55" s="744">
        <f t="shared" si="10"/>
        <v>0.125</v>
      </c>
      <c r="O55" s="744">
        <f t="shared" si="10"/>
        <v>0.125</v>
      </c>
      <c r="P55" s="744">
        <f t="shared" si="10"/>
        <v>0.125</v>
      </c>
      <c r="Q55" s="744">
        <f t="shared" si="10"/>
        <v>0.125</v>
      </c>
      <c r="R55" s="743">
        <f t="shared" si="10"/>
        <v>0.125</v>
      </c>
      <c r="S55" s="744">
        <f t="shared" si="10"/>
        <v>0.125</v>
      </c>
      <c r="T55" s="744">
        <f t="shared" si="10"/>
        <v>0.125</v>
      </c>
      <c r="U55" s="744">
        <f t="shared" si="10"/>
        <v>0.125</v>
      </c>
      <c r="V55" s="744">
        <f t="shared" si="10"/>
        <v>0.125</v>
      </c>
      <c r="W55" s="743">
        <f t="shared" si="10"/>
        <v>0.125</v>
      </c>
      <c r="X55" s="744">
        <f t="shared" si="10"/>
        <v>0.125</v>
      </c>
      <c r="Y55" s="744">
        <f t="shared" si="10"/>
        <v>0.125</v>
      </c>
      <c r="Z55" s="744">
        <f t="shared" si="10"/>
        <v>0.125</v>
      </c>
      <c r="AA55" s="744">
        <f t="shared" si="10"/>
        <v>0.125</v>
      </c>
      <c r="AB55" s="745">
        <f t="shared" si="10"/>
        <v>0.125</v>
      </c>
      <c r="AC55" s="744">
        <f t="shared" si="10"/>
        <v>0.125</v>
      </c>
      <c r="AD55" s="744">
        <f t="shared" si="10"/>
        <v>0.125</v>
      </c>
      <c r="AE55" s="744">
        <f t="shared" si="10"/>
        <v>0.125</v>
      </c>
      <c r="AF55" s="744">
        <f t="shared" si="10"/>
        <v>0.125</v>
      </c>
      <c r="AG55" s="745">
        <f t="shared" si="10"/>
        <v>0.125</v>
      </c>
      <c r="AH55" s="744">
        <f t="shared" si="10"/>
        <v>0.125</v>
      </c>
      <c r="AI55" s="744">
        <f t="shared" si="10"/>
        <v>0.125</v>
      </c>
      <c r="AJ55" s="744">
        <f t="shared" si="10"/>
        <v>0.125</v>
      </c>
      <c r="AK55" s="744">
        <f t="shared" si="10"/>
        <v>0.125</v>
      </c>
      <c r="AL55" s="745">
        <f t="shared" si="10"/>
        <v>0.125</v>
      </c>
      <c r="AM55" s="744">
        <f t="shared" si="10"/>
        <v>0.125</v>
      </c>
      <c r="AN55" s="744">
        <f t="shared" si="10"/>
        <v>0.125</v>
      </c>
      <c r="AO55" s="744">
        <f t="shared" si="10"/>
        <v>0.125</v>
      </c>
      <c r="AP55" s="744">
        <f t="shared" si="10"/>
        <v>0.125</v>
      </c>
      <c r="AQ55" s="690">
        <f>AQ50*0.5</f>
        <v>0.125</v>
      </c>
      <c r="AS55" s="651" t="s">
        <v>697</v>
      </c>
    </row>
    <row r="56" spans="2:45">
      <c r="B56" s="50" t="s">
        <v>625</v>
      </c>
      <c r="C56" s="570">
        <v>0.1</v>
      </c>
      <c r="D56" s="359">
        <v>0.1</v>
      </c>
      <c r="E56" s="359">
        <v>0.1</v>
      </c>
      <c r="F56" s="359">
        <v>0.1</v>
      </c>
      <c r="G56" s="359">
        <v>0.1</v>
      </c>
      <c r="H56" s="570">
        <v>0.1</v>
      </c>
      <c r="I56" s="359">
        <v>0.1</v>
      </c>
      <c r="J56" s="359">
        <v>0.1</v>
      </c>
      <c r="K56" s="359">
        <v>0.1</v>
      </c>
      <c r="L56" s="359">
        <v>0.1</v>
      </c>
      <c r="M56" s="570">
        <v>0.1</v>
      </c>
      <c r="N56" s="359">
        <v>0.1</v>
      </c>
      <c r="O56" s="359">
        <v>0.1</v>
      </c>
      <c r="P56" s="359">
        <v>0.1</v>
      </c>
      <c r="Q56" s="359">
        <v>0.1</v>
      </c>
      <c r="R56" s="570">
        <v>0.1</v>
      </c>
      <c r="S56" s="359">
        <v>0.1</v>
      </c>
      <c r="T56" s="359">
        <v>0.1</v>
      </c>
      <c r="U56" s="359">
        <v>0.1</v>
      </c>
      <c r="V56" s="359">
        <v>0.1</v>
      </c>
      <c r="W56" s="570">
        <v>0.1</v>
      </c>
      <c r="X56" s="359">
        <v>0.1</v>
      </c>
      <c r="Y56" s="359">
        <v>0.1</v>
      </c>
      <c r="Z56" s="359">
        <v>0.1</v>
      </c>
      <c r="AA56" s="359">
        <v>0.1</v>
      </c>
      <c r="AB56" s="571">
        <v>0.1</v>
      </c>
      <c r="AC56" s="359">
        <v>0.1</v>
      </c>
      <c r="AD56" s="359">
        <v>0.1</v>
      </c>
      <c r="AE56" s="359">
        <v>0.1</v>
      </c>
      <c r="AF56" s="359">
        <v>0.1</v>
      </c>
      <c r="AG56" s="571">
        <v>0.1</v>
      </c>
      <c r="AH56" s="359">
        <v>0.1</v>
      </c>
      <c r="AI56" s="359">
        <v>0.1</v>
      </c>
      <c r="AJ56" s="359">
        <v>0.1</v>
      </c>
      <c r="AK56" s="359">
        <v>0.1</v>
      </c>
      <c r="AL56" s="571">
        <v>0.1</v>
      </c>
      <c r="AM56" s="359">
        <v>0.1</v>
      </c>
      <c r="AN56" s="359">
        <v>0.1</v>
      </c>
      <c r="AO56" s="359">
        <v>0.1</v>
      </c>
      <c r="AP56" s="359">
        <v>0.1</v>
      </c>
      <c r="AQ56" s="679">
        <v>0.1</v>
      </c>
      <c r="AS56" s="651" t="str">
        <f>AS14</f>
        <v>we assume men frequent at roughly half the rate that women frequent</v>
      </c>
    </row>
    <row r="57" spans="2:45">
      <c r="B57" s="50" t="s">
        <v>626</v>
      </c>
      <c r="C57" s="680">
        <f>C52/2</f>
        <v>0.25</v>
      </c>
      <c r="D57" s="681">
        <f t="shared" ref="D57:AQ57" si="11">D52/2</f>
        <v>0.25</v>
      </c>
      <c r="E57" s="681">
        <f t="shared" si="11"/>
        <v>0.25</v>
      </c>
      <c r="F57" s="681">
        <f t="shared" si="11"/>
        <v>0.25</v>
      </c>
      <c r="G57" s="681">
        <f t="shared" si="11"/>
        <v>0.25</v>
      </c>
      <c r="H57" s="680">
        <f t="shared" si="11"/>
        <v>0.25</v>
      </c>
      <c r="I57" s="681">
        <f t="shared" si="11"/>
        <v>0.25</v>
      </c>
      <c r="J57" s="681">
        <f t="shared" si="11"/>
        <v>0.25</v>
      </c>
      <c r="K57" s="681">
        <f t="shared" si="11"/>
        <v>0.25</v>
      </c>
      <c r="L57" s="681">
        <f t="shared" si="11"/>
        <v>0.25</v>
      </c>
      <c r="M57" s="680">
        <f t="shared" si="11"/>
        <v>0.25</v>
      </c>
      <c r="N57" s="681">
        <f t="shared" si="11"/>
        <v>0.25</v>
      </c>
      <c r="O57" s="681">
        <f t="shared" si="11"/>
        <v>0.25</v>
      </c>
      <c r="P57" s="681">
        <f t="shared" si="11"/>
        <v>0.25</v>
      </c>
      <c r="Q57" s="681">
        <f t="shared" si="11"/>
        <v>0.25</v>
      </c>
      <c r="R57" s="680">
        <f t="shared" si="11"/>
        <v>0.25</v>
      </c>
      <c r="S57" s="681">
        <f t="shared" si="11"/>
        <v>0.25</v>
      </c>
      <c r="T57" s="681">
        <f t="shared" si="11"/>
        <v>0.25</v>
      </c>
      <c r="U57" s="681">
        <f t="shared" si="11"/>
        <v>0.25</v>
      </c>
      <c r="V57" s="681">
        <f t="shared" si="11"/>
        <v>0.25</v>
      </c>
      <c r="W57" s="680">
        <f t="shared" si="11"/>
        <v>0.25</v>
      </c>
      <c r="X57" s="681">
        <f t="shared" si="11"/>
        <v>0.25</v>
      </c>
      <c r="Y57" s="681">
        <f t="shared" si="11"/>
        <v>0.25</v>
      </c>
      <c r="Z57" s="681">
        <f t="shared" si="11"/>
        <v>0.25</v>
      </c>
      <c r="AA57" s="681">
        <f t="shared" si="11"/>
        <v>0.25</v>
      </c>
      <c r="AB57" s="682">
        <f t="shared" si="11"/>
        <v>0.25</v>
      </c>
      <c r="AC57" s="681">
        <f t="shared" si="11"/>
        <v>0.25</v>
      </c>
      <c r="AD57" s="681">
        <f t="shared" si="11"/>
        <v>0.25</v>
      </c>
      <c r="AE57" s="681">
        <f t="shared" si="11"/>
        <v>0.25</v>
      </c>
      <c r="AF57" s="681">
        <f t="shared" si="11"/>
        <v>0.25</v>
      </c>
      <c r="AG57" s="682">
        <f t="shared" si="11"/>
        <v>0.25</v>
      </c>
      <c r="AH57" s="681">
        <f t="shared" si="11"/>
        <v>0.25</v>
      </c>
      <c r="AI57" s="681">
        <f t="shared" si="11"/>
        <v>0.25</v>
      </c>
      <c r="AJ57" s="681">
        <f t="shared" si="11"/>
        <v>0.25</v>
      </c>
      <c r="AK57" s="681">
        <f t="shared" si="11"/>
        <v>0.25</v>
      </c>
      <c r="AL57" s="682">
        <f t="shared" si="11"/>
        <v>0.25</v>
      </c>
      <c r="AM57" s="681">
        <f t="shared" si="11"/>
        <v>0.25</v>
      </c>
      <c r="AN57" s="681">
        <f t="shared" si="11"/>
        <v>0.25</v>
      </c>
      <c r="AO57" s="681">
        <f t="shared" si="11"/>
        <v>0.25</v>
      </c>
      <c r="AP57" s="681">
        <f t="shared" si="11"/>
        <v>0.25</v>
      </c>
      <c r="AQ57" s="683">
        <f t="shared" si="11"/>
        <v>0.25</v>
      </c>
    </row>
    <row r="58" spans="2:45">
      <c r="B58" s="50"/>
      <c r="C58" s="148"/>
      <c r="D58" s="143"/>
      <c r="E58" s="143"/>
      <c r="F58" s="143"/>
      <c r="G58" s="143"/>
      <c r="H58" s="148"/>
      <c r="I58" s="143"/>
      <c r="J58" s="143"/>
      <c r="K58" s="143"/>
      <c r="L58" s="143"/>
      <c r="M58" s="148"/>
      <c r="N58" s="143"/>
      <c r="O58" s="143"/>
      <c r="P58" s="143"/>
      <c r="Q58" s="143"/>
      <c r="R58" s="148"/>
      <c r="S58" s="143"/>
      <c r="T58" s="143"/>
      <c r="U58" s="143"/>
      <c r="V58" s="143"/>
      <c r="W58" s="148"/>
      <c r="X58" s="143"/>
      <c r="Y58" s="143"/>
      <c r="Z58" s="143"/>
      <c r="AA58" s="143"/>
      <c r="AB58" s="279"/>
      <c r="AC58" s="143"/>
      <c r="AD58" s="143"/>
      <c r="AE58" s="143"/>
      <c r="AF58" s="143"/>
      <c r="AG58" s="279"/>
      <c r="AH58" s="143"/>
      <c r="AI58" s="143"/>
      <c r="AJ58" s="143"/>
      <c r="AK58" s="143"/>
      <c r="AL58" s="279"/>
      <c r="AM58" s="143"/>
      <c r="AN58" s="143"/>
      <c r="AO58" s="143"/>
      <c r="AP58" s="143"/>
      <c r="AQ58" s="676"/>
    </row>
    <row r="59" spans="2:45">
      <c r="B59" s="684" t="s">
        <v>764</v>
      </c>
      <c r="C59" s="677">
        <f>C49*C51*C52*C50+C54*C56*C57*C55</f>
        <v>4702879.8226863276</v>
      </c>
      <c r="D59" s="144">
        <f t="shared" ref="D59:AQ59" si="12">D49*D51*D52*D50+D54*D56*D57*D55</f>
        <v>4708787.96316709</v>
      </c>
      <c r="E59" s="144">
        <f t="shared" si="12"/>
        <v>4714696.1036478514</v>
      </c>
      <c r="F59" s="144">
        <f t="shared" si="12"/>
        <v>4720604.2441286137</v>
      </c>
      <c r="G59" s="144">
        <f t="shared" si="12"/>
        <v>4726512.3846093751</v>
      </c>
      <c r="H59" s="677">
        <f t="shared" si="12"/>
        <v>4726512.3846093751</v>
      </c>
      <c r="I59" s="144">
        <f t="shared" si="12"/>
        <v>4732450.2142382814</v>
      </c>
      <c r="J59" s="144">
        <f t="shared" si="12"/>
        <v>4738388.0438671885</v>
      </c>
      <c r="K59" s="144">
        <f t="shared" si="12"/>
        <v>4744325.8734960938</v>
      </c>
      <c r="L59" s="144">
        <f t="shared" si="12"/>
        <v>4750263.703125</v>
      </c>
      <c r="M59" s="677">
        <f t="shared" si="12"/>
        <v>4750263.703125</v>
      </c>
      <c r="N59" s="144">
        <f t="shared" si="12"/>
        <v>4756231.37109375</v>
      </c>
      <c r="O59" s="144">
        <f t="shared" si="12"/>
        <v>4762199.0390625</v>
      </c>
      <c r="P59" s="144">
        <f t="shared" si="12"/>
        <v>4768166.70703125</v>
      </c>
      <c r="Q59" s="144">
        <f t="shared" si="12"/>
        <v>4774134.375</v>
      </c>
      <c r="R59" s="677">
        <f t="shared" si="12"/>
        <v>4774134.375</v>
      </c>
      <c r="S59" s="144">
        <f t="shared" si="12"/>
        <v>4780132.03125</v>
      </c>
      <c r="T59" s="144">
        <f t="shared" si="12"/>
        <v>4786129.6875</v>
      </c>
      <c r="U59" s="144">
        <f t="shared" si="12"/>
        <v>4792127.34375</v>
      </c>
      <c r="V59" s="144">
        <f t="shared" si="12"/>
        <v>4798125</v>
      </c>
      <c r="W59" s="677">
        <f t="shared" si="12"/>
        <v>4798125</v>
      </c>
      <c r="X59" s="144">
        <f t="shared" si="12"/>
        <v>4804122.65625</v>
      </c>
      <c r="Y59" s="144">
        <f t="shared" si="12"/>
        <v>4810120.3125</v>
      </c>
      <c r="Z59" s="144">
        <f t="shared" si="12"/>
        <v>4816117.96875</v>
      </c>
      <c r="AA59" s="144">
        <f t="shared" si="12"/>
        <v>4822115.625</v>
      </c>
      <c r="AB59" s="288">
        <f t="shared" si="12"/>
        <v>4822115.625</v>
      </c>
      <c r="AC59" s="144">
        <f t="shared" si="12"/>
        <v>4828143.26953125</v>
      </c>
      <c r="AD59" s="144">
        <f t="shared" si="12"/>
        <v>4834170.9140625</v>
      </c>
      <c r="AE59" s="144">
        <f t="shared" si="12"/>
        <v>4840198.55859375</v>
      </c>
      <c r="AF59" s="144">
        <f t="shared" si="12"/>
        <v>4846226.203125</v>
      </c>
      <c r="AG59" s="288">
        <f t="shared" si="12"/>
        <v>4846226.2031249991</v>
      </c>
      <c r="AH59" s="144">
        <f t="shared" si="12"/>
        <v>4852283.9858789053</v>
      </c>
      <c r="AI59" s="144">
        <f t="shared" si="12"/>
        <v>4858341.7686328115</v>
      </c>
      <c r="AJ59" s="144">
        <f t="shared" si="12"/>
        <v>4864399.5513867177</v>
      </c>
      <c r="AK59" s="144">
        <f t="shared" si="12"/>
        <v>4870457.3341406239</v>
      </c>
      <c r="AL59" s="288">
        <f t="shared" si="12"/>
        <v>4870457.3341406239</v>
      </c>
      <c r="AM59" s="144">
        <f t="shared" si="12"/>
        <v>4876545.4058082988</v>
      </c>
      <c r="AN59" s="144">
        <f t="shared" si="12"/>
        <v>4882633.4774759747</v>
      </c>
      <c r="AO59" s="144">
        <f t="shared" si="12"/>
        <v>4888721.5491436506</v>
      </c>
      <c r="AP59" s="144">
        <f t="shared" si="12"/>
        <v>4894809.6208113264</v>
      </c>
      <c r="AQ59" s="678">
        <f t="shared" si="12"/>
        <v>4894809.6208113264</v>
      </c>
    </row>
    <row r="60" spans="2:45">
      <c r="B60" s="684"/>
      <c r="C60" s="148"/>
      <c r="D60" s="143"/>
      <c r="E60" s="143"/>
      <c r="F60" s="143"/>
      <c r="G60" s="143"/>
      <c r="H60" s="148"/>
      <c r="I60" s="143"/>
      <c r="J60" s="143"/>
      <c r="K60" s="143"/>
      <c r="L60" s="143"/>
      <c r="M60" s="148"/>
      <c r="N60" s="143"/>
      <c r="O60" s="143"/>
      <c r="P60" s="143"/>
      <c r="Q60" s="143"/>
      <c r="R60" s="148"/>
      <c r="S60" s="143"/>
      <c r="T60" s="143"/>
      <c r="U60" s="143"/>
      <c r="V60" s="143"/>
      <c r="W60" s="148"/>
      <c r="X60" s="143"/>
      <c r="Y60" s="143"/>
      <c r="Z60" s="143"/>
      <c r="AA60" s="143"/>
      <c r="AB60" s="279"/>
      <c r="AC60" s="143"/>
      <c r="AD60" s="143"/>
      <c r="AE60" s="143"/>
      <c r="AF60" s="143"/>
      <c r="AG60" s="279"/>
      <c r="AH60" s="143"/>
      <c r="AI60" s="143"/>
      <c r="AJ60" s="143"/>
      <c r="AK60" s="143"/>
      <c r="AL60" s="279"/>
      <c r="AM60" s="143"/>
      <c r="AN60" s="143"/>
      <c r="AO60" s="143"/>
      <c r="AP60" s="143"/>
      <c r="AQ60" s="676"/>
    </row>
    <row r="61" spans="2:45">
      <c r="B61" s="672" t="s">
        <v>622</v>
      </c>
      <c r="C61" s="673"/>
      <c r="D61" s="673"/>
      <c r="E61" s="673"/>
      <c r="F61" s="673"/>
      <c r="G61" s="673"/>
      <c r="H61" s="673"/>
      <c r="I61" s="673"/>
      <c r="J61" s="673"/>
      <c r="K61" s="673"/>
      <c r="L61" s="673"/>
      <c r="M61" s="673"/>
      <c r="N61" s="673"/>
      <c r="O61" s="673"/>
      <c r="P61" s="673"/>
      <c r="Q61" s="673"/>
      <c r="R61" s="673"/>
      <c r="S61" s="673"/>
      <c r="T61" s="673"/>
      <c r="U61" s="673"/>
      <c r="V61" s="673"/>
      <c r="W61" s="673"/>
      <c r="X61" s="673"/>
      <c r="Y61" s="673"/>
      <c r="Z61" s="673"/>
      <c r="AA61" s="674"/>
      <c r="AB61" s="674"/>
      <c r="AC61" s="674"/>
      <c r="AD61" s="674"/>
      <c r="AE61" s="674"/>
      <c r="AF61" s="674"/>
      <c r="AG61" s="674"/>
      <c r="AH61" s="674"/>
      <c r="AI61" s="674"/>
      <c r="AJ61" s="674"/>
      <c r="AK61" s="674"/>
      <c r="AL61" s="674"/>
      <c r="AM61" s="674"/>
      <c r="AN61" s="674"/>
      <c r="AO61" s="674"/>
      <c r="AP61" s="674"/>
      <c r="AQ61" s="675"/>
    </row>
    <row r="62" spans="2:45">
      <c r="B62" s="104"/>
      <c r="C62" s="148"/>
      <c r="D62" s="143"/>
      <c r="E62" s="143"/>
      <c r="F62" s="143"/>
      <c r="G62" s="143"/>
      <c r="H62" s="148"/>
      <c r="I62" s="143"/>
      <c r="J62" s="143"/>
      <c r="K62" s="143"/>
      <c r="L62" s="143"/>
      <c r="M62" s="148"/>
      <c r="N62" s="143"/>
      <c r="O62" s="143"/>
      <c r="P62" s="143"/>
      <c r="Q62" s="143"/>
      <c r="R62" s="148"/>
      <c r="S62" s="143"/>
      <c r="T62" s="143"/>
      <c r="U62" s="143"/>
      <c r="V62" s="143"/>
      <c r="W62" s="148"/>
      <c r="X62" s="143"/>
      <c r="Y62" s="143"/>
      <c r="Z62" s="143"/>
      <c r="AA62" s="143"/>
      <c r="AB62" s="279"/>
      <c r="AC62" s="143"/>
      <c r="AD62" s="143"/>
      <c r="AE62" s="143"/>
      <c r="AF62" s="143"/>
      <c r="AG62" s="279"/>
      <c r="AH62" s="143"/>
      <c r="AI62" s="143"/>
      <c r="AJ62" s="143"/>
      <c r="AK62" s="143"/>
      <c r="AL62" s="279"/>
      <c r="AM62" s="143"/>
      <c r="AN62" s="143"/>
      <c r="AO62" s="143"/>
      <c r="AP62" s="143"/>
      <c r="AQ62" s="676"/>
    </row>
    <row r="63" spans="2:45">
      <c r="B63" s="104" t="s">
        <v>645</v>
      </c>
      <c r="C63" s="685">
        <f>C22</f>
        <v>55.2</v>
      </c>
      <c r="D63" s="686">
        <f>D22</f>
        <v>18.2</v>
      </c>
      <c r="E63" s="686">
        <f>E22</f>
        <v>22.2</v>
      </c>
      <c r="F63" s="686">
        <f>F22</f>
        <v>21.1</v>
      </c>
      <c r="G63" s="686">
        <f>G22</f>
        <v>26.1</v>
      </c>
      <c r="H63" s="685">
        <f>H22</f>
        <v>85.2</v>
      </c>
      <c r="I63" s="686">
        <f>I22</f>
        <v>18.5</v>
      </c>
      <c r="J63" s="686">
        <f>J22</f>
        <v>8.1</v>
      </c>
      <c r="K63" s="686">
        <f>K22</f>
        <v>18.600000000000001</v>
      </c>
      <c r="L63" s="686">
        <f>L22</f>
        <v>20.5</v>
      </c>
      <c r="M63" s="685">
        <f>M22</f>
        <v>65.7</v>
      </c>
      <c r="N63" s="686">
        <f>N22</f>
        <v>21.9</v>
      </c>
      <c r="O63" s="686">
        <f>O22</f>
        <v>31.6</v>
      </c>
      <c r="P63" s="686">
        <f>P22</f>
        <v>32</v>
      </c>
      <c r="Q63" s="686">
        <f>Q22</f>
        <v>35.200000000000003</v>
      </c>
      <c r="R63" s="685">
        <f>R22</f>
        <v>120.7</v>
      </c>
      <c r="S63" s="686">
        <f>S22</f>
        <v>33.799999999999997</v>
      </c>
      <c r="T63" s="686">
        <f>T22</f>
        <v>38.753</v>
      </c>
      <c r="U63" s="686">
        <f>U22</f>
        <v>39.700000000000003</v>
      </c>
      <c r="V63" s="686">
        <f>V22</f>
        <v>47.4</v>
      </c>
      <c r="W63" s="685">
        <f>W22</f>
        <v>159.65299999999999</v>
      </c>
      <c r="X63" s="686">
        <f>X22</f>
        <v>40.9</v>
      </c>
      <c r="Y63" s="686">
        <f>Y22</f>
        <v>51.9</v>
      </c>
      <c r="Z63" s="686">
        <f>Z22</f>
        <v>46.4</v>
      </c>
      <c r="AA63" s="686">
        <f>AA22</f>
        <v>38.048000000000002</v>
      </c>
      <c r="AB63" s="688">
        <f>AB22</f>
        <v>177.24799999999999</v>
      </c>
      <c r="AC63" s="686">
        <f>AC22</f>
        <v>35.765120000000003</v>
      </c>
      <c r="AD63" s="686">
        <f>AD22</f>
        <v>35.765120000000003</v>
      </c>
      <c r="AE63" s="686">
        <f>AE22</f>
        <v>54.216299021657328</v>
      </c>
      <c r="AF63" s="686">
        <f>AF22</f>
        <v>62.479774584807295</v>
      </c>
      <c r="AG63" s="688">
        <f>AG22</f>
        <v>188.22631360646463</v>
      </c>
      <c r="AH63" s="686">
        <f>AH22</f>
        <v>57.904579042385443</v>
      </c>
      <c r="AI63" s="686">
        <f>AI22</f>
        <v>73.179581596386484</v>
      </c>
      <c r="AJ63" s="686">
        <f>AJ22</f>
        <v>65.471674108442883</v>
      </c>
      <c r="AK63" s="686">
        <f>AK22</f>
        <v>75.859059645823848</v>
      </c>
      <c r="AL63" s="688">
        <f>AL22</f>
        <v>272.41489439303865</v>
      </c>
      <c r="AM63" s="686">
        <f>AM22</f>
        <v>65.533663896133504</v>
      </c>
      <c r="AN63" s="686">
        <f>AN22</f>
        <v>83.008061649614703</v>
      </c>
      <c r="AO63" s="686">
        <f>AO22</f>
        <v>74.221783340545883</v>
      </c>
      <c r="AP63" s="686">
        <f>AP22</f>
        <v>86.142981747194469</v>
      </c>
      <c r="AQ63" s="689">
        <f>AQ22</f>
        <v>308.90649063348854</v>
      </c>
      <c r="AS63" s="651" t="s">
        <v>630</v>
      </c>
    </row>
    <row r="64" spans="2:45">
      <c r="B64" s="50" t="s">
        <v>664</v>
      </c>
      <c r="C64" s="417">
        <f>1-C23</f>
        <v>0.21031965096607608</v>
      </c>
      <c r="D64" s="414">
        <f>1-D23</f>
        <v>0.23631123919308361</v>
      </c>
      <c r="E64" s="414">
        <f>1-E23</f>
        <v>0.24940898345153661</v>
      </c>
      <c r="F64" s="414">
        <f>1-F23</f>
        <v>0.24786124114047581</v>
      </c>
      <c r="G64" s="414">
        <f>1-G23</f>
        <v>0.31469313574723889</v>
      </c>
      <c r="H64" s="417">
        <f>1-H23</f>
        <v>0.26543154306428285</v>
      </c>
      <c r="I64" s="414">
        <f>1-I23</f>
        <v>0.26502950577821494</v>
      </c>
      <c r="J64" s="414">
        <f>1-J23</f>
        <v>0.32920090677245684</v>
      </c>
      <c r="K64" s="414">
        <f>1-K23</f>
        <v>0.38712384259259258</v>
      </c>
      <c r="L64" s="414">
        <f>1-L23</f>
        <v>0.29012671594508965</v>
      </c>
      <c r="M64" s="417">
        <f>1-M23</f>
        <v>0.31604977664326739</v>
      </c>
      <c r="N64" s="414">
        <f>1-N23</f>
        <v>0.34205544571116064</v>
      </c>
      <c r="O64" s="414">
        <f>1-O23</f>
        <v>0.35857340470319365</v>
      </c>
      <c r="P64" s="414">
        <f>1-P23</f>
        <v>0.33898777642449407</v>
      </c>
      <c r="Q64" s="414">
        <f>1-Q23</f>
        <v>0.35241176546110498</v>
      </c>
      <c r="R64" s="417">
        <f>1-R23</f>
        <v>0.34857700914312961</v>
      </c>
      <c r="S64" s="414">
        <f>1-S23</f>
        <v>0.4085261552741497</v>
      </c>
      <c r="T64" s="414">
        <f>1-T23</f>
        <v>0.27219517848864161</v>
      </c>
      <c r="U64" s="414">
        <f>1-U23</f>
        <v>0.30478589420654911</v>
      </c>
      <c r="V64" s="414">
        <f>1-V23</f>
        <v>0.33857112286386848</v>
      </c>
      <c r="W64" s="417">
        <f>1-W23</f>
        <v>0.33517639856126114</v>
      </c>
      <c r="X64" s="414">
        <f>1-X23</f>
        <v>0.38596165882380218</v>
      </c>
      <c r="Y64" s="414">
        <f>1-Y23</f>
        <v>0.45825211314362568</v>
      </c>
      <c r="Z64" s="414">
        <f>1-Z23</f>
        <v>0.32327586206896552</v>
      </c>
      <c r="AA64" s="414">
        <f>1-AA23</f>
        <v>0.33999999999999997</v>
      </c>
      <c r="AB64" s="422">
        <f>1-AB23</f>
        <v>0.37687240850909831</v>
      </c>
      <c r="AC64" s="414">
        <f>1-AC23</f>
        <v>0.33999999999999997</v>
      </c>
      <c r="AD64" s="414">
        <f>1-AD23</f>
        <v>0.33999999999999997</v>
      </c>
      <c r="AE64" s="414">
        <f>1-AE23</f>
        <v>0.33999999999999997</v>
      </c>
      <c r="AF64" s="414">
        <f>1-AF23</f>
        <v>0.33999999999999997</v>
      </c>
      <c r="AG64" s="422">
        <f>1-AG23</f>
        <v>0.33999999999999997</v>
      </c>
      <c r="AH64" s="414">
        <f>1-AH23</f>
        <v>0.33999999999999997</v>
      </c>
      <c r="AI64" s="414">
        <f>1-AI23</f>
        <v>0.33999999999999997</v>
      </c>
      <c r="AJ64" s="414">
        <f>1-AJ23</f>
        <v>0.33999999999999997</v>
      </c>
      <c r="AK64" s="414">
        <f>1-AK23</f>
        <v>0.33999999999999997</v>
      </c>
      <c r="AL64" s="422">
        <f>1-AL23</f>
        <v>0.33999999999999997</v>
      </c>
      <c r="AM64" s="414">
        <f>1-AM23</f>
        <v>0.33999999999999997</v>
      </c>
      <c r="AN64" s="414">
        <f>1-AN23</f>
        <v>0.33999999999999997</v>
      </c>
      <c r="AO64" s="414">
        <f>1-AO23</f>
        <v>0.33999999999999997</v>
      </c>
      <c r="AP64" s="414">
        <f>1-AP23</f>
        <v>0.33999999999999997</v>
      </c>
      <c r="AQ64" s="690">
        <f>1-AQ23</f>
        <v>0.33999999999999997</v>
      </c>
      <c r="AS64" s="651" t="s">
        <v>665</v>
      </c>
    </row>
    <row r="65" spans="2:45">
      <c r="B65" s="50" t="s">
        <v>667</v>
      </c>
      <c r="C65" s="691">
        <v>25</v>
      </c>
      <c r="D65" s="692">
        <v>25</v>
      </c>
      <c r="E65" s="692">
        <v>25</v>
      </c>
      <c r="F65" s="692">
        <v>25</v>
      </c>
      <c r="G65" s="692">
        <v>25</v>
      </c>
      <c r="H65" s="691">
        <v>25</v>
      </c>
      <c r="I65" s="692">
        <v>25</v>
      </c>
      <c r="J65" s="692">
        <v>25</v>
      </c>
      <c r="K65" s="692">
        <v>25</v>
      </c>
      <c r="L65" s="692">
        <v>25</v>
      </c>
      <c r="M65" s="691">
        <v>25</v>
      </c>
      <c r="N65" s="692">
        <v>25</v>
      </c>
      <c r="O65" s="692">
        <v>25</v>
      </c>
      <c r="P65" s="692">
        <v>25</v>
      </c>
      <c r="Q65" s="692">
        <v>25</v>
      </c>
      <c r="R65" s="691">
        <v>25</v>
      </c>
      <c r="S65" s="692">
        <v>25</v>
      </c>
      <c r="T65" s="692">
        <v>25</v>
      </c>
      <c r="U65" s="692">
        <v>25</v>
      </c>
      <c r="V65" s="692">
        <v>25</v>
      </c>
      <c r="W65" s="691">
        <v>25</v>
      </c>
      <c r="X65" s="692">
        <v>25</v>
      </c>
      <c r="Y65" s="692">
        <v>25</v>
      </c>
      <c r="Z65" s="692">
        <v>25</v>
      </c>
      <c r="AA65" s="692">
        <v>25</v>
      </c>
      <c r="AB65" s="693">
        <v>25</v>
      </c>
      <c r="AC65" s="692">
        <v>25</v>
      </c>
      <c r="AD65" s="692">
        <v>25</v>
      </c>
      <c r="AE65" s="692">
        <v>25</v>
      </c>
      <c r="AF65" s="692">
        <v>25</v>
      </c>
      <c r="AG65" s="693">
        <v>25</v>
      </c>
      <c r="AH65" s="692">
        <v>25</v>
      </c>
      <c r="AI65" s="692">
        <v>25</v>
      </c>
      <c r="AJ65" s="692">
        <v>25</v>
      </c>
      <c r="AK65" s="692">
        <v>25</v>
      </c>
      <c r="AL65" s="693">
        <v>25</v>
      </c>
      <c r="AM65" s="692">
        <v>25</v>
      </c>
      <c r="AN65" s="692">
        <v>25</v>
      </c>
      <c r="AO65" s="692">
        <v>25</v>
      </c>
      <c r="AP65" s="692">
        <v>25</v>
      </c>
      <c r="AQ65" s="694">
        <v>25</v>
      </c>
      <c r="AS65" s="651" t="s">
        <v>670</v>
      </c>
    </row>
    <row r="66" spans="2:45">
      <c r="B66" s="50" t="s">
        <v>671</v>
      </c>
      <c r="C66" s="704">
        <f>77/200</f>
        <v>0.38500000000000001</v>
      </c>
      <c r="D66" s="705">
        <f t="shared" ref="D66:AQ66" si="13">77/200</f>
        <v>0.38500000000000001</v>
      </c>
      <c r="E66" s="705">
        <f t="shared" si="13"/>
        <v>0.38500000000000001</v>
      </c>
      <c r="F66" s="705">
        <f t="shared" si="13"/>
        <v>0.38500000000000001</v>
      </c>
      <c r="G66" s="705">
        <f t="shared" si="13"/>
        <v>0.38500000000000001</v>
      </c>
      <c r="H66" s="704">
        <f t="shared" si="13"/>
        <v>0.38500000000000001</v>
      </c>
      <c r="I66" s="705">
        <f t="shared" si="13"/>
        <v>0.38500000000000001</v>
      </c>
      <c r="J66" s="705">
        <f t="shared" si="13"/>
        <v>0.38500000000000001</v>
      </c>
      <c r="K66" s="705">
        <f t="shared" si="13"/>
        <v>0.38500000000000001</v>
      </c>
      <c r="L66" s="705">
        <f t="shared" si="13"/>
        <v>0.38500000000000001</v>
      </c>
      <c r="M66" s="704">
        <f t="shared" si="13"/>
        <v>0.38500000000000001</v>
      </c>
      <c r="N66" s="705">
        <f t="shared" si="13"/>
        <v>0.38500000000000001</v>
      </c>
      <c r="O66" s="705">
        <f t="shared" si="13"/>
        <v>0.38500000000000001</v>
      </c>
      <c r="P66" s="705">
        <f t="shared" si="13"/>
        <v>0.38500000000000001</v>
      </c>
      <c r="Q66" s="705">
        <f t="shared" si="13"/>
        <v>0.38500000000000001</v>
      </c>
      <c r="R66" s="704">
        <f t="shared" si="13"/>
        <v>0.38500000000000001</v>
      </c>
      <c r="S66" s="705">
        <f t="shared" si="13"/>
        <v>0.38500000000000001</v>
      </c>
      <c r="T66" s="705">
        <f t="shared" si="13"/>
        <v>0.38500000000000001</v>
      </c>
      <c r="U66" s="705">
        <f t="shared" si="13"/>
        <v>0.38500000000000001</v>
      </c>
      <c r="V66" s="705">
        <f t="shared" si="13"/>
        <v>0.38500000000000001</v>
      </c>
      <c r="W66" s="704">
        <f t="shared" si="13"/>
        <v>0.38500000000000001</v>
      </c>
      <c r="X66" s="705">
        <f t="shared" si="13"/>
        <v>0.38500000000000001</v>
      </c>
      <c r="Y66" s="705">
        <f t="shared" si="13"/>
        <v>0.38500000000000001</v>
      </c>
      <c r="Z66" s="705">
        <f t="shared" si="13"/>
        <v>0.38500000000000001</v>
      </c>
      <c r="AA66" s="705">
        <f t="shared" si="13"/>
        <v>0.38500000000000001</v>
      </c>
      <c r="AB66" s="706">
        <f t="shared" si="13"/>
        <v>0.38500000000000001</v>
      </c>
      <c r="AC66" s="705">
        <f t="shared" si="13"/>
        <v>0.38500000000000001</v>
      </c>
      <c r="AD66" s="705">
        <f t="shared" si="13"/>
        <v>0.38500000000000001</v>
      </c>
      <c r="AE66" s="705">
        <f t="shared" si="13"/>
        <v>0.38500000000000001</v>
      </c>
      <c r="AF66" s="705">
        <f t="shared" si="13"/>
        <v>0.38500000000000001</v>
      </c>
      <c r="AG66" s="706">
        <f t="shared" si="13"/>
        <v>0.38500000000000001</v>
      </c>
      <c r="AH66" s="705">
        <f t="shared" si="13"/>
        <v>0.38500000000000001</v>
      </c>
      <c r="AI66" s="705">
        <f t="shared" si="13"/>
        <v>0.38500000000000001</v>
      </c>
      <c r="AJ66" s="705">
        <f t="shared" si="13"/>
        <v>0.38500000000000001</v>
      </c>
      <c r="AK66" s="705">
        <f t="shared" si="13"/>
        <v>0.38500000000000001</v>
      </c>
      <c r="AL66" s="706">
        <f t="shared" si="13"/>
        <v>0.38500000000000001</v>
      </c>
      <c r="AM66" s="705">
        <f t="shared" si="13"/>
        <v>0.38500000000000001</v>
      </c>
      <c r="AN66" s="705">
        <f t="shared" si="13"/>
        <v>0.38500000000000001</v>
      </c>
      <c r="AO66" s="705">
        <f t="shared" si="13"/>
        <v>0.38500000000000001</v>
      </c>
      <c r="AP66" s="705">
        <f t="shared" si="13"/>
        <v>0.38500000000000001</v>
      </c>
      <c r="AQ66" s="707">
        <f t="shared" si="13"/>
        <v>0.38500000000000001</v>
      </c>
      <c r="AS66" s="651" t="s">
        <v>672</v>
      </c>
    </row>
    <row r="67" spans="2:45">
      <c r="B67" s="50" t="s">
        <v>620</v>
      </c>
      <c r="C67" s="138">
        <v>12</v>
      </c>
      <c r="D67" s="131">
        <v>3</v>
      </c>
      <c r="E67" s="131">
        <v>3</v>
      </c>
      <c r="F67" s="131">
        <v>3</v>
      </c>
      <c r="G67" s="131">
        <v>3</v>
      </c>
      <c r="H67" s="138">
        <f>C67</f>
        <v>12</v>
      </c>
      <c r="I67" s="131">
        <f>D67</f>
        <v>3</v>
      </c>
      <c r="J67" s="131">
        <f>E67</f>
        <v>3</v>
      </c>
      <c r="K67" s="131">
        <f>F67</f>
        <v>3</v>
      </c>
      <c r="L67" s="131">
        <f>G67</f>
        <v>3</v>
      </c>
      <c r="M67" s="138">
        <f>H67</f>
        <v>12</v>
      </c>
      <c r="N67" s="131">
        <f>I67</f>
        <v>3</v>
      </c>
      <c r="O67" s="131">
        <f>J67</f>
        <v>3</v>
      </c>
      <c r="P67" s="131">
        <f>K67</f>
        <v>3</v>
      </c>
      <c r="Q67" s="131">
        <f>L67</f>
        <v>3</v>
      </c>
      <c r="R67" s="138">
        <f>M67</f>
        <v>12</v>
      </c>
      <c r="S67" s="131">
        <f t="shared" ref="S67" si="14">N67</f>
        <v>3</v>
      </c>
      <c r="T67" s="131">
        <f t="shared" ref="T67" si="15">O67</f>
        <v>3</v>
      </c>
      <c r="U67" s="131">
        <f t="shared" ref="U67" si="16">P67</f>
        <v>3</v>
      </c>
      <c r="V67" s="131">
        <f t="shared" ref="V67" si="17">Q67</f>
        <v>3</v>
      </c>
      <c r="W67" s="138">
        <f t="shared" ref="W67" si="18">R67</f>
        <v>12</v>
      </c>
      <c r="X67" s="131">
        <f t="shared" ref="X67" si="19">S67</f>
        <v>3</v>
      </c>
      <c r="Y67" s="131">
        <f t="shared" ref="Y67" si="20">T67</f>
        <v>3</v>
      </c>
      <c r="Z67" s="131">
        <f t="shared" ref="Z67" si="21">U67</f>
        <v>3</v>
      </c>
      <c r="AA67" s="131">
        <f t="shared" ref="AA67" si="22">V67</f>
        <v>3</v>
      </c>
      <c r="AB67" s="695">
        <f t="shared" ref="AB67" si="23">W67</f>
        <v>12</v>
      </c>
      <c r="AC67" s="131">
        <f t="shared" ref="AC67" si="24">X67</f>
        <v>3</v>
      </c>
      <c r="AD67" s="131">
        <f t="shared" ref="AD67" si="25">Y67</f>
        <v>3</v>
      </c>
      <c r="AE67" s="131">
        <f t="shared" ref="AE67" si="26">Z67</f>
        <v>3</v>
      </c>
      <c r="AF67" s="131">
        <f t="shared" ref="AF67" si="27">AA67</f>
        <v>3</v>
      </c>
      <c r="AG67" s="695">
        <f t="shared" ref="AG67" si="28">AB67</f>
        <v>12</v>
      </c>
      <c r="AH67" s="131">
        <f t="shared" ref="AH67" si="29">AC67</f>
        <v>3</v>
      </c>
      <c r="AI67" s="131">
        <f t="shared" ref="AI67" si="30">AD67</f>
        <v>3</v>
      </c>
      <c r="AJ67" s="131">
        <f t="shared" ref="AJ67" si="31">AE67</f>
        <v>3</v>
      </c>
      <c r="AK67" s="131">
        <f t="shared" ref="AK67" si="32">AF67</f>
        <v>3</v>
      </c>
      <c r="AL67" s="695">
        <f t="shared" ref="AL67" si="33">AG67</f>
        <v>12</v>
      </c>
      <c r="AM67" s="131">
        <f t="shared" ref="AM67" si="34">AH67</f>
        <v>3</v>
      </c>
      <c r="AN67" s="131">
        <f t="shared" ref="AN67" si="35">AI67</f>
        <v>3</v>
      </c>
      <c r="AO67" s="131">
        <f t="shared" ref="AO67" si="36">AJ67</f>
        <v>3</v>
      </c>
      <c r="AP67" s="131">
        <f t="shared" ref="AP67" si="37">AK67</f>
        <v>3</v>
      </c>
      <c r="AQ67" s="696">
        <f t="shared" ref="AQ67" si="38">AL67</f>
        <v>12</v>
      </c>
    </row>
    <row r="68" spans="2:45">
      <c r="B68" s="104"/>
      <c r="C68" s="148"/>
      <c r="D68" s="143"/>
      <c r="E68" s="143"/>
      <c r="F68" s="143"/>
      <c r="G68" s="143"/>
      <c r="H68" s="677"/>
      <c r="I68" s="143"/>
      <c r="J68" s="143"/>
      <c r="K68" s="143"/>
      <c r="L68" s="143"/>
      <c r="M68" s="148"/>
      <c r="N68" s="143"/>
      <c r="O68" s="143"/>
      <c r="P68" s="143"/>
      <c r="Q68" s="143"/>
      <c r="R68" s="148"/>
      <c r="S68" s="143"/>
      <c r="T68" s="143"/>
      <c r="U68" s="143"/>
      <c r="V68" s="143"/>
      <c r="W68" s="148"/>
      <c r="X68" s="143"/>
      <c r="Y68" s="143"/>
      <c r="Z68" s="143"/>
      <c r="AA68" s="143"/>
      <c r="AB68" s="279"/>
      <c r="AC68" s="143"/>
      <c r="AD68" s="143"/>
      <c r="AE68" s="143"/>
      <c r="AF68" s="143"/>
      <c r="AG68" s="279"/>
      <c r="AH68" s="143"/>
      <c r="AI68" s="143"/>
      <c r="AJ68" s="143"/>
      <c r="AK68" s="143"/>
      <c r="AL68" s="279"/>
      <c r="AM68" s="143"/>
      <c r="AN68" s="143"/>
      <c r="AO68" s="143"/>
      <c r="AP68" s="143"/>
      <c r="AQ68" s="676"/>
    </row>
    <row r="69" spans="2:45">
      <c r="B69" s="104" t="s">
        <v>619</v>
      </c>
      <c r="C69" s="677">
        <f t="shared" ref="C69:X69" si="39">C63*C64*1000*1000*C66/C67/C65</f>
        <v>14899.044074436833</v>
      </c>
      <c r="D69" s="144">
        <f t="shared" si="39"/>
        <v>22077.771373679159</v>
      </c>
      <c r="E69" s="144">
        <f t="shared" si="39"/>
        <v>28422.647754137106</v>
      </c>
      <c r="F69" s="144">
        <f t="shared" si="39"/>
        <v>26846.677232062077</v>
      </c>
      <c r="G69" s="144">
        <f t="shared" si="39"/>
        <v>42162.586327415069</v>
      </c>
      <c r="H69" s="677">
        <f t="shared" si="39"/>
        <v>29022.284918648689</v>
      </c>
      <c r="I69" s="144">
        <f t="shared" si="39"/>
        <v>25168.968732071142</v>
      </c>
      <c r="J69" s="144">
        <f t="shared" si="39"/>
        <v>13688.173703598755</v>
      </c>
      <c r="K69" s="144">
        <f t="shared" si="39"/>
        <v>36962.584490740745</v>
      </c>
      <c r="L69" s="144">
        <f t="shared" si="39"/>
        <v>30531.001407954936</v>
      </c>
      <c r="M69" s="677">
        <f t="shared" si="39"/>
        <v>26647.736917677092</v>
      </c>
      <c r="N69" s="144">
        <f t="shared" si="39"/>
        <v>38453.873206848686</v>
      </c>
      <c r="O69" s="144">
        <f t="shared" si="39"/>
        <v>58165.387221587385</v>
      </c>
      <c r="P69" s="144">
        <f t="shared" si="39"/>
        <v>55684.392073996896</v>
      </c>
      <c r="Q69" s="144">
        <f t="shared" si="39"/>
        <v>63678.456607051936</v>
      </c>
      <c r="R69" s="677">
        <f t="shared" si="39"/>
        <v>53993.997754588869</v>
      </c>
      <c r="S69" s="144">
        <f t="shared" si="39"/>
        <v>70882.01144776681</v>
      </c>
      <c r="T69" s="144">
        <f t="shared" si="39"/>
        <v>54148.349393447686</v>
      </c>
      <c r="U69" s="144">
        <f t="shared" si="39"/>
        <v>62113.33333333335</v>
      </c>
      <c r="V69" s="144">
        <f t="shared" si="39"/>
        <v>82381.125615236495</v>
      </c>
      <c r="W69" s="677">
        <f t="shared" si="39"/>
        <v>68673.627534692991</v>
      </c>
      <c r="X69" s="144">
        <f t="shared" si="39"/>
        <v>81033.936808920014</v>
      </c>
      <c r="Y69" s="144">
        <f>Y63*Y64*1000*1000*Y66/Y67/Y65</f>
        <v>122087.52798372475</v>
      </c>
      <c r="Z69" s="144">
        <f>Z63*Z64*1000*1000*Z66/Z67/Z65</f>
        <v>77000</v>
      </c>
      <c r="AA69" s="144">
        <f t="shared" ref="Z69:AQ69" si="40">AA63*AA64*1000*1000*AA66/AA67/AA65</f>
        <v>66406.44266666667</v>
      </c>
      <c r="AB69" s="288">
        <f t="shared" si="40"/>
        <v>85726.513518056512</v>
      </c>
      <c r="AC69" s="144">
        <f t="shared" si="40"/>
        <v>62422.056106666671</v>
      </c>
      <c r="AD69" s="144">
        <f t="shared" si="40"/>
        <v>62422.056106666671</v>
      </c>
      <c r="AE69" s="144">
        <f t="shared" si="40"/>
        <v>94625.513892465926</v>
      </c>
      <c r="AF69" s="144">
        <f t="shared" si="40"/>
        <v>109048.03324201697</v>
      </c>
      <c r="AG69" s="288">
        <f t="shared" si="40"/>
        <v>82129.414836954064</v>
      </c>
      <c r="AH69" s="144">
        <f t="shared" si="40"/>
        <v>101062.79195531005</v>
      </c>
      <c r="AI69" s="144">
        <f t="shared" si="40"/>
        <v>127722.76307955988</v>
      </c>
      <c r="AJ69" s="144">
        <f t="shared" si="40"/>
        <v>114269.89521060231</v>
      </c>
      <c r="AK69" s="144">
        <f t="shared" si="40"/>
        <v>132399.34543517788</v>
      </c>
      <c r="AL69" s="288">
        <f t="shared" si="40"/>
        <v>118863.69892016253</v>
      </c>
      <c r="AM69" s="144">
        <f t="shared" si="40"/>
        <v>114378.088053385</v>
      </c>
      <c r="AN69" s="144">
        <f t="shared" si="40"/>
        <v>144876.73693246083</v>
      </c>
      <c r="AO69" s="144">
        <f t="shared" si="40"/>
        <v>129541.7525236994</v>
      </c>
      <c r="AP69" s="144">
        <f t="shared" si="40"/>
        <v>150348.2174761034</v>
      </c>
      <c r="AQ69" s="678">
        <f t="shared" si="40"/>
        <v>134786.19874641218</v>
      </c>
    </row>
    <row r="70" spans="2:45">
      <c r="B70" s="50" t="s">
        <v>627</v>
      </c>
      <c r="C70" s="677">
        <f>C59</f>
        <v>4702879.8226863276</v>
      </c>
      <c r="D70" s="144">
        <f t="shared" ref="D70:AQ70" si="41">D59</f>
        <v>4708787.96316709</v>
      </c>
      <c r="E70" s="144">
        <f t="shared" si="41"/>
        <v>4714696.1036478514</v>
      </c>
      <c r="F70" s="144">
        <f t="shared" si="41"/>
        <v>4720604.2441286137</v>
      </c>
      <c r="G70" s="144">
        <f t="shared" si="41"/>
        <v>4726512.3846093751</v>
      </c>
      <c r="H70" s="677">
        <f t="shared" si="41"/>
        <v>4726512.3846093751</v>
      </c>
      <c r="I70" s="144">
        <f t="shared" si="41"/>
        <v>4732450.2142382814</v>
      </c>
      <c r="J70" s="144">
        <f t="shared" si="41"/>
        <v>4738388.0438671885</v>
      </c>
      <c r="K70" s="144">
        <f t="shared" si="41"/>
        <v>4744325.8734960938</v>
      </c>
      <c r="L70" s="144">
        <f t="shared" si="41"/>
        <v>4750263.703125</v>
      </c>
      <c r="M70" s="677">
        <f t="shared" si="41"/>
        <v>4750263.703125</v>
      </c>
      <c r="N70" s="144">
        <f>N59</f>
        <v>4756231.37109375</v>
      </c>
      <c r="O70" s="144">
        <f t="shared" si="41"/>
        <v>4762199.0390625</v>
      </c>
      <c r="P70" s="144">
        <f t="shared" si="41"/>
        <v>4768166.70703125</v>
      </c>
      <c r="Q70" s="144">
        <f t="shared" si="41"/>
        <v>4774134.375</v>
      </c>
      <c r="R70" s="677">
        <f t="shared" si="41"/>
        <v>4774134.375</v>
      </c>
      <c r="S70" s="144">
        <f t="shared" si="41"/>
        <v>4780132.03125</v>
      </c>
      <c r="T70" s="144">
        <f t="shared" si="41"/>
        <v>4786129.6875</v>
      </c>
      <c r="U70" s="144">
        <f t="shared" si="41"/>
        <v>4792127.34375</v>
      </c>
      <c r="V70" s="144">
        <f t="shared" si="41"/>
        <v>4798125</v>
      </c>
      <c r="W70" s="677">
        <f t="shared" si="41"/>
        <v>4798125</v>
      </c>
      <c r="X70" s="144">
        <f t="shared" si="41"/>
        <v>4804122.65625</v>
      </c>
      <c r="Y70" s="144">
        <f t="shared" si="41"/>
        <v>4810120.3125</v>
      </c>
      <c r="Z70" s="144">
        <f>Z59</f>
        <v>4816117.96875</v>
      </c>
      <c r="AA70" s="144">
        <f t="shared" si="41"/>
        <v>4822115.625</v>
      </c>
      <c r="AB70" s="288">
        <f>AB59</f>
        <v>4822115.625</v>
      </c>
      <c r="AC70" s="144">
        <f t="shared" ref="AC70:AQ70" si="42">AC59</f>
        <v>4828143.26953125</v>
      </c>
      <c r="AD70" s="144">
        <f t="shared" si="42"/>
        <v>4834170.9140625</v>
      </c>
      <c r="AE70" s="144">
        <f t="shared" si="42"/>
        <v>4840198.55859375</v>
      </c>
      <c r="AF70" s="144">
        <f t="shared" si="42"/>
        <v>4846226.203125</v>
      </c>
      <c r="AG70" s="288">
        <f t="shared" si="42"/>
        <v>4846226.2031249991</v>
      </c>
      <c r="AH70" s="144">
        <f t="shared" si="42"/>
        <v>4852283.9858789053</v>
      </c>
      <c r="AI70" s="144">
        <f t="shared" si="42"/>
        <v>4858341.7686328115</v>
      </c>
      <c r="AJ70" s="144">
        <f t="shared" si="42"/>
        <v>4864399.5513867177</v>
      </c>
      <c r="AK70" s="144">
        <f t="shared" si="42"/>
        <v>4870457.3341406239</v>
      </c>
      <c r="AL70" s="288">
        <f t="shared" si="42"/>
        <v>4870457.3341406239</v>
      </c>
      <c r="AM70" s="144">
        <f t="shared" si="42"/>
        <v>4876545.4058082988</v>
      </c>
      <c r="AN70" s="144">
        <f t="shared" si="42"/>
        <v>4882633.4774759747</v>
      </c>
      <c r="AO70" s="144">
        <f t="shared" si="42"/>
        <v>4888721.5491436506</v>
      </c>
      <c r="AP70" s="144">
        <f t="shared" si="42"/>
        <v>4894809.6208113264</v>
      </c>
      <c r="AQ70" s="678">
        <f t="shared" si="42"/>
        <v>4894809.6208113264</v>
      </c>
    </row>
    <row r="71" spans="2:45">
      <c r="B71" s="684"/>
      <c r="C71" s="148"/>
      <c r="D71" s="143"/>
      <c r="E71" s="143"/>
      <c r="F71" s="143"/>
      <c r="G71" s="143"/>
      <c r="H71" s="148"/>
      <c r="I71" s="143"/>
      <c r="J71" s="143"/>
      <c r="K71" s="143"/>
      <c r="L71" s="143"/>
      <c r="M71" s="148"/>
      <c r="N71" s="143"/>
      <c r="O71" s="143"/>
      <c r="P71" s="143"/>
      <c r="Q71" s="143"/>
      <c r="R71" s="148"/>
      <c r="S71" s="143"/>
      <c r="T71" s="143"/>
      <c r="U71" s="143"/>
      <c r="V71" s="143"/>
      <c r="W71" s="148"/>
      <c r="X71" s="143"/>
      <c r="Y71" s="143"/>
      <c r="Z71" s="143"/>
      <c r="AA71" s="143"/>
      <c r="AB71" s="279"/>
      <c r="AC71" s="143"/>
      <c r="AD71" s="143"/>
      <c r="AE71" s="143"/>
      <c r="AF71" s="143"/>
      <c r="AG71" s="279"/>
      <c r="AH71" s="143"/>
      <c r="AI71" s="143"/>
      <c r="AJ71" s="143"/>
      <c r="AK71" s="143"/>
      <c r="AL71" s="279"/>
      <c r="AM71" s="143"/>
      <c r="AN71" s="143"/>
      <c r="AO71" s="143"/>
      <c r="AP71" s="143"/>
      <c r="AQ71" s="676"/>
    </row>
    <row r="72" spans="2:45">
      <c r="B72" s="684" t="s">
        <v>628</v>
      </c>
      <c r="C72" s="334">
        <f>C69/C70</f>
        <v>3.1680682127076692E-3</v>
      </c>
      <c r="D72" s="289">
        <f t="shared" ref="D72:AQ72" si="43">D69/D70</f>
        <v>4.6886314581108986E-3</v>
      </c>
      <c r="E72" s="289">
        <f t="shared" si="43"/>
        <v>6.0285216966892005E-3</v>
      </c>
      <c r="F72" s="289">
        <f t="shared" si="43"/>
        <v>5.6871272921159184E-3</v>
      </c>
      <c r="G72" s="289">
        <f t="shared" si="43"/>
        <v>8.9204434256231445E-3</v>
      </c>
      <c r="H72" s="334">
        <f t="shared" si="43"/>
        <v>6.1403171211720517E-3</v>
      </c>
      <c r="I72" s="289">
        <f t="shared" si="43"/>
        <v>5.3183800341621238E-3</v>
      </c>
      <c r="J72" s="289">
        <f t="shared" si="43"/>
        <v>2.8887827625926742E-3</v>
      </c>
      <c r="K72" s="289">
        <f t="shared" si="43"/>
        <v>7.7909033814962244E-3</v>
      </c>
      <c r="L72" s="289">
        <f t="shared" si="43"/>
        <v>6.4272224272243807E-3</v>
      </c>
      <c r="M72" s="334">
        <f t="shared" si="43"/>
        <v>5.6097384446565897E-3</v>
      </c>
      <c r="N72" s="289">
        <f t="shared" si="43"/>
        <v>8.0849458755421679E-3</v>
      </c>
      <c r="O72" s="289">
        <f t="shared" si="43"/>
        <v>1.2213976514731729E-2</v>
      </c>
      <c r="P72" s="289">
        <f t="shared" si="43"/>
        <v>1.1678365186326936E-2</v>
      </c>
      <c r="Q72" s="289">
        <f t="shared" si="43"/>
        <v>1.3338220419707381E-2</v>
      </c>
      <c r="R72" s="334">
        <f t="shared" si="43"/>
        <v>1.1309693760890187E-2</v>
      </c>
      <c r="S72" s="289">
        <f t="shared" si="43"/>
        <v>1.4828463101934704E-2</v>
      </c>
      <c r="T72" s="289">
        <f t="shared" si="43"/>
        <v>1.1313598445706072E-2</v>
      </c>
      <c r="U72" s="289">
        <f t="shared" si="43"/>
        <v>1.2961536469673109E-2</v>
      </c>
      <c r="V72" s="289">
        <f t="shared" si="43"/>
        <v>1.7169441316188406E-2</v>
      </c>
      <c r="W72" s="334">
        <f t="shared" si="43"/>
        <v>1.4312596594439076E-2</v>
      </c>
      <c r="X72" s="289">
        <f t="shared" si="43"/>
        <v>1.6867582825658631E-2</v>
      </c>
      <c r="Y72" s="289">
        <f t="shared" si="43"/>
        <v>2.5381387585349458E-2</v>
      </c>
      <c r="Z72" s="289">
        <f>Z69/Z70</f>
        <v>1.5987980464686368E-2</v>
      </c>
      <c r="AA72" s="289">
        <f t="shared" si="43"/>
        <v>1.3771225708978447E-2</v>
      </c>
      <c r="AB72" s="339">
        <f t="shared" si="43"/>
        <v>1.7777780581123354E-2</v>
      </c>
      <c r="AC72" s="289">
        <f t="shared" si="43"/>
        <v>1.2928791177467905E-2</v>
      </c>
      <c r="AD72" s="289">
        <f t="shared" si="43"/>
        <v>1.2912670490214204E-2</v>
      </c>
      <c r="AE72" s="289">
        <f t="shared" si="43"/>
        <v>1.9549923984928008E-2</v>
      </c>
      <c r="AF72" s="289">
        <f t="shared" si="43"/>
        <v>2.2501639145877952E-2</v>
      </c>
      <c r="AG72" s="339">
        <f t="shared" si="43"/>
        <v>1.6947086535910032E-2</v>
      </c>
      <c r="AH72" s="289">
        <f t="shared" si="43"/>
        <v>2.0827880694827945E-2</v>
      </c>
      <c r="AI72" s="289">
        <f t="shared" si="43"/>
        <v>2.6289373856772207E-2</v>
      </c>
      <c r="AJ72" s="289">
        <f t="shared" si="43"/>
        <v>2.349105866067824E-2</v>
      </c>
      <c r="AK72" s="289">
        <f t="shared" si="43"/>
        <v>2.7184171085350307E-2</v>
      </c>
      <c r="AL72" s="339">
        <f t="shared" si="43"/>
        <v>2.4405038534463547E-2</v>
      </c>
      <c r="AM72" s="289">
        <f t="shared" si="43"/>
        <v>2.3454736608655973E-2</v>
      </c>
      <c r="AN72" s="289">
        <f t="shared" si="43"/>
        <v>2.9671843606690975E-2</v>
      </c>
      <c r="AO72" s="289">
        <f t="shared" si="43"/>
        <v>2.6498083644463453E-2</v>
      </c>
      <c r="AP72" s="289">
        <f t="shared" si="43"/>
        <v>3.0715845788335853E-2</v>
      </c>
      <c r="AQ72" s="700">
        <f t="shared" si="43"/>
        <v>2.7536555900629908E-2</v>
      </c>
    </row>
    <row r="73" spans="2:45">
      <c r="B73" s="684"/>
      <c r="C73" s="148"/>
      <c r="D73" s="143"/>
      <c r="E73" s="143"/>
      <c r="F73" s="143"/>
      <c r="G73" s="143"/>
      <c r="H73" s="148"/>
      <c r="I73" s="143"/>
      <c r="J73" s="143"/>
      <c r="K73" s="143"/>
      <c r="L73" s="143"/>
      <c r="M73" s="148"/>
      <c r="N73" s="143"/>
      <c r="O73" s="143"/>
      <c r="P73" s="143"/>
      <c r="Q73" s="143"/>
      <c r="R73" s="148"/>
      <c r="S73" s="143"/>
      <c r="T73" s="143"/>
      <c r="U73" s="143"/>
      <c r="V73" s="143"/>
      <c r="W73" s="148"/>
      <c r="X73" s="143"/>
      <c r="Y73" s="143"/>
      <c r="Z73" s="143"/>
      <c r="AA73" s="143"/>
      <c r="AB73" s="279"/>
      <c r="AC73" s="143"/>
      <c r="AD73" s="143"/>
      <c r="AE73" s="143"/>
      <c r="AF73" s="143"/>
      <c r="AG73" s="279"/>
      <c r="AH73" s="143"/>
      <c r="AI73" s="143"/>
      <c r="AJ73" s="143"/>
      <c r="AK73" s="143"/>
      <c r="AL73" s="279"/>
      <c r="AM73" s="143"/>
      <c r="AN73" s="143"/>
      <c r="AO73" s="143"/>
      <c r="AP73" s="143"/>
      <c r="AQ73" s="676"/>
    </row>
    <row r="74" spans="2:45">
      <c r="B74" s="672" t="s">
        <v>623</v>
      </c>
      <c r="C74" s="673"/>
      <c r="D74" s="673"/>
      <c r="E74" s="673"/>
      <c r="F74" s="673"/>
      <c r="G74" s="673"/>
      <c r="H74" s="673"/>
      <c r="I74" s="673"/>
      <c r="J74" s="673"/>
      <c r="K74" s="673"/>
      <c r="L74" s="673"/>
      <c r="M74" s="673"/>
      <c r="N74" s="673"/>
      <c r="O74" s="673"/>
      <c r="P74" s="673"/>
      <c r="Q74" s="673"/>
      <c r="R74" s="673"/>
      <c r="S74" s="673"/>
      <c r="T74" s="673"/>
      <c r="U74" s="673"/>
      <c r="V74" s="673"/>
      <c r="W74" s="673"/>
      <c r="X74" s="673"/>
      <c r="Y74" s="673"/>
      <c r="Z74" s="673"/>
      <c r="AA74" s="674"/>
      <c r="AB74" s="674"/>
      <c r="AC74" s="674"/>
      <c r="AD74" s="674"/>
      <c r="AE74" s="674"/>
      <c r="AF74" s="674"/>
      <c r="AG74" s="674"/>
      <c r="AH74" s="674"/>
      <c r="AI74" s="674"/>
      <c r="AJ74" s="674"/>
      <c r="AK74" s="674"/>
      <c r="AL74" s="674"/>
      <c r="AM74" s="674"/>
      <c r="AN74" s="674"/>
      <c r="AO74" s="674"/>
      <c r="AP74" s="674"/>
      <c r="AQ74" s="675"/>
    </row>
    <row r="75" spans="2:45">
      <c r="B75" s="104"/>
      <c r="C75" s="148"/>
      <c r="D75" s="143"/>
      <c r="E75" s="143"/>
      <c r="F75" s="143"/>
      <c r="G75" s="143"/>
      <c r="H75" s="148"/>
      <c r="I75" s="143"/>
      <c r="J75" s="143"/>
      <c r="K75" s="143"/>
      <c r="L75" s="143"/>
      <c r="M75" s="148"/>
      <c r="N75" s="143"/>
      <c r="O75" s="143"/>
      <c r="P75" s="143"/>
      <c r="Q75" s="143"/>
      <c r="R75" s="148"/>
      <c r="S75" s="143"/>
      <c r="T75" s="143"/>
      <c r="U75" s="143"/>
      <c r="V75" s="143"/>
      <c r="W75" s="148"/>
      <c r="X75" s="143"/>
      <c r="Y75" s="143"/>
      <c r="Z75" s="143"/>
      <c r="AA75" s="143"/>
      <c r="AB75" s="279"/>
      <c r="AC75" s="143"/>
      <c r="AD75" s="143"/>
      <c r="AE75" s="143"/>
      <c r="AF75" s="143"/>
      <c r="AG75" s="279"/>
      <c r="AH75" s="143"/>
      <c r="AI75" s="143"/>
      <c r="AJ75" s="143"/>
      <c r="AK75" s="143"/>
      <c r="AL75" s="279"/>
      <c r="AM75" s="143"/>
      <c r="AN75" s="143"/>
      <c r="AO75" s="143"/>
      <c r="AP75" s="143"/>
      <c r="AQ75" s="676"/>
    </row>
    <row r="76" spans="2:45">
      <c r="B76" s="104" t="s">
        <v>643</v>
      </c>
      <c r="C76" s="685">
        <f>C34</f>
        <v>57.067</v>
      </c>
      <c r="D76" s="686">
        <f>D34</f>
        <v>17</v>
      </c>
      <c r="E76" s="686">
        <f>E34</f>
        <v>20.9</v>
      </c>
      <c r="F76" s="686">
        <f>F34</f>
        <v>19</v>
      </c>
      <c r="G76" s="686">
        <f>G34</f>
        <v>24.567</v>
      </c>
      <c r="H76" s="685">
        <f>H34</f>
        <v>81.466999999999999</v>
      </c>
      <c r="I76" s="686">
        <f>I34</f>
        <v>14.081000000000001</v>
      </c>
      <c r="J76" s="686">
        <f>J34</f>
        <v>5.9749999999999996</v>
      </c>
      <c r="K76" s="686">
        <f>K34</f>
        <v>15.925000000000001</v>
      </c>
      <c r="L76" s="686">
        <f>L34</f>
        <v>17.390999999999998</v>
      </c>
      <c r="M76" s="685">
        <f>M34</f>
        <v>53.372</v>
      </c>
      <c r="N76" s="686">
        <f>N34</f>
        <v>25.671999999999997</v>
      </c>
      <c r="O76" s="686">
        <f>O34</f>
        <v>34.944000000000003</v>
      </c>
      <c r="P76" s="686">
        <f>P34</f>
        <v>36.182000000000002</v>
      </c>
      <c r="Q76" s="686">
        <f>Q34</f>
        <v>42.665999999999997</v>
      </c>
      <c r="R76" s="685">
        <f>R34</f>
        <v>139.464</v>
      </c>
      <c r="S76" s="686">
        <f>S34</f>
        <v>41.646999999999998</v>
      </c>
      <c r="T76" s="686">
        <f>T34</f>
        <v>64.783000000000001</v>
      </c>
      <c r="U76" s="686">
        <f>U34</f>
        <v>49.094000000000001</v>
      </c>
      <c r="V76" s="686">
        <f>V34</f>
        <v>50.7</v>
      </c>
      <c r="W76" s="685">
        <f>W34</f>
        <v>206.22399999999999</v>
      </c>
      <c r="X76" s="686">
        <f>X34</f>
        <v>45.353000000000002</v>
      </c>
      <c r="Y76" s="686">
        <f>Y34</f>
        <v>65.59</v>
      </c>
      <c r="Z76" s="686">
        <f>Z34</f>
        <v>51</v>
      </c>
      <c r="AA76" s="686">
        <f>AA34</f>
        <v>7.5224791550861587</v>
      </c>
      <c r="AB76" s="688">
        <f>AB34</f>
        <v>169.46547915508617</v>
      </c>
      <c r="AC76" s="686">
        <f>AC34</f>
        <v>8.0128973105134467</v>
      </c>
      <c r="AD76" s="686">
        <f>AD34</f>
        <v>9.039765592298032</v>
      </c>
      <c r="AE76" s="686">
        <f>AE34</f>
        <v>13.120359955005624</v>
      </c>
      <c r="AF76" s="686">
        <f>AF34</f>
        <v>16.534647910227903</v>
      </c>
      <c r="AG76" s="688">
        <f>AG34</f>
        <v>46.707670768045006</v>
      </c>
      <c r="AH76" s="686">
        <f>AH34</f>
        <v>19.567763917794622</v>
      </c>
      <c r="AI76" s="686">
        <f>AI34</f>
        <v>21.624731263992299</v>
      </c>
      <c r="AJ76" s="686">
        <f>AJ34</f>
        <v>26.281003667229697</v>
      </c>
      <c r="AK76" s="686">
        <f>AK34</f>
        <v>24.359347104141854</v>
      </c>
      <c r="AL76" s="688">
        <f>AL34</f>
        <v>91.832845953158483</v>
      </c>
      <c r="AM76" s="686">
        <f>AM34</f>
        <v>25.28106146413301</v>
      </c>
      <c r="AN76" s="686">
        <f>AN34</f>
        <v>24.977817181471138</v>
      </c>
      <c r="AO76" s="686">
        <f>AO34</f>
        <v>27.399248427462584</v>
      </c>
      <c r="AP76" s="686">
        <f>AP34</f>
        <v>32.403815120558086</v>
      </c>
      <c r="AQ76" s="689">
        <f>AQ34</f>
        <v>110.06194219362482</v>
      </c>
      <c r="AS76" s="651" t="s">
        <v>630</v>
      </c>
    </row>
    <row r="77" spans="2:45">
      <c r="B77" s="104" t="s">
        <v>666</v>
      </c>
      <c r="C77" s="685">
        <f>tower!E59-tower!E73</f>
        <v>1064.7784213338091</v>
      </c>
      <c r="D77" s="686">
        <f>tower!F59-tower!F73</f>
        <v>1399.0568426676164</v>
      </c>
      <c r="E77" s="686">
        <f>tower!G59-tower!G73</f>
        <v>1585.0603887669058</v>
      </c>
      <c r="F77" s="686">
        <f>tower!H59-tower!H73</f>
        <v>1785.3580270492712</v>
      </c>
      <c r="G77" s="686">
        <f>tower!I59-tower!I73</f>
        <v>2045.7645895245332</v>
      </c>
      <c r="H77" s="685">
        <f>tower!J59-tower!J73</f>
        <v>1763.4669512421679</v>
      </c>
      <c r="I77" s="686">
        <f>tower!K59-tower!K73</f>
        <v>2282.6276591528367</v>
      </c>
      <c r="J77" s="686">
        <f>tower!L59-tower!L73</f>
        <v>2367.5586920395399</v>
      </c>
      <c r="K77" s="686">
        <f>tower!M59-tower!M73</f>
        <v>2501.4895740854918</v>
      </c>
      <c r="L77" s="686">
        <f>tower!N59-tower!N73</f>
        <v>2702.7347427498171</v>
      </c>
      <c r="M77" s="685">
        <f>tower!O59-tower!O73</f>
        <v>2496.0532613677424</v>
      </c>
      <c r="N77" s="686">
        <f>tower!P59-tower!P73</f>
        <v>2925.0491170045334</v>
      </c>
      <c r="O77" s="686">
        <f>tower!Q59-tower!Q73</f>
        <v>3275.854291039599</v>
      </c>
      <c r="P77" s="686">
        <f>tower!R59-tower!R73</f>
        <v>3667.0862588847194</v>
      </c>
      <c r="Q77" s="686">
        <f>tower!S59-tower!S73</f>
        <v>4121.0602417820082</v>
      </c>
      <c r="R77" s="685">
        <f>tower!T59-tower!T73</f>
        <v>3587.0086198511235</v>
      </c>
      <c r="S77" s="686">
        <f>tower!U59-tower!U73</f>
        <v>4684.761127615624</v>
      </c>
      <c r="T77" s="686">
        <f>tower!V59-tower!V73</f>
        <v>5142.4125614333971</v>
      </c>
      <c r="U77" s="686">
        <f>tower!W59-tower!W73</f>
        <v>5571.5505507168928</v>
      </c>
      <c r="V77" s="686">
        <f>tower!X59-tower!X73</f>
        <v>5982.1038965305161</v>
      </c>
      <c r="W77" s="685">
        <f>tower!Y59-tower!Y73</f>
        <v>5259.9925564148762</v>
      </c>
      <c r="X77" s="686">
        <f>tower!Z59-tower!Z73</f>
        <v>6527.667652928907</v>
      </c>
      <c r="Y77" s="686">
        <f>tower!AA59-tower!AA73</f>
        <v>7448.628874568989</v>
      </c>
      <c r="Z77" s="686">
        <f>tower!AB59-tower!AB73</f>
        <v>4173.7353434289944</v>
      </c>
      <c r="AA77" s="686">
        <f>tower!AC59-tower!AC73</f>
        <v>5878.5435010016445</v>
      </c>
      <c r="AB77" s="688">
        <f>tower!AD59-tower!AD73</f>
        <v>3645.2946071734987</v>
      </c>
      <c r="AC77" s="686">
        <f>tower!AE59-tower!AE73</f>
        <v>6589.7030252072655</v>
      </c>
      <c r="AD77" s="686">
        <f>tower!AF59-tower!AF73</f>
        <v>7429.5000091863512</v>
      </c>
      <c r="AE77" s="686">
        <f>tower!AG59-tower!AG73</f>
        <v>8081.6871137119597</v>
      </c>
      <c r="AF77" s="686">
        <f>tower!AH59-tower!AH73</f>
        <v>8400.0371749882033</v>
      </c>
      <c r="AG77" s="688">
        <f>tower!AI59-tower!AI73</f>
        <v>7371.8331397270631</v>
      </c>
      <c r="AH77" s="686">
        <f>tower!AJ59-tower!AJ73</f>
        <v>8690.8010512527326</v>
      </c>
      <c r="AI77" s="686">
        <f>tower!AK59-tower!AK73</f>
        <v>9094.6727400198215</v>
      </c>
      <c r="AJ77" s="686">
        <f>tower!AL59-tower!AL73</f>
        <v>9600.8849360550375</v>
      </c>
      <c r="AK77" s="686">
        <f>tower!AM59-tower!AM73</f>
        <v>10081.182364584783</v>
      </c>
      <c r="AL77" s="688">
        <f>tower!AN59-tower!AN73</f>
        <v>9414.1493022792347</v>
      </c>
      <c r="AM77" s="686">
        <f>tower!AO59-tower!AO73</f>
        <v>10528.896206327496</v>
      </c>
      <c r="AN77" s="686">
        <f>tower!AP59-tower!AP73</f>
        <v>11064.016687750205</v>
      </c>
      <c r="AO77" s="686">
        <f>tower!AQ59-tower!AQ73</f>
        <v>11663.403158766087</v>
      </c>
      <c r="AP77" s="686">
        <f>tower!AR59-tower!AR73</f>
        <v>12278.986112399027</v>
      </c>
      <c r="AQ77" s="689">
        <f>tower!AS59-tower!AS73</f>
        <v>11449.021854631705</v>
      </c>
      <c r="AS77" s="651" t="s">
        <v>630</v>
      </c>
    </row>
    <row r="78" spans="2:45">
      <c r="B78" s="50" t="s">
        <v>632</v>
      </c>
      <c r="C78" s="685">
        <f>unitEconomics!$D$13</f>
        <v>376.48500000000001</v>
      </c>
      <c r="D78" s="686">
        <f>unitEconomics!$D$13</f>
        <v>376.48500000000001</v>
      </c>
      <c r="E78" s="686">
        <f>unitEconomics!$D$13</f>
        <v>376.48500000000001</v>
      </c>
      <c r="F78" s="686">
        <f>unitEconomics!$D$13</f>
        <v>376.48500000000001</v>
      </c>
      <c r="G78" s="686">
        <f>unitEconomics!$D$13</f>
        <v>376.48500000000001</v>
      </c>
      <c r="H78" s="685">
        <f>unitEconomics!$D$13</f>
        <v>376.48500000000001</v>
      </c>
      <c r="I78" s="686">
        <f>unitEconomics!$D$13</f>
        <v>376.48500000000001</v>
      </c>
      <c r="J78" s="686">
        <f>unitEconomics!$D$13</f>
        <v>376.48500000000001</v>
      </c>
      <c r="K78" s="686">
        <f>unitEconomics!$D$13</f>
        <v>376.48500000000001</v>
      </c>
      <c r="L78" s="686">
        <f>unitEconomics!$D$13</f>
        <v>376.48500000000001</v>
      </c>
      <c r="M78" s="685">
        <f>unitEconomics!$D$13</f>
        <v>376.48500000000001</v>
      </c>
      <c r="N78" s="686">
        <f>unitEconomics!$D$13</f>
        <v>376.48500000000001</v>
      </c>
      <c r="O78" s="686">
        <f>unitEconomics!$D$13</f>
        <v>376.48500000000001</v>
      </c>
      <c r="P78" s="686">
        <f>unitEconomics!$D$13</f>
        <v>376.48500000000001</v>
      </c>
      <c r="Q78" s="686">
        <f>unitEconomics!$D$13</f>
        <v>376.48500000000001</v>
      </c>
      <c r="R78" s="685">
        <f>unitEconomics!$D$13</f>
        <v>376.48500000000001</v>
      </c>
      <c r="S78" s="686">
        <f>unitEconomics!$D$13</f>
        <v>376.48500000000001</v>
      </c>
      <c r="T78" s="686">
        <f>unitEconomics!$D$13</f>
        <v>376.48500000000001</v>
      </c>
      <c r="U78" s="686">
        <f>unitEconomics!$D$13</f>
        <v>376.48500000000001</v>
      </c>
      <c r="V78" s="686">
        <f>unitEconomics!$D$13</f>
        <v>376.48500000000001</v>
      </c>
      <c r="W78" s="685">
        <f>unitEconomics!$D$13</f>
        <v>376.48500000000001</v>
      </c>
      <c r="X78" s="686">
        <f>unitEconomics!$D$13</f>
        <v>376.48500000000001</v>
      </c>
      <c r="Y78" s="686">
        <f>unitEconomics!$D$13</f>
        <v>376.48500000000001</v>
      </c>
      <c r="Z78" s="686">
        <f>unitEconomics!$D$13</f>
        <v>376.48500000000001</v>
      </c>
      <c r="AA78" s="686">
        <f>unitEconomics!$D$13</f>
        <v>376.48500000000001</v>
      </c>
      <c r="AB78" s="688">
        <f>unitEconomics!$D$13</f>
        <v>376.48500000000001</v>
      </c>
      <c r="AC78" s="686">
        <f>unitEconomics!$D$13</f>
        <v>376.48500000000001</v>
      </c>
      <c r="AD78" s="686">
        <f>unitEconomics!$D$13</f>
        <v>376.48500000000001</v>
      </c>
      <c r="AE78" s="686">
        <f>unitEconomics!$D$13</f>
        <v>376.48500000000001</v>
      </c>
      <c r="AF78" s="686">
        <f>unitEconomics!$D$13</f>
        <v>376.48500000000001</v>
      </c>
      <c r="AG78" s="688">
        <f>unitEconomics!$D$13</f>
        <v>376.48500000000001</v>
      </c>
      <c r="AH78" s="686">
        <f>unitEconomics!$D$13</f>
        <v>376.48500000000001</v>
      </c>
      <c r="AI78" s="686">
        <f>unitEconomics!$D$13</f>
        <v>376.48500000000001</v>
      </c>
      <c r="AJ78" s="686">
        <f>unitEconomics!$D$13</f>
        <v>376.48500000000001</v>
      </c>
      <c r="AK78" s="686">
        <f>unitEconomics!$D$13</f>
        <v>376.48500000000001</v>
      </c>
      <c r="AL78" s="688">
        <f>unitEconomics!$D$13</f>
        <v>376.48500000000001</v>
      </c>
      <c r="AM78" s="686">
        <f>unitEconomics!$D$13</f>
        <v>376.48500000000001</v>
      </c>
      <c r="AN78" s="686">
        <f>unitEconomics!$D$13</f>
        <v>376.48500000000001</v>
      </c>
      <c r="AO78" s="686">
        <f>unitEconomics!$D$13</f>
        <v>376.48500000000001</v>
      </c>
      <c r="AP78" s="686">
        <f>unitEconomics!$D$13</f>
        <v>376.48500000000001</v>
      </c>
      <c r="AQ78" s="689">
        <f>unitEconomics!$D$13</f>
        <v>376.48500000000001</v>
      </c>
    </row>
    <row r="79" spans="2:45">
      <c r="B79" s="50" t="s">
        <v>635</v>
      </c>
      <c r="C79" s="316">
        <v>1</v>
      </c>
      <c r="D79" s="280">
        <v>4</v>
      </c>
      <c r="E79" s="280">
        <v>4</v>
      </c>
      <c r="F79" s="280">
        <v>4</v>
      </c>
      <c r="G79" s="280">
        <v>4</v>
      </c>
      <c r="H79" s="316">
        <v>1</v>
      </c>
      <c r="I79" s="280">
        <v>4</v>
      </c>
      <c r="J79" s="280">
        <v>4</v>
      </c>
      <c r="K79" s="280">
        <v>4</v>
      </c>
      <c r="L79" s="280">
        <v>4</v>
      </c>
      <c r="M79" s="316">
        <v>1</v>
      </c>
      <c r="N79" s="280">
        <v>4</v>
      </c>
      <c r="O79" s="280">
        <v>4</v>
      </c>
      <c r="P79" s="280">
        <v>4</v>
      </c>
      <c r="Q79" s="280">
        <v>4</v>
      </c>
      <c r="R79" s="316">
        <v>1</v>
      </c>
      <c r="S79" s="280">
        <v>4</v>
      </c>
      <c r="T79" s="280">
        <v>4</v>
      </c>
      <c r="U79" s="280">
        <v>4</v>
      </c>
      <c r="V79" s="280">
        <v>4</v>
      </c>
      <c r="W79" s="316">
        <v>1</v>
      </c>
      <c r="X79" s="280">
        <v>4</v>
      </c>
      <c r="Y79" s="280">
        <v>4</v>
      </c>
      <c r="Z79" s="280">
        <v>4</v>
      </c>
      <c r="AA79" s="280">
        <v>4</v>
      </c>
      <c r="AB79" s="320">
        <v>1</v>
      </c>
      <c r="AC79" s="280">
        <v>4</v>
      </c>
      <c r="AD79" s="280">
        <v>4</v>
      </c>
      <c r="AE79" s="280">
        <v>4</v>
      </c>
      <c r="AF79" s="280">
        <v>4</v>
      </c>
      <c r="AG79" s="320">
        <v>1</v>
      </c>
      <c r="AH79" s="280">
        <v>4</v>
      </c>
      <c r="AI79" s="280">
        <v>4</v>
      </c>
      <c r="AJ79" s="280">
        <v>4</v>
      </c>
      <c r="AK79" s="280">
        <v>4</v>
      </c>
      <c r="AL79" s="320">
        <v>1</v>
      </c>
      <c r="AM79" s="280">
        <v>4</v>
      </c>
      <c r="AN79" s="280">
        <v>4</v>
      </c>
      <c r="AO79" s="280">
        <v>4</v>
      </c>
      <c r="AP79" s="280">
        <v>4</v>
      </c>
      <c r="AQ79" s="701">
        <v>1</v>
      </c>
    </row>
    <row r="80" spans="2:45">
      <c r="B80" s="50" t="s">
        <v>620</v>
      </c>
      <c r="C80" s="677">
        <f>C67</f>
        <v>12</v>
      </c>
      <c r="D80" s="144">
        <f>D67</f>
        <v>3</v>
      </c>
      <c r="E80" s="144">
        <f>E67</f>
        <v>3</v>
      </c>
      <c r="F80" s="144">
        <f>F67</f>
        <v>3</v>
      </c>
      <c r="G80" s="144">
        <f>G67</f>
        <v>3</v>
      </c>
      <c r="H80" s="677">
        <f>H67</f>
        <v>12</v>
      </c>
      <c r="I80" s="144">
        <f>I67</f>
        <v>3</v>
      </c>
      <c r="J80" s="144">
        <f>J67</f>
        <v>3</v>
      </c>
      <c r="K80" s="144">
        <f>K67</f>
        <v>3</v>
      </c>
      <c r="L80" s="144">
        <f>L67</f>
        <v>3</v>
      </c>
      <c r="M80" s="677">
        <f>M67</f>
        <v>12</v>
      </c>
      <c r="N80" s="144">
        <f>N67</f>
        <v>3</v>
      </c>
      <c r="O80" s="144">
        <f>O67</f>
        <v>3</v>
      </c>
      <c r="P80" s="144">
        <f>P67</f>
        <v>3</v>
      </c>
      <c r="Q80" s="144">
        <f>Q67</f>
        <v>3</v>
      </c>
      <c r="R80" s="677">
        <f>R67</f>
        <v>12</v>
      </c>
      <c r="S80" s="144">
        <f>S67</f>
        <v>3</v>
      </c>
      <c r="T80" s="144">
        <f>T67</f>
        <v>3</v>
      </c>
      <c r="U80" s="144">
        <f>U67</f>
        <v>3</v>
      </c>
      <c r="V80" s="144">
        <f>V67</f>
        <v>3</v>
      </c>
      <c r="W80" s="677">
        <f>W67</f>
        <v>12</v>
      </c>
      <c r="X80" s="144">
        <f>X67</f>
        <v>3</v>
      </c>
      <c r="Y80" s="144">
        <f>Y67</f>
        <v>3</v>
      </c>
      <c r="Z80" s="144">
        <f>Z67</f>
        <v>3</v>
      </c>
      <c r="AA80" s="144">
        <f>AA67</f>
        <v>3</v>
      </c>
      <c r="AB80" s="288">
        <f>AB67</f>
        <v>12</v>
      </c>
      <c r="AC80" s="144">
        <f>AC67</f>
        <v>3</v>
      </c>
      <c r="AD80" s="144">
        <f>AD67</f>
        <v>3</v>
      </c>
      <c r="AE80" s="144">
        <f>AE67</f>
        <v>3</v>
      </c>
      <c r="AF80" s="144">
        <f>AF67</f>
        <v>3</v>
      </c>
      <c r="AG80" s="288">
        <f>AG67</f>
        <v>12</v>
      </c>
      <c r="AH80" s="144">
        <f>AH67</f>
        <v>3</v>
      </c>
      <c r="AI80" s="144">
        <f>AI67</f>
        <v>3</v>
      </c>
      <c r="AJ80" s="144">
        <f>AJ67</f>
        <v>3</v>
      </c>
      <c r="AK80" s="144">
        <f>AK67</f>
        <v>3</v>
      </c>
      <c r="AL80" s="288">
        <f>AL67</f>
        <v>12</v>
      </c>
      <c r="AM80" s="144">
        <f>AM67</f>
        <v>3</v>
      </c>
      <c r="AN80" s="144">
        <f>AN67</f>
        <v>3</v>
      </c>
      <c r="AO80" s="144">
        <f>AO67</f>
        <v>3</v>
      </c>
      <c r="AP80" s="144">
        <f>AP67</f>
        <v>3</v>
      </c>
      <c r="AQ80" s="678">
        <f>AQ67</f>
        <v>12</v>
      </c>
    </row>
    <row r="81" spans="2:43">
      <c r="B81" s="50"/>
      <c r="C81" s="677"/>
      <c r="D81" s="144"/>
      <c r="E81" s="144"/>
      <c r="F81" s="144"/>
      <c r="G81" s="144"/>
      <c r="H81" s="677"/>
      <c r="I81" s="144"/>
      <c r="J81" s="144"/>
      <c r="K81" s="144"/>
      <c r="L81" s="144"/>
      <c r="M81" s="677"/>
      <c r="N81" s="144"/>
      <c r="O81" s="144"/>
      <c r="P81" s="144"/>
      <c r="Q81" s="144"/>
      <c r="R81" s="677"/>
      <c r="S81" s="144"/>
      <c r="T81" s="144"/>
      <c r="U81" s="144"/>
      <c r="V81" s="144"/>
      <c r="W81" s="677"/>
      <c r="X81" s="144"/>
      <c r="Y81" s="144"/>
      <c r="Z81" s="144"/>
      <c r="AA81" s="144"/>
      <c r="AB81" s="288"/>
      <c r="AC81" s="144"/>
      <c r="AD81" s="144"/>
      <c r="AE81" s="144"/>
      <c r="AF81" s="144"/>
      <c r="AG81" s="288"/>
      <c r="AH81" s="144"/>
      <c r="AI81" s="144"/>
      <c r="AJ81" s="144"/>
      <c r="AK81" s="144"/>
      <c r="AL81" s="288"/>
      <c r="AM81" s="144"/>
      <c r="AN81" s="144"/>
      <c r="AO81" s="144"/>
      <c r="AP81" s="144"/>
      <c r="AQ81" s="678"/>
    </row>
    <row r="82" spans="2:43">
      <c r="B82" s="104" t="s">
        <v>633</v>
      </c>
      <c r="C82" s="677">
        <f>C77*C78/C80/C79</f>
        <v>33406.091996321593</v>
      </c>
      <c r="D82" s="144">
        <f>D77*D78/D80/D79</f>
        <v>43893.659617643134</v>
      </c>
      <c r="E82" s="144">
        <f>E77*E78/E80/E79</f>
        <v>49729.288372075709</v>
      </c>
      <c r="F82" s="144">
        <f>F77*F78/F80/F79</f>
        <v>56013.376401137073</v>
      </c>
      <c r="G82" s="144">
        <f>G77*G78/G80/G79</f>
        <v>64183.306790595328</v>
      </c>
      <c r="H82" s="677">
        <f>H77*H78/H80/H79</f>
        <v>55326.571261533965</v>
      </c>
      <c r="I82" s="144">
        <f>I77*I78/I80/I79</f>
        <v>71614.589521346308</v>
      </c>
      <c r="J82" s="144">
        <f>J77*J78/J80/J79</f>
        <v>74279.194514375515</v>
      </c>
      <c r="K82" s="144">
        <f>K77*K78/K80/K79</f>
        <v>78481.1085249647</v>
      </c>
      <c r="L82" s="144">
        <f>L77*L78/L80/L79</f>
        <v>84794.924135347086</v>
      </c>
      <c r="M82" s="677">
        <f>M77*M78/M80/M79</f>
        <v>78310.551008836206</v>
      </c>
      <c r="N82" s="144">
        <f>N77*N78/N80/N79</f>
        <v>91769.75973462098</v>
      </c>
      <c r="O82" s="144">
        <f>O77*O78/O80/O79</f>
        <v>102775.83356350362</v>
      </c>
      <c r="P82" s="144">
        <f>P77*P78/P80/P79</f>
        <v>115050.24751468447</v>
      </c>
      <c r="Q82" s="144">
        <f>Q77*Q78/Q80/Q79</f>
        <v>129293.11376060829</v>
      </c>
      <c r="R82" s="677">
        <f>R77*R78/R80/R79</f>
        <v>112537.91168705419</v>
      </c>
      <c r="S82" s="144">
        <f>S77*S78/S80/S79</f>
        <v>146978.52442753068</v>
      </c>
      <c r="T82" s="144">
        <f>T77*T78/T80/T79</f>
        <v>161336.76609927104</v>
      </c>
      <c r="U82" s="144">
        <f>U77*U78/U80/U79</f>
        <v>174800.43409055413</v>
      </c>
      <c r="V82" s="144">
        <f>V77*V78/V80/V79</f>
        <v>187681.03212377429</v>
      </c>
      <c r="W82" s="677">
        <f>W77*W78/W80/W79</f>
        <v>165025.69146682121</v>
      </c>
      <c r="X82" s="144">
        <f>X77*X78/X80/X79</f>
        <v>204797.41302607828</v>
      </c>
      <c r="Y82" s="144">
        <f>Y77*Y78/Y80/Y79</f>
        <v>233691.42015350881</v>
      </c>
      <c r="Z82" s="144">
        <f>Z77*Z78/Z80/Z79</f>
        <v>130945.72923090542</v>
      </c>
      <c r="AA82" s="144">
        <f>AA77*AA78/AA80/AA79</f>
        <v>184431.95416455038</v>
      </c>
      <c r="AB82" s="288">
        <f>AB77*AB78/AB80/AB79</f>
        <v>114366.56168180956</v>
      </c>
      <c r="AC82" s="144">
        <f>AC77*AC78/AC80/AC79</f>
        <v>206743.69528709646</v>
      </c>
      <c r="AD82" s="144">
        <f>AD77*AD78/AD80/AD79</f>
        <v>233091.27591321032</v>
      </c>
      <c r="AE82" s="144">
        <f>AE77*AE78/AE80/AE79</f>
        <v>253552.83108382058</v>
      </c>
      <c r="AF82" s="144">
        <f>AF77*AF78/AF80/AF79</f>
        <v>263540.66631878616</v>
      </c>
      <c r="AG82" s="288">
        <f>AG77*AG78/AG80/AG79</f>
        <v>231282.04996751194</v>
      </c>
      <c r="AH82" s="144">
        <f>AH77*AH78/AH80/AH79</f>
        <v>272663.01948174043</v>
      </c>
      <c r="AI82" s="144">
        <f>AI77*AI78/AI80/AI79</f>
        <v>285333.98887719685</v>
      </c>
      <c r="AJ82" s="144">
        <f>AJ77*AJ78/AJ80/AJ79</f>
        <v>301215.76376255677</v>
      </c>
      <c r="AK82" s="144">
        <f>AK77*AK78/AK80/AK79</f>
        <v>316284.49521089188</v>
      </c>
      <c r="AL82" s="288">
        <f>AL77*AL78/AL80/AL79</f>
        <v>295357.16667238314</v>
      </c>
      <c r="AM82" s="144">
        <f>AM77*AM78/AM80/AM79</f>
        <v>330330.95735326729</v>
      </c>
      <c r="AN82" s="144">
        <f>AN77*AN78/AN80/AN79</f>
        <v>347119.69355730299</v>
      </c>
      <c r="AO82" s="144">
        <f>AO77*AO78/AO80/AO79</f>
        <v>365924.69485233753</v>
      </c>
      <c r="AP82" s="144">
        <f>AP77*AP78/AP80/AP79</f>
        <v>385237.84054387896</v>
      </c>
      <c r="AQ82" s="678">
        <f>AQ77*AQ78/AQ80/AQ79</f>
        <v>359198.74941175146</v>
      </c>
    </row>
    <row r="83" spans="2:43">
      <c r="B83" s="50" t="s">
        <v>627</v>
      </c>
      <c r="C83" s="677">
        <f>C70</f>
        <v>4702879.8226863276</v>
      </c>
      <c r="D83" s="144">
        <f t="shared" ref="D83:AQ83" si="44">D70</f>
        <v>4708787.96316709</v>
      </c>
      <c r="E83" s="144">
        <f t="shared" si="44"/>
        <v>4714696.1036478514</v>
      </c>
      <c r="F83" s="144">
        <f t="shared" si="44"/>
        <v>4720604.2441286137</v>
      </c>
      <c r="G83" s="144">
        <f t="shared" si="44"/>
        <v>4726512.3846093751</v>
      </c>
      <c r="H83" s="677">
        <f t="shared" si="44"/>
        <v>4726512.3846093751</v>
      </c>
      <c r="I83" s="144">
        <f t="shared" si="44"/>
        <v>4732450.2142382814</v>
      </c>
      <c r="J83" s="144">
        <f t="shared" si="44"/>
        <v>4738388.0438671885</v>
      </c>
      <c r="K83" s="144">
        <f t="shared" si="44"/>
        <v>4744325.8734960938</v>
      </c>
      <c r="L83" s="144">
        <f t="shared" si="44"/>
        <v>4750263.703125</v>
      </c>
      <c r="M83" s="677">
        <f t="shared" si="44"/>
        <v>4750263.703125</v>
      </c>
      <c r="N83" s="144">
        <f t="shared" si="44"/>
        <v>4756231.37109375</v>
      </c>
      <c r="O83" s="144">
        <f t="shared" si="44"/>
        <v>4762199.0390625</v>
      </c>
      <c r="P83" s="144">
        <f t="shared" si="44"/>
        <v>4768166.70703125</v>
      </c>
      <c r="Q83" s="144">
        <f t="shared" si="44"/>
        <v>4774134.375</v>
      </c>
      <c r="R83" s="677">
        <f t="shared" si="44"/>
        <v>4774134.375</v>
      </c>
      <c r="S83" s="144">
        <f t="shared" si="44"/>
        <v>4780132.03125</v>
      </c>
      <c r="T83" s="144">
        <f t="shared" si="44"/>
        <v>4786129.6875</v>
      </c>
      <c r="U83" s="144">
        <f t="shared" si="44"/>
        <v>4792127.34375</v>
      </c>
      <c r="V83" s="144">
        <f t="shared" si="44"/>
        <v>4798125</v>
      </c>
      <c r="W83" s="677">
        <f t="shared" si="44"/>
        <v>4798125</v>
      </c>
      <c r="X83" s="144">
        <f t="shared" si="44"/>
        <v>4804122.65625</v>
      </c>
      <c r="Y83" s="144">
        <f t="shared" si="44"/>
        <v>4810120.3125</v>
      </c>
      <c r="Z83" s="144">
        <f t="shared" si="44"/>
        <v>4816117.96875</v>
      </c>
      <c r="AA83" s="144">
        <f t="shared" si="44"/>
        <v>4822115.625</v>
      </c>
      <c r="AB83" s="288">
        <f t="shared" si="44"/>
        <v>4822115.625</v>
      </c>
      <c r="AC83" s="144">
        <f t="shared" si="44"/>
        <v>4828143.26953125</v>
      </c>
      <c r="AD83" s="144">
        <f t="shared" si="44"/>
        <v>4834170.9140625</v>
      </c>
      <c r="AE83" s="144">
        <f t="shared" si="44"/>
        <v>4840198.55859375</v>
      </c>
      <c r="AF83" s="144">
        <f t="shared" si="44"/>
        <v>4846226.203125</v>
      </c>
      <c r="AG83" s="288">
        <f t="shared" si="44"/>
        <v>4846226.2031249991</v>
      </c>
      <c r="AH83" s="144">
        <f t="shared" si="44"/>
        <v>4852283.9858789053</v>
      </c>
      <c r="AI83" s="144">
        <f t="shared" si="44"/>
        <v>4858341.7686328115</v>
      </c>
      <c r="AJ83" s="144">
        <f t="shared" si="44"/>
        <v>4864399.5513867177</v>
      </c>
      <c r="AK83" s="144">
        <f t="shared" si="44"/>
        <v>4870457.3341406239</v>
      </c>
      <c r="AL83" s="288">
        <f t="shared" si="44"/>
        <v>4870457.3341406239</v>
      </c>
      <c r="AM83" s="144">
        <f t="shared" si="44"/>
        <v>4876545.4058082988</v>
      </c>
      <c r="AN83" s="144">
        <f t="shared" si="44"/>
        <v>4882633.4774759747</v>
      </c>
      <c r="AO83" s="144">
        <f t="shared" si="44"/>
        <v>4888721.5491436506</v>
      </c>
      <c r="AP83" s="144">
        <f t="shared" si="44"/>
        <v>4894809.6208113264</v>
      </c>
      <c r="AQ83" s="678">
        <f t="shared" si="44"/>
        <v>4894809.6208113264</v>
      </c>
    </row>
    <row r="84" spans="2:43">
      <c r="B84" s="104"/>
      <c r="C84" s="148"/>
      <c r="D84" s="143"/>
      <c r="E84" s="143"/>
      <c r="F84" s="143"/>
      <c r="G84" s="143"/>
      <c r="H84" s="148"/>
      <c r="I84" s="143"/>
      <c r="J84" s="143"/>
      <c r="K84" s="143"/>
      <c r="L84" s="143"/>
      <c r="M84" s="148"/>
      <c r="N84" s="143"/>
      <c r="O84" s="143"/>
      <c r="P84" s="143"/>
      <c r="Q84" s="143"/>
      <c r="R84" s="148"/>
      <c r="S84" s="143"/>
      <c r="T84" s="143"/>
      <c r="U84" s="143"/>
      <c r="V84" s="143"/>
      <c r="W84" s="148"/>
      <c r="X84" s="143"/>
      <c r="Y84" s="143"/>
      <c r="Z84" s="143"/>
      <c r="AA84" s="143"/>
      <c r="AB84" s="279"/>
      <c r="AC84" s="143"/>
      <c r="AD84" s="143"/>
      <c r="AE84" s="143"/>
      <c r="AF84" s="143"/>
      <c r="AG84" s="279"/>
      <c r="AH84" s="143"/>
      <c r="AI84" s="143"/>
      <c r="AJ84" s="143"/>
      <c r="AK84" s="143"/>
      <c r="AL84" s="279"/>
      <c r="AM84" s="143"/>
      <c r="AN84" s="143"/>
      <c r="AO84" s="143"/>
      <c r="AP84" s="143"/>
      <c r="AQ84" s="676"/>
    </row>
    <row r="85" spans="2:43">
      <c r="B85" s="104" t="s">
        <v>628</v>
      </c>
      <c r="C85" s="334">
        <f>C82/C83</f>
        <v>7.1033267393253796E-3</v>
      </c>
      <c r="D85" s="289">
        <f>D82/D83</f>
        <v>9.3216470907134755E-3</v>
      </c>
      <c r="E85" s="289">
        <f>E82/E83</f>
        <v>1.0547718724351968E-2</v>
      </c>
      <c r="F85" s="289">
        <f>F82/F83</f>
        <v>1.1865721739077219E-2</v>
      </c>
      <c r="G85" s="289">
        <f>G82/G83</f>
        <v>1.3579422112505433E-2</v>
      </c>
      <c r="H85" s="334">
        <f>H82/H83</f>
        <v>1.170558051253397E-2</v>
      </c>
      <c r="I85" s="289">
        <f>I82/I83</f>
        <v>1.5132666225601941E-2</v>
      </c>
      <c r="J85" s="289">
        <f>J82/J83</f>
        <v>1.5676047176109553E-2</v>
      </c>
      <c r="K85" s="289">
        <f>K82/K83</f>
        <v>1.6542099050024146E-2</v>
      </c>
      <c r="L85" s="289">
        <f>L82/L83</f>
        <v>1.7850571975522971E-2</v>
      </c>
      <c r="M85" s="334">
        <f>M82/M83</f>
        <v>1.6485516574020715E-2</v>
      </c>
      <c r="N85" s="289">
        <f>N82/N83</f>
        <v>1.9294637408170803E-2</v>
      </c>
      <c r="O85" s="289">
        <f>O82/O83</f>
        <v>2.1581591344770074E-2</v>
      </c>
      <c r="P85" s="289">
        <f>P82/P83</f>
        <v>2.4128822372134911E-2</v>
      </c>
      <c r="Q85" s="289">
        <f>Q82/Q83</f>
        <v>2.7082001385980738E-2</v>
      </c>
      <c r="R85" s="334">
        <f>R82/R83</f>
        <v>2.3572422317303162E-2</v>
      </c>
      <c r="S85" s="289">
        <f>S82/S83</f>
        <v>3.0747795974391933E-2</v>
      </c>
      <c r="T85" s="289">
        <f>T82/T83</f>
        <v>3.3709234106346193E-2</v>
      </c>
      <c r="U85" s="289">
        <f>U82/U83</f>
        <v>3.6476583686477528E-2</v>
      </c>
      <c r="V85" s="289">
        <f>V82/V83</f>
        <v>3.9115494515831559E-2</v>
      </c>
      <c r="W85" s="334">
        <f>W82/W83</f>
        <v>3.4393787462148488E-2</v>
      </c>
      <c r="X85" s="289">
        <f>X82/X83</f>
        <v>4.2629513790544839E-2</v>
      </c>
      <c r="Y85" s="289">
        <f>Y82/Y83</f>
        <v>4.8583279621139168E-2</v>
      </c>
      <c r="Z85" s="289">
        <f>Z82/Z83</f>
        <v>2.7189061829582164E-2</v>
      </c>
      <c r="AA85" s="289">
        <f>AA82/AA83</f>
        <v>3.8247103244138901E-2</v>
      </c>
      <c r="AB85" s="339">
        <f>AB82/AB83</f>
        <v>2.3717092366861186E-2</v>
      </c>
      <c r="AC85" s="289">
        <f>AC82/AC83</f>
        <v>4.2820538609900982E-2</v>
      </c>
      <c r="AD85" s="289">
        <f>AD82/AD83</f>
        <v>4.8217425502096498E-2</v>
      </c>
      <c r="AE85" s="289">
        <f>AE82/AE83</f>
        <v>5.2384799510680966E-2</v>
      </c>
      <c r="AF85" s="289">
        <f>AF82/AF83</f>
        <v>5.4380595389634682E-2</v>
      </c>
      <c r="AG85" s="339">
        <f>AG82/AG83</f>
        <v>4.7724154893631257E-2</v>
      </c>
      <c r="AH85" s="289">
        <f>AH82/AH83</f>
        <v>5.6192716723762068E-2</v>
      </c>
      <c r="AI85" s="289">
        <f>AI82/AI83</f>
        <v>5.8730736219385578E-2</v>
      </c>
      <c r="AJ85" s="289">
        <f>AJ82/AJ83</f>
        <v>6.1922496411029343E-2</v>
      </c>
      <c r="AK85" s="289">
        <f>AK82/AK83</f>
        <v>6.4939383206135654E-2</v>
      </c>
      <c r="AL85" s="339">
        <f>AL82/AL83</f>
        <v>6.0642593992561465E-2</v>
      </c>
      <c r="AM85" s="289">
        <f>AM82/AM83</f>
        <v>6.7738722776952004E-2</v>
      </c>
      <c r="AN85" s="289">
        <f>AN82/AN83</f>
        <v>7.1092719770713325E-2</v>
      </c>
      <c r="AO85" s="289">
        <f>AO82/AO83</f>
        <v>7.4850795074723767E-2</v>
      </c>
      <c r="AP85" s="289">
        <f>AP82/AP83</f>
        <v>7.8703334835732566E-2</v>
      </c>
      <c r="AQ85" s="700">
        <f>AQ82/AQ83</f>
        <v>7.3383599616324485E-2</v>
      </c>
    </row>
    <row r="86" spans="2:43">
      <c r="B86" s="104"/>
      <c r="C86" s="148"/>
      <c r="D86" s="143"/>
      <c r="E86" s="143"/>
      <c r="F86" s="143"/>
      <c r="G86" s="143"/>
      <c r="H86" s="148"/>
      <c r="I86" s="143"/>
      <c r="J86" s="143"/>
      <c r="K86" s="143"/>
      <c r="L86" s="143"/>
      <c r="M86" s="148"/>
      <c r="N86" s="143"/>
      <c r="O86" s="143"/>
      <c r="P86" s="143"/>
      <c r="Q86" s="143"/>
      <c r="R86" s="148"/>
      <c r="S86" s="143"/>
      <c r="T86" s="143"/>
      <c r="U86" s="143"/>
      <c r="V86" s="143"/>
      <c r="W86" s="148"/>
      <c r="X86" s="143"/>
      <c r="Y86" s="143"/>
      <c r="Z86" s="143"/>
      <c r="AA86" s="143"/>
      <c r="AB86" s="279"/>
      <c r="AC86" s="143"/>
      <c r="AD86" s="143"/>
      <c r="AE86" s="143"/>
      <c r="AF86" s="143"/>
      <c r="AG86" s="279"/>
      <c r="AH86" s="143"/>
      <c r="AI86" s="143"/>
      <c r="AJ86" s="143"/>
      <c r="AK86" s="143"/>
      <c r="AL86" s="279"/>
      <c r="AM86" s="143"/>
      <c r="AN86" s="143"/>
      <c r="AO86" s="143"/>
      <c r="AP86" s="143"/>
      <c r="AQ86" s="676"/>
    </row>
    <row r="87" spans="2:43" ht="15" thickBot="1">
      <c r="B87" s="708"/>
      <c r="C87" s="709"/>
      <c r="D87" s="709"/>
      <c r="E87" s="709"/>
      <c r="F87" s="709"/>
      <c r="G87" s="709"/>
      <c r="H87" s="709"/>
      <c r="I87" s="709"/>
      <c r="J87" s="709"/>
      <c r="K87" s="709"/>
      <c r="L87" s="709"/>
      <c r="M87" s="709"/>
      <c r="N87" s="709"/>
      <c r="O87" s="709"/>
      <c r="P87" s="709"/>
      <c r="Q87" s="709"/>
      <c r="R87" s="709"/>
      <c r="S87" s="709"/>
      <c r="T87" s="709"/>
      <c r="U87" s="709"/>
      <c r="V87" s="709"/>
      <c r="W87" s="709"/>
      <c r="X87" s="709"/>
      <c r="Y87" s="709"/>
      <c r="Z87" s="709"/>
      <c r="AA87" s="710"/>
      <c r="AB87" s="710"/>
      <c r="AC87" s="710"/>
      <c r="AD87" s="710"/>
      <c r="AE87" s="710"/>
      <c r="AF87" s="710"/>
      <c r="AG87" s="710"/>
      <c r="AH87" s="710"/>
      <c r="AI87" s="710"/>
      <c r="AJ87" s="710"/>
      <c r="AK87" s="710"/>
      <c r="AL87" s="710"/>
      <c r="AM87" s="710"/>
      <c r="AN87" s="710"/>
      <c r="AO87" s="710"/>
      <c r="AP87" s="710"/>
      <c r="AQ87" s="711"/>
    </row>
    <row r="95" spans="2:43" ht="15" thickBot="1"/>
    <row r="96" spans="2:43">
      <c r="B96" s="668" t="s">
        <v>663</v>
      </c>
      <c r="C96" s="669"/>
      <c r="D96" s="669"/>
      <c r="E96" s="669"/>
      <c r="F96" s="669"/>
      <c r="G96" s="669"/>
      <c r="H96" s="669"/>
      <c r="I96" s="712">
        <f t="shared" ref="I96" si="45">N96-4</f>
        <v>-14</v>
      </c>
      <c r="J96" s="712">
        <f t="shared" ref="J96" si="46">O96-4</f>
        <v>-13</v>
      </c>
      <c r="K96" s="712">
        <f t="shared" ref="K96" si="47">P96-4</f>
        <v>-12</v>
      </c>
      <c r="L96" s="712">
        <f>Q96-4</f>
        <v>-11</v>
      </c>
      <c r="M96" s="712"/>
      <c r="N96" s="712">
        <f t="shared" ref="N96:P96" si="48">S96-4</f>
        <v>-10</v>
      </c>
      <c r="O96" s="712">
        <f t="shared" si="48"/>
        <v>-9</v>
      </c>
      <c r="P96" s="712">
        <f t="shared" si="48"/>
        <v>-8</v>
      </c>
      <c r="Q96" s="712">
        <f>V96-4</f>
        <v>-7</v>
      </c>
      <c r="R96" s="712"/>
      <c r="S96" s="712">
        <v>-6</v>
      </c>
      <c r="T96" s="712">
        <v>-5</v>
      </c>
      <c r="U96" s="712">
        <v>-4</v>
      </c>
      <c r="V96" s="712">
        <v>-3</v>
      </c>
      <c r="W96" s="712"/>
      <c r="X96" s="712">
        <v>-2</v>
      </c>
      <c r="Y96" s="712">
        <v>-1</v>
      </c>
      <c r="Z96" s="712">
        <v>0</v>
      </c>
      <c r="AA96" s="713">
        <f>Z96+1</f>
        <v>1</v>
      </c>
      <c r="AB96" s="713"/>
      <c r="AC96" s="713">
        <f>X96+4</f>
        <v>2</v>
      </c>
      <c r="AD96" s="713">
        <f t="shared" ref="AD96:AF96" si="49">Y96+4</f>
        <v>3</v>
      </c>
      <c r="AE96" s="713">
        <f t="shared" si="49"/>
        <v>4</v>
      </c>
      <c r="AF96" s="713">
        <f t="shared" si="49"/>
        <v>5</v>
      </c>
      <c r="AG96" s="713"/>
      <c r="AH96" s="713">
        <f t="shared" ref="AH96" si="50">AC96+4</f>
        <v>6</v>
      </c>
      <c r="AI96" s="713">
        <f t="shared" ref="AI96" si="51">AD96+4</f>
        <v>7</v>
      </c>
      <c r="AJ96" s="713">
        <f t="shared" ref="AJ96" si="52">AE96+4</f>
        <v>8</v>
      </c>
      <c r="AK96" s="713">
        <f t="shared" ref="AK96" si="53">AF96+4</f>
        <v>9</v>
      </c>
      <c r="AL96" s="713"/>
      <c r="AM96" s="713">
        <f t="shared" ref="AM96" si="54">AH96+4</f>
        <v>10</v>
      </c>
      <c r="AN96" s="713">
        <f t="shared" ref="AN96" si="55">AI96+4</f>
        <v>11</v>
      </c>
      <c r="AO96" s="713">
        <f t="shared" ref="AO96" si="56">AJ96+4</f>
        <v>12</v>
      </c>
      <c r="AP96" s="713">
        <f t="shared" ref="AP96" si="57">AK96+4</f>
        <v>13</v>
      </c>
      <c r="AQ96" s="714"/>
    </row>
    <row r="97" spans="2:45">
      <c r="B97" s="104"/>
      <c r="C97" s="148"/>
      <c r="D97" s="143"/>
      <c r="E97" s="143"/>
      <c r="F97" s="143"/>
      <c r="G97" s="143"/>
      <c r="H97" s="148"/>
      <c r="I97" s="143"/>
      <c r="J97" s="143"/>
      <c r="K97" s="143"/>
      <c r="L97" s="143"/>
      <c r="M97" s="148"/>
      <c r="N97" s="143"/>
      <c r="O97" s="143"/>
      <c r="P97" s="143"/>
      <c r="Q97" s="143"/>
      <c r="R97" s="148"/>
      <c r="S97" s="143"/>
      <c r="T97" s="143"/>
      <c r="U97" s="143"/>
      <c r="V97" s="143"/>
      <c r="W97" s="148"/>
      <c r="X97" s="143"/>
      <c r="Y97" s="143"/>
      <c r="Z97" s="143"/>
      <c r="AA97" s="143"/>
      <c r="AB97" s="279"/>
      <c r="AC97" s="143"/>
      <c r="AD97" s="143"/>
      <c r="AE97" s="143"/>
      <c r="AF97" s="143"/>
      <c r="AG97" s="279"/>
      <c r="AH97" s="143"/>
      <c r="AI97" s="143"/>
      <c r="AJ97" s="143"/>
      <c r="AK97" s="143"/>
      <c r="AL97" s="279"/>
      <c r="AM97" s="143"/>
      <c r="AN97" s="143"/>
      <c r="AO97" s="143"/>
      <c r="AP97" s="143"/>
      <c r="AQ97" s="676"/>
    </row>
    <row r="98" spans="2:45">
      <c r="B98" s="672" t="s">
        <v>674</v>
      </c>
      <c r="C98" s="566" t="str">
        <f>C47</f>
        <v>FY-2018</v>
      </c>
      <c r="D98" s="566" t="str">
        <f t="shared" ref="D98:AQ98" si="58">D47</f>
        <v>1QFY-2019</v>
      </c>
      <c r="E98" s="566" t="str">
        <f t="shared" si="58"/>
        <v>2QFY-2019</v>
      </c>
      <c r="F98" s="566" t="str">
        <f t="shared" si="58"/>
        <v>3QFY-2019</v>
      </c>
      <c r="G98" s="566" t="str">
        <f t="shared" si="58"/>
        <v>4QFY-2019</v>
      </c>
      <c r="H98" s="566" t="str">
        <f t="shared" si="58"/>
        <v>FY-2019</v>
      </c>
      <c r="I98" s="566" t="str">
        <f t="shared" si="58"/>
        <v>1QFY-2020</v>
      </c>
      <c r="J98" s="566" t="str">
        <f t="shared" si="58"/>
        <v>2QFY-2020</v>
      </c>
      <c r="K98" s="566" t="str">
        <f t="shared" si="58"/>
        <v>3QFY-2020</v>
      </c>
      <c r="L98" s="566" t="str">
        <f t="shared" si="58"/>
        <v>4QFY-2020</v>
      </c>
      <c r="M98" s="566" t="str">
        <f t="shared" si="58"/>
        <v>FY-2020</v>
      </c>
      <c r="N98" s="566" t="str">
        <f t="shared" si="58"/>
        <v>1QFY-2021</v>
      </c>
      <c r="O98" s="566" t="str">
        <f t="shared" si="58"/>
        <v>2QFY-2021</v>
      </c>
      <c r="P98" s="566" t="str">
        <f t="shared" si="58"/>
        <v>3QFY-2021</v>
      </c>
      <c r="Q98" s="566" t="str">
        <f t="shared" si="58"/>
        <v>4QFY-2021</v>
      </c>
      <c r="R98" s="566" t="str">
        <f t="shared" si="58"/>
        <v>FY-2021</v>
      </c>
      <c r="S98" s="566" t="str">
        <f t="shared" si="58"/>
        <v>1QFY-2022</v>
      </c>
      <c r="T98" s="566" t="str">
        <f t="shared" si="58"/>
        <v>2QFY-2022</v>
      </c>
      <c r="U98" s="566" t="str">
        <f t="shared" si="58"/>
        <v>3QFY-2022</v>
      </c>
      <c r="V98" s="566" t="str">
        <f t="shared" si="58"/>
        <v>4QFY-2022</v>
      </c>
      <c r="W98" s="566" t="str">
        <f t="shared" si="58"/>
        <v>FY-2022</v>
      </c>
      <c r="X98" s="566" t="str">
        <f t="shared" si="58"/>
        <v>1QFY-2023</v>
      </c>
      <c r="Y98" s="566" t="str">
        <f t="shared" si="58"/>
        <v>2QFY-2023</v>
      </c>
      <c r="Z98" s="566" t="str">
        <f t="shared" si="58"/>
        <v>3QFY-2023</v>
      </c>
      <c r="AA98" s="666" t="str">
        <f t="shared" si="58"/>
        <v>4QFY-2023</v>
      </c>
      <c r="AB98" s="666" t="str">
        <f t="shared" si="58"/>
        <v>FY-2023</v>
      </c>
      <c r="AC98" s="666" t="str">
        <f t="shared" si="58"/>
        <v>1QFY-2024</v>
      </c>
      <c r="AD98" s="666" t="str">
        <f t="shared" si="58"/>
        <v>2QFY-2024</v>
      </c>
      <c r="AE98" s="666" t="str">
        <f t="shared" si="58"/>
        <v>3QFY-2024</v>
      </c>
      <c r="AF98" s="666" t="str">
        <f t="shared" si="58"/>
        <v>4QFY-2024</v>
      </c>
      <c r="AG98" s="666" t="str">
        <f t="shared" si="58"/>
        <v>FY-2024</v>
      </c>
      <c r="AH98" s="666" t="str">
        <f t="shared" si="58"/>
        <v>1QFY-2025</v>
      </c>
      <c r="AI98" s="666" t="str">
        <f t="shared" si="58"/>
        <v>2QFY-2025</v>
      </c>
      <c r="AJ98" s="666" t="str">
        <f t="shared" si="58"/>
        <v>3QFY-2025</v>
      </c>
      <c r="AK98" s="666" t="str">
        <f t="shared" si="58"/>
        <v>4QFY-2025</v>
      </c>
      <c r="AL98" s="666" t="str">
        <f t="shared" si="58"/>
        <v>FY-2025</v>
      </c>
      <c r="AM98" s="666" t="str">
        <f t="shared" si="58"/>
        <v>1QFY-2026</v>
      </c>
      <c r="AN98" s="666" t="str">
        <f t="shared" si="58"/>
        <v>2QFY-2026</v>
      </c>
      <c r="AO98" s="666" t="str">
        <f t="shared" si="58"/>
        <v>3QFY-2026</v>
      </c>
      <c r="AP98" s="666" t="str">
        <f t="shared" si="58"/>
        <v>4QFY-2026</v>
      </c>
      <c r="AQ98" s="666" t="str">
        <f t="shared" si="58"/>
        <v>FY-2026</v>
      </c>
    </row>
    <row r="99" spans="2:45">
      <c r="B99" s="104"/>
      <c r="C99" s="148"/>
      <c r="D99" s="143"/>
      <c r="E99" s="143"/>
      <c r="F99" s="143"/>
      <c r="G99" s="143"/>
      <c r="H99" s="148"/>
      <c r="I99" s="143"/>
      <c r="J99" s="143"/>
      <c r="K99" s="143"/>
      <c r="L99" s="143"/>
      <c r="M99" s="148"/>
      <c r="N99" s="143"/>
      <c r="O99" s="143"/>
      <c r="P99" s="143"/>
      <c r="Q99" s="143"/>
      <c r="R99" s="148"/>
      <c r="S99" s="143"/>
      <c r="T99" s="143"/>
      <c r="U99" s="143"/>
      <c r="V99" s="143"/>
      <c r="W99" s="148"/>
      <c r="X99" s="143"/>
      <c r="Y99" s="143"/>
      <c r="Z99" s="143"/>
      <c r="AA99" s="143"/>
      <c r="AB99" s="279"/>
      <c r="AC99" s="143"/>
      <c r="AD99" s="143"/>
      <c r="AE99" s="143"/>
      <c r="AF99" s="143"/>
      <c r="AG99" s="279"/>
      <c r="AH99" s="143"/>
      <c r="AI99" s="143"/>
      <c r="AJ99" s="143"/>
      <c r="AK99" s="143"/>
      <c r="AL99" s="279"/>
      <c r="AM99" s="143"/>
      <c r="AN99" s="143"/>
      <c r="AO99" s="143"/>
      <c r="AP99" s="143"/>
      <c r="AQ99" s="676"/>
    </row>
    <row r="100" spans="2:45" s="19" customFormat="1">
      <c r="B100" s="716" t="s">
        <v>675</v>
      </c>
      <c r="C100" s="677"/>
      <c r="D100" s="144"/>
      <c r="E100" s="144"/>
      <c r="F100" s="144"/>
      <c r="G100" s="144"/>
      <c r="H100" s="677"/>
      <c r="I100" s="144"/>
      <c r="J100" s="448" cm="1">
        <f t="array" ref="J100">_xll.BQL("SEG0000397402 Segment", "SALES_REV_TURN/1M", "FPT=Q", "FPO="&amp;J96&amp;"Q", "ACT_EST_MAPPING=PRECISE", "FS=MRC", "CURRENCY=USD", "XLFILL=b")</f>
        <v>330</v>
      </c>
      <c r="K100" s="448" cm="1">
        <f t="array" ref="K100">_xll.BQL("SEG0000397402 Segment", "SALES_REV_TURN/1M", "FPT=Q", "FPO="&amp;K96&amp;"Q", "ACT_EST_MAPPING=PRECISE", "FS=MRC", "CURRENCY=USD", "XLFILL=b")</f>
        <v>617</v>
      </c>
      <c r="L100" s="448" cm="1">
        <f t="array" ref="L100">_xll.BQL("SEG0000397402 Segment", "SALES_REV_TURN/1M", "FPT=Q", "FPO="&amp;L96&amp;"Q", "ACT_EST_MAPPING=PRECISE", "FS=MRC", "CURRENCY=USD", "XLFILL=b")</f>
        <v>724</v>
      </c>
      <c r="M100" s="451" cm="1">
        <f t="array" ref="M100">_xll.BQL("SEG0000397402 Segment", "SALES_REV_TURN/1M", "FPT=A", "FPO=-2A", "ACT_EST_MAPPING=PRECISE", "FS=MRC", "CURRENCY=USD", "XLFILL=b")</f>
        <v>1671</v>
      </c>
      <c r="N100" s="448" cm="1">
        <f t="array" ref="N100">_xll.BQL("SEG0000397402 Segment", "SALES_REV_TURN/1M", "FPT=Q", "FPO="&amp;N96&amp;"Q", "ACT_EST_MAPPING=PRECISE", "FS=MRC", "CURRENCY=USD", "XLFILL=b")</f>
        <v>728</v>
      </c>
      <c r="O100" s="448" cm="1">
        <f t="array" ref="O100">_xll.BQL("SEG0000397402 Segment", "SALES_REV_TURN/1M", "FPT=Q", "FPO="&amp;O96&amp;"Q", "ACT_EST_MAPPING=PRECISE", "FS=MRC", "CURRENCY=USD", "XLFILL=b")</f>
        <v>925</v>
      </c>
      <c r="P100" s="448" cm="1">
        <f t="array" ref="P100">_xll.BQL("SEG0000397402 Segment", "SALES_REV_TURN/1M", "FPT=Q", "FPO="&amp;P96&amp;"Q", "ACT_EST_MAPPING=PRECISE", "FS=MRC", "CURRENCY=USD", "XLFILL=b")</f>
        <v>820</v>
      </c>
      <c r="Q100" s="448" cm="1">
        <f t="array" ref="Q100">_xll.BQL("SEG0000397402 Segment", "SALES_REV_TURN/1M", "FPT=Q", "FPO="&amp;Q96&amp;"Q", "ACT_EST_MAPPING=PRECISE", "FS=MRC", "CURRENCY=USD", "XLFILL=b")</f>
        <v>877</v>
      </c>
      <c r="R100" s="451" cm="1">
        <f t="array" ref="R100">_xll.BQL("SEG0000397402 Segment", "SALES_REV_TURN/1M", "FPT=A", "FPO=-1A", "ACT_EST_MAPPING=PRECISE", "FS=MRC", "CURRENCY=USD", "XLFILL=b")</f>
        <v>3350</v>
      </c>
      <c r="S100" s="448" cm="1">
        <f t="array" ref="S100">_xll.BQL("SEG0000397402 Segment", "SALES_REV_TURN/1M", "FPT=Q", "FPO="&amp;S96&amp;"Q", "ACT_EST_MAPPING=PRECISE", "FS=MRC", "CURRENCY=USD", "XLFILL=b")</f>
        <v>846</v>
      </c>
      <c r="T100" s="448" cm="1">
        <f t="array" ref="T100">_xll.BQL("SEG0000397402 Segment", "SALES_REV_TURN/1M", "FPT=Q", "FPO="&amp;T96&amp;"Q", "ACT_EST_MAPPING=PRECISE", "FS=MRC", "CURRENCY=USD", "XLFILL=b")</f>
        <v>883</v>
      </c>
      <c r="U100" s="448" cm="1">
        <f t="array" ref="U100">_xll.BQL("SEG0000397402 Segment", "SALES_REV_TURN/1M", "FPT=Q", "FPO="&amp;U96&amp;"Q", "ACT_EST_MAPPING=PRECISE", "FS=MRC", "CURRENCY=USD", "XLFILL=b")</f>
        <v>760</v>
      </c>
      <c r="V100" s="448" cm="1">
        <f t="array" ref="V100">_xll.BQL("SEG0000397402 Segment", "SALES_REV_TURN/1M", "FPT=Q", "FPO="&amp;V96&amp;"Q", "ACT_EST_MAPPING=PRECISE", "FS=MRC", "CURRENCY=USD", "XLFILL=b")</f>
        <v>835</v>
      </c>
      <c r="W100" s="451" cm="1">
        <f t="array" ref="W100">_xll.BQL("SEG0000397402 Segment", "SALES_REV_TURN/1M", "FPT=A", "FPO=0A", "ACT_EST_MAPPING=PRECISE", "FS=MRC", "CURRENCY=USD", "XLFILL=b")</f>
        <v>3324</v>
      </c>
      <c r="X100" s="448" cm="1">
        <f t="array" ref="X100">_xll.BQL("SEG0000397402 Segment", "SALES_REV_TURN/1M", "FPT=Q", "FPO="&amp;X96&amp;"Q", "ACT_EST_MAPPING=PRECISE", "FS=MRC", "CURRENCY=USD", "XLFILL=b")</f>
        <v>777</v>
      </c>
      <c r="Y100" s="448" cm="1">
        <f t="array" ref="Y100">_xll.BQL("SEG0000397402 Segment", "SALES_REV_TURN/1M", "FPT=Q", "FPO="&amp;Y96&amp;"Q", "ACT_EST_MAPPING=PRECISE", "FS=MRC", "CURRENCY=USD", "XLFILL=b")</f>
        <v>829</v>
      </c>
      <c r="Z100" s="448" cm="1">
        <f t="array" ref="Z100">_xll.BQL("SEG0000397402 Segment", "SALES_REV_TURN/1M", "FPT=Q", "FPO="&amp;Z96&amp;"Q", "ACT_EST_MAPPING=PRECISE", "FS=MRC", "CURRENCY=USD", "XLFILL=b")</f>
        <v>759</v>
      </c>
      <c r="AA100" s="448" cm="1">
        <f t="array" ref="AA100">_xll.BQL("SEG0000397402 Segment", "SALES_REV_TURN/1M", "FPT=Q", "FPO="&amp;AA96&amp;"Q", "ACT_EST_MAPPING=PRECISE", "FS=MRC", "CURRENCY=USD", "XLFILL=b")</f>
        <v>853.47577272727278</v>
      </c>
      <c r="AB100" s="288">
        <f>SUM(X100:AA100)</f>
        <v>3218.4757727272727</v>
      </c>
      <c r="AC100" s="448" cm="1">
        <f t="array" ref="AC100">_xll.BQL("SEG0000397402 Segment", "SALES_REV_TURN/1M", "FPT=Q", "FPO="&amp;AC96&amp;"Q", "ACT_EST_MAPPING=PRECISE", "FS=MRC", "CURRENCY=USD", "XLFILL=b")</f>
        <v>819.79200000000003</v>
      </c>
      <c r="AD100" s="448" cm="1">
        <f t="array" ref="AD100">_xll.BQL("SEG0000397402 Segment", "SALES_REV_TURN/1M", "FPT=Q", "FPO="&amp;AD96&amp;"Q", "ACT_EST_MAPPING=PRECISE", "FS=MRC", "CURRENCY=USD", "XLFILL=b")</f>
        <v>889.69</v>
      </c>
      <c r="AE100" s="448" cm="1">
        <f t="array" ref="AE100">_xll.BQL("SEG0000397402 Segment", "SALES_REV_TURN/1M", "FPT=Q", "FPO="&amp;AE96&amp;"Q", "ACT_EST_MAPPING=PRECISE", "FS=MRC", "CURRENCY=USD", "XLFILL=b")</f>
        <v>812.38300000000004</v>
      </c>
      <c r="AF100" s="448" cm="1">
        <f t="array" ref="AF100">_xll.BQL("SEG0000397402 Segment", "SALES_REV_TURN/1M", "FPT=Q", "FPO="&amp;AF96&amp;"Q", "ACT_EST_MAPPING=PRECISE", "FS=MRC", "CURRENCY=USD", "XLFILL=b")</f>
        <v>906.54404</v>
      </c>
      <c r="AG100" s="288">
        <f>SUM(AC100:AF100)</f>
        <v>3428.4090399999995</v>
      </c>
      <c r="AH100" s="448" cm="1">
        <f t="array" ref="AH100">_xll.BQL("SEG0000397402 Segment", "SALES_REV_TURN/1M", "FPT=Q", "FPO="&amp;AH96&amp;"Q", "ACT_EST_MAPPING=PRECISE", "FS=MRC", "CURRENCY=USD", "XLFILL=b")</f>
        <v>902.04300000000012</v>
      </c>
      <c r="AI100" s="448" cm="1">
        <f t="array" ref="AI100">_xll.BQL("SEG0000397402 Segment", "SALES_REV_TURN/1M", "FPT=Q", "FPO="&amp;AI96&amp;"Q", "ACT_EST_MAPPING=PRECISE", "FS=MRC", "CURRENCY=USD", "XLFILL=b")</f>
        <v>960.57</v>
      </c>
      <c r="AJ100" s="448" cm="1">
        <f t="array" ref="AJ100">_xll.BQL("SEG0000397402 Segment", "SALES_REV_TURN/1M", "FPT=Q", "FPO="&amp;AJ96&amp;"Q", "ACT_EST_MAPPING=PRECISE", "FS=MRC", "CURRENCY=USD", "XLFILL=b")</f>
        <v>879.8895</v>
      </c>
      <c r="AK100" s="448" cm="1">
        <f t="array" ref="AK100">_xll.BQL("SEG0000397402 Segment", "SALES_REV_TURN/1M", "FPT=Q", "FPO="&amp;AK96&amp;"Q", "ACT_EST_MAPPING=PRECISE", "FS=MRC", "CURRENCY=USD", "XLFILL=b")</f>
        <v>992.61642600000016</v>
      </c>
      <c r="AL100" s="288">
        <f>SUM(AH100:AK100)</f>
        <v>3735.1189260000006</v>
      </c>
      <c r="AM100" s="448" cm="1">
        <f t="array" ref="AM100">_xll.BQL("SEG0000397402 Segment", "SALES_REV_TURN/1M", "FPT=Q", "FPO="&amp;AM96&amp;"Q", "ACT_EST_MAPPING=PRECISE", "FS=MRC", "CURRENCY=USD", "XLFILL=b")</f>
        <v>947.14514999999994</v>
      </c>
      <c r="AN100" s="448" cm="1">
        <f t="array" ref="AN100">_xll.BQL("SEG0000397402 Segment", "SALES_REV_TURN/1M", "FPT=Q", "FPO="&amp;AN96&amp;"Q", "ACT_EST_MAPPING=PRECISE", "FS=MRC", "CURRENCY=USD", "XLFILL=b")</f>
        <v>1008.5984999999999</v>
      </c>
      <c r="AO100" s="448" cm="1">
        <f t="array" ref="AO100">_xll.BQL("SEG0000397402 Segment", "SALES_REV_TURN/1M", "FPT=Q", "FPO="&amp;AO96&amp;"Q", "ACT_EST_MAPPING=PRECISE", "FS=MRC", "CURRENCY=USD", "XLFILL=b")</f>
        <v>923.88397499999996</v>
      </c>
      <c r="AP100" s="448" cm="1">
        <f t="array" ref="AP100">_xll.BQL("SEG0000397402 Segment", "SALES_REV_TURN/1M", "FPT=Q", "FPO="&amp;AP96&amp;"Q", "ACT_EST_MAPPING=PRECISE", "FS=MRC", "CURRENCY=USD", "XLFILL=b")</f>
        <v>1042.2472473000003</v>
      </c>
      <c r="AQ100" s="678">
        <f>SUM(AM100:AP100)</f>
        <v>3921.8748723000003</v>
      </c>
      <c r="AS100" s="594"/>
    </row>
    <row r="101" spans="2:45">
      <c r="B101" s="738" t="s">
        <v>566</v>
      </c>
      <c r="C101" s="148"/>
      <c r="D101" s="143"/>
      <c r="E101" s="143"/>
      <c r="F101" s="143"/>
      <c r="G101" s="143"/>
      <c r="H101" s="148"/>
      <c r="I101" s="143"/>
      <c r="J101" s="448"/>
      <c r="K101" s="448"/>
      <c r="L101" s="448"/>
      <c r="M101" s="451"/>
      <c r="N101" s="414"/>
      <c r="O101" s="414">
        <f>O100/J100-1</f>
        <v>1.8030303030303032</v>
      </c>
      <c r="P101" s="414">
        <f>P100/K100-1</f>
        <v>0.3290113452188006</v>
      </c>
      <c r="Q101" s="414">
        <f>Q100/L100-1</f>
        <v>0.21132596685082872</v>
      </c>
      <c r="R101" s="417">
        <f>R100/M100-1</f>
        <v>1.0047875523638541</v>
      </c>
      <c r="S101" s="414">
        <f t="shared" ref="S101" si="59">S100/N100-1</f>
        <v>0.16208791208791218</v>
      </c>
      <c r="T101" s="414">
        <f t="shared" ref="T101" si="60">T100/O100-1</f>
        <v>-4.5405405405405386E-2</v>
      </c>
      <c r="U101" s="414">
        <f t="shared" ref="U101" si="61">U100/P100-1</f>
        <v>-7.3170731707317027E-2</v>
      </c>
      <c r="V101" s="414">
        <f t="shared" ref="V101" si="62">V100/Q100-1</f>
        <v>-4.7890535917901933E-2</v>
      </c>
      <c r="W101" s="417">
        <f t="shared" ref="W101" si="63">W100/R100-1</f>
        <v>-7.7611940298507598E-3</v>
      </c>
      <c r="X101" s="414">
        <f t="shared" ref="X101" si="64">X100/S100-1</f>
        <v>-8.1560283687943214E-2</v>
      </c>
      <c r="Y101" s="414">
        <f t="shared" ref="Y101" si="65">Y100/T100-1</f>
        <v>-6.1155152887882203E-2</v>
      </c>
      <c r="Z101" s="414">
        <f t="shared" ref="Z101" si="66">Z100/U100-1</f>
        <v>-1.3157894736841591E-3</v>
      </c>
      <c r="AA101" s="414">
        <f>AA100/V100-1</f>
        <v>2.2126673924877549E-2</v>
      </c>
      <c r="AB101" s="422">
        <f t="shared" ref="AB101" si="67">AB100/W100-1</f>
        <v>-3.1746157422601451E-2</v>
      </c>
      <c r="AC101" s="414">
        <f t="shared" ref="AC101" si="68">AC100/X100-1</f>
        <v>5.5073359073359196E-2</v>
      </c>
      <c r="AD101" s="414">
        <f t="shared" ref="AD101" si="69">AD100/Y100-1</f>
        <v>7.3208685162846843E-2</v>
      </c>
      <c r="AE101" s="414">
        <f t="shared" ref="AE101" si="70">AE100/Z100-1</f>
        <v>7.0333333333333359E-2</v>
      </c>
      <c r="AF101" s="414">
        <f t="shared" ref="AF101" si="71">AF100/AA100-1</f>
        <v>6.2178996719670421E-2</v>
      </c>
      <c r="AG101" s="422">
        <f t="shared" ref="AG101" si="72">AG100/AB100-1</f>
        <v>6.5227543128228538E-2</v>
      </c>
      <c r="AH101" s="414">
        <f t="shared" ref="AH101" si="73">AH100/AC100-1</f>
        <v>0.10033154751449169</v>
      </c>
      <c r="AI101" s="414">
        <f t="shared" ref="AI101" si="74">AI100/AD100-1</f>
        <v>7.9668199035619169E-2</v>
      </c>
      <c r="AJ101" s="414">
        <f t="shared" ref="AJ101" si="75">AJ100/AE100-1</f>
        <v>8.3096889028943188E-2</v>
      </c>
      <c r="AK101" s="414">
        <f t="shared" ref="AK101" si="76">AK100/AF100-1</f>
        <v>9.4945620071585468E-2</v>
      </c>
      <c r="AL101" s="422">
        <f t="shared" ref="AL101" si="77">AL100/AG100-1</f>
        <v>8.9461287268102874E-2</v>
      </c>
      <c r="AM101" s="414">
        <f t="shared" ref="AM101" si="78">AM100/AH100-1</f>
        <v>4.9999999999999822E-2</v>
      </c>
      <c r="AN101" s="414">
        <f t="shared" ref="AN101" si="79">AN100/AI100-1</f>
        <v>4.9999999999999822E-2</v>
      </c>
      <c r="AO101" s="414">
        <f t="shared" ref="AO101" si="80">AO100/AJ100-1</f>
        <v>5.0000000000000044E-2</v>
      </c>
      <c r="AP101" s="414">
        <f t="shared" ref="AP101" si="81">AP100/AK100-1</f>
        <v>5.0000000000000044E-2</v>
      </c>
      <c r="AQ101" s="690">
        <f t="shared" ref="AQ101" si="82">AQ100/AL100-1</f>
        <v>4.9999999999999822E-2</v>
      </c>
    </row>
    <row r="102" spans="2:45">
      <c r="B102" s="50" t="s">
        <v>676</v>
      </c>
      <c r="C102" s="148"/>
      <c r="D102" s="143"/>
      <c r="E102" s="143"/>
      <c r="F102" s="143"/>
      <c r="G102" s="143"/>
      <c r="H102" s="148"/>
      <c r="I102" s="143"/>
      <c r="J102" s="717">
        <v>8</v>
      </c>
      <c r="K102" s="717">
        <v>8</v>
      </c>
      <c r="L102" s="717">
        <v>8</v>
      </c>
      <c r="M102" s="718">
        <v>8</v>
      </c>
      <c r="N102" s="717">
        <v>8</v>
      </c>
      <c r="O102" s="717">
        <v>8</v>
      </c>
      <c r="P102" s="717">
        <v>8</v>
      </c>
      <c r="Q102" s="717">
        <v>8</v>
      </c>
      <c r="R102" s="718">
        <v>8</v>
      </c>
      <c r="S102" s="717">
        <v>8</v>
      </c>
      <c r="T102" s="717">
        <v>8</v>
      </c>
      <c r="U102" s="717">
        <v>8</v>
      </c>
      <c r="V102" s="717">
        <v>8</v>
      </c>
      <c r="W102" s="718">
        <v>8</v>
      </c>
      <c r="X102" s="717">
        <v>8</v>
      </c>
      <c r="Y102" s="717">
        <v>8</v>
      </c>
      <c r="Z102" s="717">
        <v>8</v>
      </c>
      <c r="AA102" s="719">
        <v>8</v>
      </c>
      <c r="AB102" s="720">
        <v>8</v>
      </c>
      <c r="AC102" s="719">
        <v>8</v>
      </c>
      <c r="AD102" s="719">
        <v>8</v>
      </c>
      <c r="AE102" s="719">
        <v>8</v>
      </c>
      <c r="AF102" s="719">
        <v>8</v>
      </c>
      <c r="AG102" s="720">
        <v>8</v>
      </c>
      <c r="AH102" s="719">
        <v>8</v>
      </c>
      <c r="AI102" s="719">
        <v>8</v>
      </c>
      <c r="AJ102" s="719">
        <v>8</v>
      </c>
      <c r="AK102" s="719">
        <v>8</v>
      </c>
      <c r="AL102" s="720">
        <v>8</v>
      </c>
      <c r="AM102" s="719">
        <v>8</v>
      </c>
      <c r="AN102" s="719">
        <v>8</v>
      </c>
      <c r="AO102" s="719">
        <v>8</v>
      </c>
      <c r="AP102" s="719">
        <v>8</v>
      </c>
      <c r="AQ102" s="721">
        <v>8</v>
      </c>
      <c r="AS102" s="651" t="s">
        <v>695</v>
      </c>
    </row>
    <row r="103" spans="2:45">
      <c r="B103" s="50" t="s">
        <v>677</v>
      </c>
      <c r="C103" s="148"/>
      <c r="D103" s="143"/>
      <c r="E103" s="143"/>
      <c r="F103" s="143"/>
      <c r="G103" s="143"/>
      <c r="H103" s="148"/>
      <c r="I103" s="143"/>
      <c r="J103" s="287">
        <v>50</v>
      </c>
      <c r="K103" s="287">
        <v>50</v>
      </c>
      <c r="L103" s="287">
        <v>50</v>
      </c>
      <c r="M103" s="722">
        <v>50</v>
      </c>
      <c r="N103" s="287">
        <v>50</v>
      </c>
      <c r="O103" s="287">
        <v>50</v>
      </c>
      <c r="P103" s="287">
        <v>50</v>
      </c>
      <c r="Q103" s="287">
        <v>50</v>
      </c>
      <c r="R103" s="722">
        <v>50</v>
      </c>
      <c r="S103" s="287">
        <v>50</v>
      </c>
      <c r="T103" s="287">
        <v>50</v>
      </c>
      <c r="U103" s="287">
        <v>50</v>
      </c>
      <c r="V103" s="287">
        <v>50</v>
      </c>
      <c r="W103" s="722">
        <v>50</v>
      </c>
      <c r="X103" s="287">
        <v>50</v>
      </c>
      <c r="Y103" s="287">
        <v>50</v>
      </c>
      <c r="Z103" s="287">
        <v>50</v>
      </c>
      <c r="AA103" s="376">
        <v>50</v>
      </c>
      <c r="AB103" s="723">
        <v>50</v>
      </c>
      <c r="AC103" s="376">
        <v>50</v>
      </c>
      <c r="AD103" s="376">
        <v>50</v>
      </c>
      <c r="AE103" s="376">
        <v>50</v>
      </c>
      <c r="AF103" s="376">
        <v>50</v>
      </c>
      <c r="AG103" s="723">
        <v>50</v>
      </c>
      <c r="AH103" s="376">
        <v>50</v>
      </c>
      <c r="AI103" s="376">
        <v>50</v>
      </c>
      <c r="AJ103" s="376">
        <v>50</v>
      </c>
      <c r="AK103" s="376">
        <v>50</v>
      </c>
      <c r="AL103" s="723">
        <v>50</v>
      </c>
      <c r="AM103" s="376">
        <v>50</v>
      </c>
      <c r="AN103" s="376">
        <v>50</v>
      </c>
      <c r="AO103" s="376">
        <v>50</v>
      </c>
      <c r="AP103" s="376">
        <v>50</v>
      </c>
      <c r="AQ103" s="724">
        <v>50</v>
      </c>
      <c r="AS103" s="651" t="s">
        <v>693</v>
      </c>
    </row>
    <row r="104" spans="2:45">
      <c r="B104" s="50" t="s">
        <v>678</v>
      </c>
      <c r="C104" s="148"/>
      <c r="D104" s="143"/>
      <c r="E104" s="143"/>
      <c r="F104" s="143"/>
      <c r="G104" s="143"/>
      <c r="H104" s="148"/>
      <c r="I104" s="143"/>
      <c r="J104" s="725">
        <v>2</v>
      </c>
      <c r="K104" s="725">
        <v>2</v>
      </c>
      <c r="L104" s="725">
        <v>2</v>
      </c>
      <c r="M104" s="726">
        <v>2</v>
      </c>
      <c r="N104" s="725">
        <v>2</v>
      </c>
      <c r="O104" s="725">
        <v>2</v>
      </c>
      <c r="P104" s="725">
        <v>2</v>
      </c>
      <c r="Q104" s="725">
        <v>2</v>
      </c>
      <c r="R104" s="726">
        <v>2</v>
      </c>
      <c r="S104" s="725">
        <v>2</v>
      </c>
      <c r="T104" s="725">
        <v>2</v>
      </c>
      <c r="U104" s="725">
        <v>2</v>
      </c>
      <c r="V104" s="725">
        <v>2</v>
      </c>
      <c r="W104" s="726">
        <v>2</v>
      </c>
      <c r="X104" s="725">
        <v>2</v>
      </c>
      <c r="Y104" s="725">
        <v>2</v>
      </c>
      <c r="Z104" s="725">
        <v>2</v>
      </c>
      <c r="AA104" s="681">
        <v>2</v>
      </c>
      <c r="AB104" s="682">
        <v>2</v>
      </c>
      <c r="AC104" s="681">
        <v>2</v>
      </c>
      <c r="AD104" s="681">
        <v>2</v>
      </c>
      <c r="AE104" s="681">
        <v>2</v>
      </c>
      <c r="AF104" s="681">
        <v>2</v>
      </c>
      <c r="AG104" s="682">
        <v>2</v>
      </c>
      <c r="AH104" s="681">
        <v>2</v>
      </c>
      <c r="AI104" s="681">
        <v>2</v>
      </c>
      <c r="AJ104" s="681">
        <v>2</v>
      </c>
      <c r="AK104" s="681">
        <v>2</v>
      </c>
      <c r="AL104" s="682">
        <v>2</v>
      </c>
      <c r="AM104" s="681">
        <v>2</v>
      </c>
      <c r="AN104" s="681">
        <v>2</v>
      </c>
      <c r="AO104" s="681">
        <v>2</v>
      </c>
      <c r="AP104" s="681">
        <v>2</v>
      </c>
      <c r="AQ104" s="683">
        <v>2</v>
      </c>
      <c r="AS104" s="651" t="s">
        <v>693</v>
      </c>
    </row>
    <row r="105" spans="2:45" s="154" customFormat="1">
      <c r="B105" s="727" t="s">
        <v>681</v>
      </c>
      <c r="C105" s="728"/>
      <c r="D105" s="729"/>
      <c r="E105" s="729"/>
      <c r="F105" s="729"/>
      <c r="G105" s="729"/>
      <c r="H105" s="728"/>
      <c r="I105" s="729"/>
      <c r="J105" s="280">
        <v>4</v>
      </c>
      <c r="K105" s="280">
        <v>4</v>
      </c>
      <c r="L105" s="280">
        <v>4</v>
      </c>
      <c r="M105" s="316">
        <v>1</v>
      </c>
      <c r="N105" s="280">
        <v>4</v>
      </c>
      <c r="O105" s="280">
        <v>4</v>
      </c>
      <c r="P105" s="280">
        <v>4</v>
      </c>
      <c r="Q105" s="280">
        <v>4</v>
      </c>
      <c r="R105" s="316">
        <v>1</v>
      </c>
      <c r="S105" s="280">
        <v>4</v>
      </c>
      <c r="T105" s="280">
        <v>4</v>
      </c>
      <c r="U105" s="280">
        <v>4</v>
      </c>
      <c r="V105" s="280">
        <v>4</v>
      </c>
      <c r="W105" s="316">
        <v>1</v>
      </c>
      <c r="X105" s="280">
        <v>4</v>
      </c>
      <c r="Y105" s="280">
        <v>4</v>
      </c>
      <c r="Z105" s="280">
        <v>4</v>
      </c>
      <c r="AA105" s="280">
        <v>4</v>
      </c>
      <c r="AB105" s="320">
        <v>1</v>
      </c>
      <c r="AC105" s="280">
        <v>4</v>
      </c>
      <c r="AD105" s="280">
        <v>4</v>
      </c>
      <c r="AE105" s="280">
        <v>4</v>
      </c>
      <c r="AF105" s="280">
        <v>4</v>
      </c>
      <c r="AG105" s="320">
        <v>1</v>
      </c>
      <c r="AH105" s="280">
        <v>4</v>
      </c>
      <c r="AI105" s="280">
        <v>4</v>
      </c>
      <c r="AJ105" s="280">
        <v>4</v>
      </c>
      <c r="AK105" s="280">
        <v>4</v>
      </c>
      <c r="AL105" s="320">
        <v>1</v>
      </c>
      <c r="AM105" s="280">
        <v>4</v>
      </c>
      <c r="AN105" s="280">
        <v>4</v>
      </c>
      <c r="AO105" s="280">
        <v>4</v>
      </c>
      <c r="AP105" s="280">
        <v>4</v>
      </c>
      <c r="AQ105" s="701">
        <v>1</v>
      </c>
    </row>
    <row r="106" spans="2:45">
      <c r="B106" s="50" t="s">
        <v>690</v>
      </c>
      <c r="C106" s="148"/>
      <c r="D106" s="143"/>
      <c r="E106" s="143"/>
      <c r="F106" s="143"/>
      <c r="G106" s="143"/>
      <c r="H106" s="148"/>
      <c r="I106" s="143"/>
      <c r="J106" s="280">
        <f t="shared" ref="J106:L106" si="83">J100*1000*1000*J105/J102/J103/J104</f>
        <v>1650000</v>
      </c>
      <c r="K106" s="280">
        <f t="shared" si="83"/>
        <v>3085000</v>
      </c>
      <c r="L106" s="280">
        <f t="shared" si="83"/>
        <v>3620000</v>
      </c>
      <c r="M106" s="316">
        <f>M100*1000*1000*M105/M102/M103/M104</f>
        <v>2088750</v>
      </c>
      <c r="N106" s="280">
        <f t="shared" ref="N106:AQ106" si="84">N100*1000*1000*N105/N102/N103/N104</f>
        <v>3640000</v>
      </c>
      <c r="O106" s="280">
        <f t="shared" si="84"/>
        <v>4625000</v>
      </c>
      <c r="P106" s="280">
        <f t="shared" si="84"/>
        <v>4100000</v>
      </c>
      <c r="Q106" s="280">
        <f t="shared" si="84"/>
        <v>4385000</v>
      </c>
      <c r="R106" s="316">
        <f t="shared" si="84"/>
        <v>4187500</v>
      </c>
      <c r="S106" s="280">
        <f t="shared" si="84"/>
        <v>4230000</v>
      </c>
      <c r="T106" s="280">
        <f t="shared" si="84"/>
        <v>4415000</v>
      </c>
      <c r="U106" s="280">
        <f t="shared" si="84"/>
        <v>3800000</v>
      </c>
      <c r="V106" s="280">
        <f t="shared" si="84"/>
        <v>4175000</v>
      </c>
      <c r="W106" s="316">
        <f t="shared" si="84"/>
        <v>4155000</v>
      </c>
      <c r="X106" s="280">
        <f t="shared" si="84"/>
        <v>3885000</v>
      </c>
      <c r="Y106" s="280">
        <f t="shared" si="84"/>
        <v>4145000</v>
      </c>
      <c r="Z106" s="280">
        <f t="shared" si="84"/>
        <v>3795000</v>
      </c>
      <c r="AA106" s="730">
        <f t="shared" si="84"/>
        <v>4267378.8636363642</v>
      </c>
      <c r="AB106" s="731">
        <f t="shared" si="84"/>
        <v>4023094.7159090908</v>
      </c>
      <c r="AC106" s="730">
        <f t="shared" si="84"/>
        <v>4098960</v>
      </c>
      <c r="AD106" s="730">
        <f t="shared" si="84"/>
        <v>4448450</v>
      </c>
      <c r="AE106" s="730">
        <f t="shared" si="84"/>
        <v>4061915</v>
      </c>
      <c r="AF106" s="730">
        <f t="shared" si="84"/>
        <v>4532720.2</v>
      </c>
      <c r="AG106" s="731">
        <f t="shared" si="84"/>
        <v>4285511.3</v>
      </c>
      <c r="AH106" s="730">
        <f t="shared" si="84"/>
        <v>4510215.0000000009</v>
      </c>
      <c r="AI106" s="730">
        <f t="shared" si="84"/>
        <v>4802850</v>
      </c>
      <c r="AJ106" s="730">
        <f t="shared" si="84"/>
        <v>4399447.5</v>
      </c>
      <c r="AK106" s="730">
        <f t="shared" si="84"/>
        <v>4963082.1300000008</v>
      </c>
      <c r="AL106" s="731">
        <f t="shared" si="84"/>
        <v>4668898.6575000007</v>
      </c>
      <c r="AM106" s="730">
        <f t="shared" si="84"/>
        <v>4735725.7499999991</v>
      </c>
      <c r="AN106" s="730">
        <f t="shared" si="84"/>
        <v>5042992.5</v>
      </c>
      <c r="AO106" s="730">
        <f t="shared" si="84"/>
        <v>4619419.875</v>
      </c>
      <c r="AP106" s="730">
        <f t="shared" si="84"/>
        <v>5211236.2365000015</v>
      </c>
      <c r="AQ106" s="732">
        <f t="shared" si="84"/>
        <v>4902343.5903750006</v>
      </c>
    </row>
    <row r="107" spans="2:45">
      <c r="B107" s="684"/>
      <c r="C107" s="148"/>
      <c r="D107" s="143"/>
      <c r="E107" s="143"/>
      <c r="F107" s="143"/>
      <c r="G107" s="143"/>
      <c r="H107" s="148"/>
      <c r="I107" s="143"/>
      <c r="J107" s="448"/>
      <c r="K107" s="448"/>
      <c r="L107" s="448"/>
      <c r="M107" s="451"/>
      <c r="N107" s="448"/>
      <c r="O107" s="448"/>
      <c r="P107" s="448"/>
      <c r="Q107" s="448"/>
      <c r="R107" s="451"/>
      <c r="S107" s="448"/>
      <c r="T107" s="448"/>
      <c r="U107" s="448"/>
      <c r="V107" s="448"/>
      <c r="W107" s="451"/>
      <c r="X107" s="448"/>
      <c r="Y107" s="448"/>
      <c r="Z107" s="448"/>
      <c r="AA107" s="143"/>
      <c r="AB107" s="279"/>
      <c r="AC107" s="143"/>
      <c r="AD107" s="143"/>
      <c r="AE107" s="143"/>
      <c r="AF107" s="143"/>
      <c r="AG107" s="279"/>
      <c r="AH107" s="143"/>
      <c r="AI107" s="143"/>
      <c r="AJ107" s="143"/>
      <c r="AK107" s="143"/>
      <c r="AL107" s="279"/>
      <c r="AM107" s="143"/>
      <c r="AN107" s="143"/>
      <c r="AO107" s="143"/>
      <c r="AP107" s="143"/>
      <c r="AQ107" s="676"/>
    </row>
    <row r="108" spans="2:45">
      <c r="B108" s="684" t="s">
        <v>679</v>
      </c>
      <c r="C108" s="703"/>
      <c r="D108" s="144"/>
      <c r="E108" s="144"/>
      <c r="F108" s="144"/>
      <c r="G108" s="144"/>
      <c r="H108" s="677">
        <f>M108*(0.995)</f>
        <v>84716439.25</v>
      </c>
      <c r="I108" s="144">
        <f>H108+(M108-H108)/4</f>
        <v>84822866.9375</v>
      </c>
      <c r="J108" s="144">
        <f>I108+(M108-H108)/4</f>
        <v>84929294.625</v>
      </c>
      <c r="K108" s="144">
        <f>J108+(M108-H108)/4</f>
        <v>85035722.3125</v>
      </c>
      <c r="L108" s="144">
        <f>K108+(M108-H108)/4</f>
        <v>85142150</v>
      </c>
      <c r="M108" s="677">
        <f>R108*(0.995)</f>
        <v>85142150</v>
      </c>
      <c r="N108" s="144">
        <f>M108+(R108-M108)/4</f>
        <v>85249112.5</v>
      </c>
      <c r="O108" s="144">
        <f>N108+(R108-M108)/4</f>
        <v>85356075</v>
      </c>
      <c r="P108" s="144">
        <f>O108+(R108-M108)/4</f>
        <v>85463037.5</v>
      </c>
      <c r="Q108" s="144">
        <f>P108+(R108-M108)/4</f>
        <v>85570000</v>
      </c>
      <c r="R108" s="677">
        <f>W108*(0.995)</f>
        <v>85570000</v>
      </c>
      <c r="S108" s="144">
        <f>R108+(W108-R108)/4</f>
        <v>85677500</v>
      </c>
      <c r="T108" s="144">
        <f>S108+(W108-R108)/4</f>
        <v>85785000</v>
      </c>
      <c r="U108" s="144">
        <f>T108+(W108-R108)/4</f>
        <v>85892500</v>
      </c>
      <c r="V108" s="144">
        <f>U108+(W108-R108)/4</f>
        <v>86000000</v>
      </c>
      <c r="W108" s="277">
        <v>86000000</v>
      </c>
      <c r="X108" s="144">
        <f>W108+(AB108-W108)/4</f>
        <v>86107500</v>
      </c>
      <c r="Y108" s="144">
        <f>X108+(AB108-W108)/4</f>
        <v>86215000</v>
      </c>
      <c r="Z108" s="144">
        <f>Y108+(AB108-W108)/4</f>
        <v>86322500</v>
      </c>
      <c r="AA108" s="144">
        <f>Z108+(AB108-W108)/4</f>
        <v>86430000</v>
      </c>
      <c r="AB108" s="288">
        <f>W108*1.005</f>
        <v>86429999.999999985</v>
      </c>
      <c r="AC108" s="144">
        <f>AB108+(AG108-AB108)/4</f>
        <v>86538037.499999985</v>
      </c>
      <c r="AD108" s="144">
        <f>AC108+(AG108-AB108)/4</f>
        <v>86646074.999999985</v>
      </c>
      <c r="AE108" s="144">
        <f>AD108+(AG108-AB108)/4</f>
        <v>86754112.499999985</v>
      </c>
      <c r="AF108" s="144">
        <f>AE108+(AG108-AB108)/4</f>
        <v>86862149.999999985</v>
      </c>
      <c r="AG108" s="288">
        <f>AB108*1.005</f>
        <v>86862149.99999997</v>
      </c>
      <c r="AH108" s="144">
        <f>AG108+(AL108-AG108)/4</f>
        <v>86970727.68749997</v>
      </c>
      <c r="AI108" s="144">
        <f>AH108+(AL108-AG108)/4</f>
        <v>87079305.37499997</v>
      </c>
      <c r="AJ108" s="144">
        <f>AI108+(AL108-AG108)/4</f>
        <v>87187883.06249997</v>
      </c>
      <c r="AK108" s="144">
        <f>AJ108+(AL108-AG108)/4</f>
        <v>87296460.74999997</v>
      </c>
      <c r="AL108" s="288">
        <f>AG108*1.005</f>
        <v>87296460.749999955</v>
      </c>
      <c r="AM108" s="144">
        <f>AL108+(AQ108-AL108)/4</f>
        <v>87405581.32593745</v>
      </c>
      <c r="AN108" s="144">
        <f>AM108+(AQ108-AL108)/4</f>
        <v>87514701.901874945</v>
      </c>
      <c r="AO108" s="144">
        <f>AN108+(AQ108-AL108)/4</f>
        <v>87623822.477812439</v>
      </c>
      <c r="AP108" s="144">
        <f>AO108+(AQ108-AL108)/4</f>
        <v>87732943.053749934</v>
      </c>
      <c r="AQ108" s="678">
        <f>AL108*1.005</f>
        <v>87732943.053749949</v>
      </c>
      <c r="AS108" s="651" t="s">
        <v>637</v>
      </c>
    </row>
    <row r="109" spans="2:45">
      <c r="B109" s="50" t="s">
        <v>680</v>
      </c>
      <c r="C109" s="148"/>
      <c r="D109" s="143"/>
      <c r="E109" s="143"/>
      <c r="F109" s="143"/>
      <c r="G109" s="143"/>
      <c r="H109" s="148"/>
      <c r="I109" s="143"/>
      <c r="J109" s="414">
        <f>J106/J108</f>
        <v>1.9427925397066725E-2</v>
      </c>
      <c r="K109" s="414">
        <f t="shared" ref="K109:AQ109" si="85">K106/K108</f>
        <v>3.6278870998036013E-2</v>
      </c>
      <c r="L109" s="414">
        <f t="shared" si="85"/>
        <v>4.251713164396248E-2</v>
      </c>
      <c r="M109" s="417">
        <f t="shared" si="85"/>
        <v>2.453250240920625E-2</v>
      </c>
      <c r="N109" s="414">
        <f t="shared" si="85"/>
        <v>4.2698391728125028E-2</v>
      </c>
      <c r="O109" s="414">
        <f t="shared" si="85"/>
        <v>5.4184778294925115E-2</v>
      </c>
      <c r="P109" s="414">
        <f t="shared" si="85"/>
        <v>4.7973955992378574E-2</v>
      </c>
      <c r="Q109" s="414">
        <f t="shared" si="85"/>
        <v>5.1244595068365081E-2</v>
      </c>
      <c r="R109" s="417">
        <f t="shared" si="85"/>
        <v>4.8936543181021384E-2</v>
      </c>
      <c r="S109" s="414">
        <f t="shared" si="85"/>
        <v>4.9371188468384349E-2</v>
      </c>
      <c r="T109" s="414">
        <f t="shared" si="85"/>
        <v>5.1465873987293818E-2</v>
      </c>
      <c r="U109" s="414">
        <f t="shared" si="85"/>
        <v>4.4241348196873996E-2</v>
      </c>
      <c r="V109" s="414">
        <f t="shared" si="85"/>
        <v>4.8546511627906977E-2</v>
      </c>
      <c r="W109" s="417">
        <f t="shared" si="85"/>
        <v>4.8313953488372093E-2</v>
      </c>
      <c r="X109" s="414">
        <f t="shared" si="85"/>
        <v>4.5118021078303282E-2</v>
      </c>
      <c r="Y109" s="414">
        <f t="shared" si="85"/>
        <v>4.8077480716812622E-2</v>
      </c>
      <c r="Z109" s="414">
        <f t="shared" si="85"/>
        <v>4.3963045555909526E-2</v>
      </c>
      <c r="AA109" s="414">
        <f t="shared" si="85"/>
        <v>4.9373815383968116E-2</v>
      </c>
      <c r="AB109" s="422">
        <f t="shared" si="85"/>
        <v>4.6547433945494522E-2</v>
      </c>
      <c r="AC109" s="414">
        <f t="shared" si="85"/>
        <v>4.7365992093361266E-2</v>
      </c>
      <c r="AD109" s="414">
        <f t="shared" si="85"/>
        <v>5.1340467528390651E-2</v>
      </c>
      <c r="AE109" s="414">
        <f t="shared" si="85"/>
        <v>4.6821008053076457E-2</v>
      </c>
      <c r="AF109" s="414">
        <f t="shared" si="85"/>
        <v>5.2182915113199488E-2</v>
      </c>
      <c r="AG109" s="422">
        <f t="shared" si="85"/>
        <v>4.9336924080281244E-2</v>
      </c>
      <c r="AH109" s="414">
        <f t="shared" si="85"/>
        <v>5.1859000377758598E-2</v>
      </c>
      <c r="AI109" s="414">
        <f t="shared" si="85"/>
        <v>5.5154895635845004E-2</v>
      </c>
      <c r="AJ109" s="414">
        <f t="shared" si="85"/>
        <v>5.0459391207448967E-2</v>
      </c>
      <c r="AK109" s="414">
        <f t="shared" si="85"/>
        <v>5.6853188403746396E-2</v>
      </c>
      <c r="AL109" s="422">
        <f t="shared" si="85"/>
        <v>5.3483252555574005E-2</v>
      </c>
      <c r="AM109" s="414">
        <f t="shared" si="85"/>
        <v>5.4181045170792551E-2</v>
      </c>
      <c r="AN109" s="414">
        <f t="shared" si="85"/>
        <v>5.7624517828494794E-2</v>
      </c>
      <c r="AO109" s="414">
        <f t="shared" si="85"/>
        <v>5.2718766933155657E-2</v>
      </c>
      <c r="AP109" s="414">
        <f t="shared" si="85"/>
        <v>5.9398853556152986E-2</v>
      </c>
      <c r="AQ109" s="690">
        <f t="shared" si="85"/>
        <v>5.5878025058062393E-2</v>
      </c>
    </row>
    <row r="110" spans="2:45">
      <c r="B110" s="104"/>
      <c r="C110" s="148"/>
      <c r="D110" s="143"/>
      <c r="E110" s="143"/>
      <c r="F110" s="143"/>
      <c r="G110" s="143"/>
      <c r="H110" s="148"/>
      <c r="I110" s="143"/>
      <c r="J110" s="448"/>
      <c r="K110" s="448"/>
      <c r="L110" s="448"/>
      <c r="M110" s="451"/>
      <c r="N110" s="448"/>
      <c r="O110" s="448"/>
      <c r="P110" s="448"/>
      <c r="Q110" s="448"/>
      <c r="R110" s="451"/>
      <c r="S110" s="448"/>
      <c r="T110" s="448"/>
      <c r="U110" s="448"/>
      <c r="V110" s="448"/>
      <c r="W110" s="451"/>
      <c r="X110" s="448"/>
      <c r="Y110" s="448"/>
      <c r="Z110" s="448"/>
      <c r="AA110" s="143"/>
      <c r="AB110" s="279"/>
      <c r="AC110" s="143"/>
      <c r="AD110" s="143"/>
      <c r="AE110" s="143"/>
      <c r="AF110" s="143"/>
      <c r="AG110" s="279"/>
      <c r="AH110" s="143"/>
      <c r="AI110" s="143"/>
      <c r="AJ110" s="143"/>
      <c r="AK110" s="143"/>
      <c r="AL110" s="279"/>
      <c r="AM110" s="143"/>
      <c r="AN110" s="143"/>
      <c r="AO110" s="143"/>
      <c r="AP110" s="143"/>
      <c r="AQ110" s="676"/>
    </row>
    <row r="111" spans="2:45">
      <c r="B111" s="104" t="s">
        <v>682</v>
      </c>
      <c r="C111" s="316">
        <f>C18</f>
        <v>41813177.696662501</v>
      </c>
      <c r="D111" s="280">
        <f>D18</f>
        <v>41865706.814371876</v>
      </c>
      <c r="E111" s="280">
        <f>E18</f>
        <v>41918235.932081245</v>
      </c>
      <c r="F111" s="280">
        <f>F18</f>
        <v>41970765.049790628</v>
      </c>
      <c r="G111" s="280">
        <f>G18</f>
        <v>42023294.167500004</v>
      </c>
      <c r="H111" s="316">
        <f>H18</f>
        <v>42023294.167500004</v>
      </c>
      <c r="I111" s="280">
        <f>I18</f>
        <v>42076087.250625007</v>
      </c>
      <c r="J111" s="280">
        <f>J18</f>
        <v>42128880.33375001</v>
      </c>
      <c r="K111" s="280">
        <f>K18</f>
        <v>42181673.416874997</v>
      </c>
      <c r="L111" s="280">
        <f>L18</f>
        <v>42234466.5</v>
      </c>
      <c r="M111" s="316">
        <f>M18</f>
        <v>42234466.5</v>
      </c>
      <c r="N111" s="280">
        <f>N18</f>
        <v>42287524.875</v>
      </c>
      <c r="O111" s="280">
        <f>O18</f>
        <v>42340583.25</v>
      </c>
      <c r="P111" s="280">
        <f>P18</f>
        <v>42393641.625</v>
      </c>
      <c r="Q111" s="280">
        <f>Q18</f>
        <v>42446700</v>
      </c>
      <c r="R111" s="316">
        <f>R18</f>
        <v>42446700</v>
      </c>
      <c r="S111" s="280">
        <f>S18</f>
        <v>42500025</v>
      </c>
      <c r="T111" s="280">
        <f>T18</f>
        <v>42553350</v>
      </c>
      <c r="U111" s="280">
        <f>U18</f>
        <v>42606675</v>
      </c>
      <c r="V111" s="280">
        <f>V18</f>
        <v>42660000</v>
      </c>
      <c r="W111" s="316">
        <f>W18</f>
        <v>42660000</v>
      </c>
      <c r="X111" s="280">
        <f>X18</f>
        <v>42713325</v>
      </c>
      <c r="Y111" s="280">
        <f>Y18</f>
        <v>42766650</v>
      </c>
      <c r="Z111" s="280">
        <f>Z18</f>
        <v>42819975</v>
      </c>
      <c r="AA111" s="280">
        <f>AA18</f>
        <v>42873300</v>
      </c>
      <c r="AB111" s="320">
        <f>AB18</f>
        <v>42873300</v>
      </c>
      <c r="AC111" s="280">
        <f>AC18</f>
        <v>42926891.625</v>
      </c>
      <c r="AD111" s="280">
        <f>AD18</f>
        <v>42980483.25</v>
      </c>
      <c r="AE111" s="280">
        <f>AE18</f>
        <v>43034074.875</v>
      </c>
      <c r="AF111" s="280">
        <f>AF18</f>
        <v>43087666.5</v>
      </c>
      <c r="AG111" s="320">
        <f>AG18</f>
        <v>43087666.499999993</v>
      </c>
      <c r="AH111" s="280">
        <f>AH18</f>
        <v>43141526.083124995</v>
      </c>
      <c r="AI111" s="280">
        <f>AI18</f>
        <v>43195385.66624999</v>
      </c>
      <c r="AJ111" s="280">
        <f>AJ18</f>
        <v>43249245.249374986</v>
      </c>
      <c r="AK111" s="280">
        <f>AK18</f>
        <v>43303104.832499988</v>
      </c>
      <c r="AL111" s="320">
        <f>AL18</f>
        <v>43303104.832499988</v>
      </c>
      <c r="AM111" s="280">
        <f>AM18</f>
        <v>43357233.713540606</v>
      </c>
      <c r="AN111" s="280">
        <f>AN18</f>
        <v>43411362.594581231</v>
      </c>
      <c r="AO111" s="280">
        <f>AO18</f>
        <v>43465491.475621857</v>
      </c>
      <c r="AP111" s="280">
        <f>AP18</f>
        <v>43519620.356662482</v>
      </c>
      <c r="AQ111" s="701">
        <f>AQ18</f>
        <v>43519620.356662482</v>
      </c>
    </row>
    <row r="112" spans="2:45">
      <c r="B112" s="50" t="s">
        <v>685</v>
      </c>
      <c r="C112" s="148"/>
      <c r="D112" s="143"/>
      <c r="E112" s="143"/>
      <c r="F112" s="143"/>
      <c r="G112" s="143"/>
      <c r="H112" s="148"/>
      <c r="I112" s="143"/>
      <c r="J112" s="414">
        <f>J106/J111</f>
        <v>3.9165531742797424E-2</v>
      </c>
      <c r="K112" s="414">
        <f t="shared" ref="K112:AQ112" si="86">K106/K111</f>
        <v>7.3136026859613151E-2</v>
      </c>
      <c r="L112" s="414">
        <f t="shared" si="86"/>
        <v>8.5711985967669324E-2</v>
      </c>
      <c r="M112" s="417">
        <f t="shared" si="86"/>
        <v>4.9456052676787099E-2</v>
      </c>
      <c r="N112" s="414">
        <f t="shared" si="86"/>
        <v>8.6077395420036396E-2</v>
      </c>
      <c r="O112" s="414">
        <f t="shared" si="86"/>
        <v>0.10923326144780965</v>
      </c>
      <c r="P112" s="414">
        <f t="shared" si="86"/>
        <v>9.6712616393449538E-2</v>
      </c>
      <c r="Q112" s="414">
        <f t="shared" si="86"/>
        <v>0.10330602850162675</v>
      </c>
      <c r="R112" s="417">
        <f t="shared" si="86"/>
        <v>9.8653134401496465E-2</v>
      </c>
      <c r="S112" s="414">
        <f t="shared" si="86"/>
        <v>9.9529353218027514E-2</v>
      </c>
      <c r="T112" s="414">
        <f t="shared" si="86"/>
        <v>0.10375211352337713</v>
      </c>
      <c r="U112" s="414">
        <f t="shared" si="86"/>
        <v>8.9187903069178717E-2</v>
      </c>
      <c r="V112" s="414">
        <f t="shared" si="86"/>
        <v>9.786685419596812E-2</v>
      </c>
      <c r="W112" s="417">
        <f t="shared" si="86"/>
        <v>9.7398030942334735E-2</v>
      </c>
      <c r="X112" s="414">
        <f t="shared" si="86"/>
        <v>9.0955222989547169E-2</v>
      </c>
      <c r="Y112" s="414">
        <f t="shared" si="86"/>
        <v>9.692131602545441E-2</v>
      </c>
      <c r="Z112" s="414">
        <f t="shared" si="86"/>
        <v>8.8626861645762292E-2</v>
      </c>
      <c r="AA112" s="414">
        <f t="shared" si="86"/>
        <v>9.953464892220483E-2</v>
      </c>
      <c r="AB112" s="422">
        <f t="shared" si="86"/>
        <v>9.383683355162982E-2</v>
      </c>
      <c r="AC112" s="414">
        <f t="shared" si="86"/>
        <v>9.5486997656565126E-2</v>
      </c>
      <c r="AD112" s="414">
        <f t="shared" si="86"/>
        <v>0.10349930162779172</v>
      </c>
      <c r="AE112" s="414">
        <f t="shared" si="86"/>
        <v>9.4388342535503378E-2</v>
      </c>
      <c r="AF112" s="414">
        <f t="shared" si="86"/>
        <v>0.10519762540401208</v>
      </c>
      <c r="AG112" s="422">
        <f t="shared" si="86"/>
        <v>9.9460278267796201E-2</v>
      </c>
      <c r="AH112" s="414">
        <f t="shared" si="86"/>
        <v>0.10454463273528454</v>
      </c>
      <c r="AI112" s="414">
        <f t="shared" si="86"/>
        <v>0.11118895979096741</v>
      </c>
      <c r="AJ112" s="414">
        <f t="shared" si="86"/>
        <v>0.10172310463761396</v>
      </c>
      <c r="AK112" s="414">
        <f t="shared" si="86"/>
        <v>0.11461261609756657</v>
      </c>
      <c r="AL112" s="422">
        <f t="shared" si="86"/>
        <v>0.10781902765539998</v>
      </c>
      <c r="AM112" s="414">
        <f t="shared" si="86"/>
        <v>0.10922573569358085</v>
      </c>
      <c r="AN112" s="414">
        <f t="shared" si="86"/>
        <v>0.1161675699308615</v>
      </c>
      <c r="AO112" s="414">
        <f t="shared" si="86"/>
        <v>0.10627787051691011</v>
      </c>
      <c r="AP112" s="414">
        <f t="shared" si="86"/>
        <v>0.11974452428103972</v>
      </c>
      <c r="AQ112" s="690">
        <f t="shared" si="86"/>
        <v>0.11264674531161194</v>
      </c>
    </row>
    <row r="113" spans="2:45">
      <c r="B113" s="104"/>
      <c r="C113" s="148"/>
      <c r="D113" s="143"/>
      <c r="E113" s="143"/>
      <c r="F113" s="143"/>
      <c r="G113" s="143"/>
      <c r="H113" s="148"/>
      <c r="I113" s="143"/>
      <c r="J113" s="448"/>
      <c r="K113" s="448"/>
      <c r="L113" s="448"/>
      <c r="M113" s="451"/>
      <c r="N113" s="448"/>
      <c r="O113" s="448"/>
      <c r="P113" s="448"/>
      <c r="Q113" s="448"/>
      <c r="R113" s="451"/>
      <c r="S113" s="448"/>
      <c r="T113" s="448"/>
      <c r="U113" s="448"/>
      <c r="V113" s="448"/>
      <c r="W113" s="451"/>
      <c r="X113" s="448"/>
      <c r="Y113" s="448"/>
      <c r="Z113" s="448"/>
      <c r="AA113" s="143"/>
      <c r="AB113" s="279"/>
      <c r="AC113" s="143"/>
      <c r="AD113" s="143"/>
      <c r="AE113" s="143"/>
      <c r="AF113" s="143"/>
      <c r="AG113" s="279"/>
      <c r="AH113" s="143"/>
      <c r="AI113" s="143"/>
      <c r="AJ113" s="143"/>
      <c r="AK113" s="143"/>
      <c r="AL113" s="279"/>
      <c r="AM113" s="143"/>
      <c r="AN113" s="143"/>
      <c r="AO113" s="143"/>
      <c r="AP113" s="143"/>
      <c r="AQ113" s="676"/>
    </row>
    <row r="114" spans="2:45">
      <c r="B114" s="672" t="s">
        <v>686</v>
      </c>
      <c r="C114" s="673"/>
      <c r="D114" s="673"/>
      <c r="E114" s="673"/>
      <c r="F114" s="673"/>
      <c r="G114" s="673"/>
      <c r="H114" s="673"/>
      <c r="I114" s="715"/>
      <c r="J114" s="715"/>
      <c r="K114" s="715"/>
      <c r="L114" s="715"/>
      <c r="M114" s="715"/>
      <c r="N114" s="715"/>
      <c r="O114" s="715"/>
      <c r="P114" s="715"/>
      <c r="Q114" s="715"/>
      <c r="R114" s="715"/>
      <c r="S114" s="715"/>
      <c r="T114" s="715"/>
      <c r="U114" s="715"/>
      <c r="V114" s="715"/>
      <c r="W114" s="715"/>
      <c r="X114" s="715"/>
      <c r="Y114" s="715"/>
      <c r="Z114" s="715"/>
      <c r="AA114" s="674"/>
      <c r="AB114" s="674"/>
      <c r="AC114" s="674"/>
      <c r="AD114" s="674"/>
      <c r="AE114" s="674"/>
      <c r="AF114" s="674"/>
      <c r="AG114" s="674"/>
      <c r="AH114" s="674"/>
      <c r="AI114" s="674"/>
      <c r="AJ114" s="674"/>
      <c r="AK114" s="674"/>
      <c r="AL114" s="674"/>
      <c r="AM114" s="674"/>
      <c r="AN114" s="674"/>
      <c r="AO114" s="674"/>
      <c r="AP114" s="674"/>
      <c r="AQ114" s="675"/>
    </row>
    <row r="115" spans="2:45">
      <c r="B115" s="104"/>
      <c r="C115" s="148"/>
      <c r="D115" s="143"/>
      <c r="E115" s="143"/>
      <c r="F115" s="143"/>
      <c r="G115" s="143"/>
      <c r="H115" s="148"/>
      <c r="I115" s="143"/>
      <c r="J115" s="448"/>
      <c r="K115" s="448"/>
      <c r="L115" s="448"/>
      <c r="M115" s="451"/>
      <c r="N115" s="448"/>
      <c r="O115" s="448"/>
      <c r="P115" s="448"/>
      <c r="Q115" s="448"/>
      <c r="R115" s="451"/>
      <c r="S115" s="448"/>
      <c r="T115" s="448"/>
      <c r="U115" s="448"/>
      <c r="V115" s="448"/>
      <c r="W115" s="451"/>
      <c r="X115" s="448"/>
      <c r="Y115" s="448"/>
      <c r="Z115" s="448"/>
      <c r="AA115" s="143"/>
      <c r="AB115" s="279"/>
      <c r="AC115" s="143"/>
      <c r="AD115" s="143"/>
      <c r="AE115" s="143"/>
      <c r="AF115" s="143"/>
      <c r="AG115" s="279"/>
      <c r="AH115" s="143"/>
      <c r="AI115" s="143"/>
      <c r="AJ115" s="143"/>
      <c r="AK115" s="143"/>
      <c r="AL115" s="279"/>
      <c r="AM115" s="143"/>
      <c r="AN115" s="143"/>
      <c r="AO115" s="143"/>
      <c r="AP115" s="143"/>
      <c r="AQ115" s="676"/>
    </row>
    <row r="116" spans="2:45">
      <c r="B116" s="104" t="s">
        <v>673</v>
      </c>
      <c r="C116" s="148"/>
      <c r="D116" s="143"/>
      <c r="E116" s="143"/>
      <c r="F116" s="143"/>
      <c r="G116" s="143"/>
      <c r="H116" s="148"/>
      <c r="I116" s="143"/>
      <c r="J116" s="448" cm="1">
        <f t="array" ref="J116">_xll.BQL("SEG0000397403 Segment", "SALES_REV_TURN/1M", "FPT=Q", "FPO="&amp;J96&amp;"Q", "ACT_EST_MAPPING=PRECISE", "FS=MRC", "CURRENCY=USD", "XLFILL=b")</f>
        <v>151</v>
      </c>
      <c r="K116" s="448" cm="1">
        <f t="array" ref="K116">_xll.BQL("SEG0000397403 Segment", "SALES_REV_TURN/1M", "FPT=Q", "FPO="&amp;K96&amp;"Q", "ACT_EST_MAPPING=PRECISE", "FS=MRC", "CURRENCY=USD", "XLFILL=b")</f>
        <v>350</v>
      </c>
      <c r="L116" s="448" cm="1">
        <f t="array" ref="L116">_xll.BQL("SEG0000397403 Segment", "SALES_REV_TURN/1M", "FPT=Q", "FPO="&amp;L96&amp;"Q", "ACT_EST_MAPPING=PRECISE", "FS=MRC", "CURRENCY=USD", "XLFILL=b")</f>
        <v>418</v>
      </c>
      <c r="M116" s="451" cm="1">
        <f t="array" ref="M116">_xll.BQL("SEG0000397403 Segment", "SALES_REV_TURN/1M", "FPT=A", "FPO=-2A", "ACT_EST_MAPPING=PRECISE", "FS=MRC", "CURRENCY=USD", "XLFILL=b")</f>
        <v>919</v>
      </c>
      <c r="N116" s="448" cm="1">
        <f t="array" ref="N116">_xll.BQL("SEG0000397403 Segment", "SALES_REV_TURN/1M", "FPT=Q", "FPO="&amp;N96&amp;"Q", "ACT_EST_MAPPING=PRECISE", "FS=MRC", "CURRENCY=USD", "XLFILL=b")</f>
        <v>413</v>
      </c>
      <c r="O116" s="448" cm="1">
        <f t="array" ref="O116">_xll.BQL("SEG0000397403 Segment", "SALES_REV_TURN/1M", "FPT=Q", "FPO="&amp;O96&amp;"Q", "ACT_EST_MAPPING=PRECISE", "FS=MRC", "CURRENCY=USD", "XLFILL=b")</f>
        <v>509</v>
      </c>
      <c r="P116" s="448" cm="1">
        <f t="array" ref="P116">_xll.BQL("SEG0000397403 Segment", "SALES_REV_TURN/1M", "FPT=Q", "FPO="&amp;P96&amp;"Q", "ACT_EST_MAPPING=PRECISE", "FS=MRC", "CURRENCY=USD", "XLFILL=b")</f>
        <v>431</v>
      </c>
      <c r="Q116" s="448" cm="1">
        <f t="array" ref="Q116">_xll.BQL("SEG0000397403 Segment", "SALES_REV_TURN/1M", "FPT=Q", "FPO="&amp;Q96&amp;"Q", "ACT_EST_MAPPING=PRECISE", "FS=MRC", "CURRENCY=USD", "XLFILL=b")</f>
        <v>530</v>
      </c>
      <c r="R116" s="451" cm="1">
        <f t="array" ref="R116">_xll.BQL("SEG0000397403 Segment", "SALES_REV_TURN/1M", "FPT=A", "FPO=-1A", "ACT_EST_MAPPING=PRECISE", "FS=MRC", "CURRENCY=USD", "XLFILL=b")</f>
        <v>1883</v>
      </c>
      <c r="S116" s="448" cm="1">
        <f t="array" ref="S116">_xll.BQL("SEG0000397403 Segment", "SALES_REV_TURN/1M", "FPT=Q", "FPO="&amp;S96&amp;"Q", "ACT_EST_MAPPING=PRECISE", "FS=MRC", "CURRENCY=USD", "XLFILL=b")</f>
        <v>528</v>
      </c>
      <c r="T116" s="448" cm="1">
        <f t="array" ref="T116">_xll.BQL("SEG0000397403 Segment", "SALES_REV_TURN/1M", "FPT=Q", "FPO="&amp;T96&amp;"Q", "ACT_EST_MAPPING=PRECISE", "FS=MRC", "CURRENCY=USD", "XLFILL=b")</f>
        <v>488</v>
      </c>
      <c r="U116" s="448" cm="1">
        <f t="array" ref="U116">_xll.BQL("SEG0000397403 Segment", "SALES_REV_TURN/1M", "FPT=Q", "FPO="&amp;U96&amp;"Q", "ACT_EST_MAPPING=PRECISE", "FS=MRC", "CURRENCY=USD", "XLFILL=b")</f>
        <v>541</v>
      </c>
      <c r="V116" s="448" cm="1">
        <f t="array" ref="V116">_xll.BQL("SEG0000397403 Segment", "SALES_REV_TURN/1M", "FPT=Q", "FPO="&amp;V96&amp;"Q", "ACT_EST_MAPPING=PRECISE", "FS=MRC", "CURRENCY=USD", "XLFILL=b")</f>
        <v>452</v>
      </c>
      <c r="W116" s="451" cm="1">
        <f t="array" ref="W116">_xll.BQL("SEG0000397403 Segment", "SALES_REV_TURN/1M", "FPT=A", "FPO=0A", "ACT_EST_MAPPING=PRECISE", "FS=MRC", "CURRENCY=USD", "XLFILL=b")</f>
        <v>2009</v>
      </c>
      <c r="X116" s="448" cm="1">
        <f t="array" ref="X116">_xll.BQL("SEG0000397403 Segment", "SALES_REV_TURN/1M", "FPT=Q", "FPO="&amp;X96&amp;"Q", "ACT_EST_MAPPING=PRECISE", "FS=MRC", "CURRENCY=USD", "XLFILL=b")</f>
        <v>523</v>
      </c>
      <c r="Y116" s="448" cm="1">
        <f t="array" ref="Y116">_xll.BQL("SEG0000397403 Segment", "SALES_REV_TURN/1M", "FPT=Q", "FPO="&amp;Y96&amp;"Q", "ACT_EST_MAPPING=PRECISE", "FS=MRC", "CURRENCY=USD", "XLFILL=b")</f>
        <v>555</v>
      </c>
      <c r="Z116" s="448" cm="1">
        <f t="array" ref="Z116">_xll.BQL("SEG0000397403 Segment", "SALES_REV_TURN/1M", "FPT=Q", "FPO="&amp;Z96&amp;"Q", "ACT_EST_MAPPING=PRECISE", "FS=MRC", "CURRENCY=USD", "XLFILL=b")</f>
        <v>480</v>
      </c>
      <c r="AA116" s="448" cm="1">
        <f t="array" ref="AA116">_xll.BQL("SEG0000397403 Segment", "SALES_REV_TURN/1M", "FPT=Q", "FPO="&amp;AA96&amp;"Q", "ACT_EST_MAPPING=PRECISE", "FS=MRC", "CURRENCY=USD", "XLFILL=b")</f>
        <v>510.90598572374967</v>
      </c>
      <c r="AB116" s="288">
        <f>SUM(X116:AA116)</f>
        <v>2068.9059857237498</v>
      </c>
      <c r="AC116" s="448" cm="1">
        <f t="array" ref="AC116">_xll.BQL("SEG0000397403 Segment", "SALES_REV_TURN/1M", "FPT=Q", "FPO="&amp;AC96&amp;"Q", "ACT_EST_MAPPING=PRECISE", "FS=MRC", "CURRENCY=USD", "XLFILL=b")</f>
        <v>559.20806367981299</v>
      </c>
      <c r="AD116" s="448" cm="1">
        <f t="array" ref="AD116">_xll.BQL("SEG0000397403 Segment", "SALES_REV_TURN/1M", "FPT=Q", "FPO="&amp;AD96&amp;"Q", "ACT_EST_MAPPING=PRECISE", "FS=MRC", "CURRENCY=USD", "XLFILL=b")</f>
        <v>596.68197386845418</v>
      </c>
      <c r="AE116" s="448" cm="1">
        <f t="array" ref="AE116">_xll.BQL("SEG0000397403 Segment", "SALES_REV_TURN/1M", "FPT=Q", "FPO="&amp;AE96&amp;"Q", "ACT_EST_MAPPING=PRECISE", "FS=MRC", "CURRENCY=USD", "XLFILL=b")</f>
        <v>531.04190064273439</v>
      </c>
      <c r="AF116" s="448" cm="1">
        <f t="array" ref="AF116">_xll.BQL("SEG0000397403 Segment", "SALES_REV_TURN/1M", "FPT=Q", "FPO="&amp;AF96&amp;"Q", "ACT_EST_MAPPING=PRECISE", "FS=MRC", "CURRENCY=USD", "XLFILL=b")</f>
        <v>558.31353429935939</v>
      </c>
      <c r="AG116" s="288">
        <f>SUM(AC116:AF116)</f>
        <v>2245.245472490361</v>
      </c>
      <c r="AH116" s="448" cm="1">
        <f t="array" ref="AH116">_xll.BQL("SEG0000397403 Segment", "SALES_REV_TURN/1M", "FPT=Q", "FPO="&amp;AH96&amp;"Q", "ACT_EST_MAPPING=PRECISE", "FS=MRC", "CURRENCY=USD", "XLFILL=b")</f>
        <v>590.45733431901863</v>
      </c>
      <c r="AI116" s="448" cm="1">
        <f t="array" ref="AI116">_xll.BQL("SEG0000397403 Segment", "SALES_REV_TURN/1M", "FPT=Q", "FPO="&amp;AI96&amp;"Q", "ACT_EST_MAPPING=PRECISE", "FS=MRC", "CURRENCY=USD", "XLFILL=b")</f>
        <v>624.29836280938468</v>
      </c>
      <c r="AJ116" s="448" cm="1">
        <f t="array" ref="AJ116">_xll.BQL("SEG0000397403 Segment", "SALES_REV_TURN/1M", "FPT=Q", "FPO="&amp;AJ96&amp;"Q", "ACT_EST_MAPPING=PRECISE", "FS=MRC", "CURRENCY=USD", "XLFILL=b")</f>
        <v>541.87822837435533</v>
      </c>
      <c r="AK116" s="448" cm="1">
        <f t="array" ref="AK116">_xll.BQL("SEG0000397403 Segment", "SALES_REV_TURN/1M", "FPT=Q", "FPO="&amp;AK96&amp;"Q", "ACT_EST_MAPPING=PRECISE", "FS=MRC", "CURRENCY=USD", "XLFILL=b")</f>
        <v>597.93087007163649</v>
      </c>
      <c r="AL116" s="288">
        <f>SUM(AH116:AK116)</f>
        <v>2354.5647955743952</v>
      </c>
      <c r="AM116" s="448" cm="1">
        <f t="array" ref="AM116">_xll.BQL("SEG0000397403 Segment", "SALES_REV_TURN/1M", "FPT=Q", "FPO="&amp;AM96&amp;"Q", "ACT_EST_MAPPING=PRECISE", "FS=MRC", "CURRENCY=USD", "XLFILL=b")</f>
        <v>619.98020103496958</v>
      </c>
      <c r="AN116" s="448" cm="1">
        <f t="array" ref="AN116">_xll.BQL("SEG0000397403 Segment", "SALES_REV_TURN/1M", "FPT=Q", "FPO="&amp;AN96&amp;"Q", "ACT_EST_MAPPING=PRECISE", "FS=MRC", "CURRENCY=USD", "XLFILL=b")</f>
        <v>655.51328094985388</v>
      </c>
      <c r="AO116" s="448" cm="1">
        <f t="array" ref="AO116">_xll.BQL("SEG0000397403 Segment", "SALES_REV_TURN/1M", "FPT=Q", "FPO="&amp;AO96&amp;"Q", "ACT_EST_MAPPING=PRECISE", "FS=MRC", "CURRENCY=USD", "XLFILL=b")</f>
        <v>568.9721397930731</v>
      </c>
      <c r="AP116" s="448" cm="1">
        <f t="array" ref="AP116">_xll.BQL("SEG0000397403 Segment", "SALES_REV_TURN/1M", "FPT=Q", "FPO="&amp;AP96&amp;"Q", "ACT_EST_MAPPING=PRECISE", "FS=MRC", "CURRENCY=USD", "XLFILL=b")</f>
        <v>627.8274135752182</v>
      </c>
      <c r="AQ116" s="678">
        <f>SUM(AM116:AP116)</f>
        <v>2472.2930353531146</v>
      </c>
    </row>
    <row r="117" spans="2:45">
      <c r="B117" s="738" t="s">
        <v>566</v>
      </c>
      <c r="C117" s="148"/>
      <c r="D117" s="143"/>
      <c r="E117" s="143"/>
      <c r="F117" s="143"/>
      <c r="G117" s="143"/>
      <c r="H117" s="148"/>
      <c r="I117" s="143"/>
      <c r="J117" s="448"/>
      <c r="K117" s="448"/>
      <c r="L117" s="448"/>
      <c r="M117" s="451"/>
      <c r="N117" s="414"/>
      <c r="O117" s="414">
        <f>O116/J116-1</f>
        <v>2.370860927152318</v>
      </c>
      <c r="P117" s="414">
        <f>P116/K116-1</f>
        <v>0.23142857142857154</v>
      </c>
      <c r="Q117" s="414">
        <f>Q116/L116-1</f>
        <v>0.26794258373205748</v>
      </c>
      <c r="R117" s="417">
        <f>R116/M116-1</f>
        <v>1.0489662676822635</v>
      </c>
      <c r="S117" s="414">
        <f t="shared" ref="S117:AQ117" si="87">S116/N116-1</f>
        <v>0.27845036319612593</v>
      </c>
      <c r="T117" s="414">
        <f t="shared" si="87"/>
        <v>-4.125736738703345E-2</v>
      </c>
      <c r="U117" s="414">
        <f t="shared" si="87"/>
        <v>0.25522041763341075</v>
      </c>
      <c r="V117" s="414">
        <f t="shared" si="87"/>
        <v>-0.14716981132075468</v>
      </c>
      <c r="W117" s="417">
        <f t="shared" si="87"/>
        <v>6.6914498141263934E-2</v>
      </c>
      <c r="X117" s="414">
        <f t="shared" si="87"/>
        <v>-9.4696969696970168E-3</v>
      </c>
      <c r="Y117" s="414">
        <f t="shared" si="87"/>
        <v>0.13729508196721318</v>
      </c>
      <c r="Z117" s="414">
        <f t="shared" si="87"/>
        <v>-0.11275415896487984</v>
      </c>
      <c r="AA117" s="414">
        <f t="shared" si="87"/>
        <v>0.1303229772649328</v>
      </c>
      <c r="AB117" s="422">
        <f t="shared" si="87"/>
        <v>2.9818808224862936E-2</v>
      </c>
      <c r="AC117" s="414">
        <f t="shared" si="87"/>
        <v>6.9231479311306021E-2</v>
      </c>
      <c r="AD117" s="414">
        <f t="shared" si="87"/>
        <v>7.5102655618836334E-2</v>
      </c>
      <c r="AE117" s="414">
        <f t="shared" si="87"/>
        <v>0.10633729300569672</v>
      </c>
      <c r="AF117" s="414">
        <f t="shared" si="87"/>
        <v>9.2791139466593231E-2</v>
      </c>
      <c r="AG117" s="422">
        <f t="shared" si="87"/>
        <v>8.5233204400500417E-2</v>
      </c>
      <c r="AH117" s="414">
        <f t="shared" si="87"/>
        <v>5.5881294760974809E-2</v>
      </c>
      <c r="AI117" s="414">
        <f t="shared" si="87"/>
        <v>4.6283263363707583E-2</v>
      </c>
      <c r="AJ117" s="414">
        <f t="shared" si="87"/>
        <v>2.0405786659217329E-2</v>
      </c>
      <c r="AK117" s="414">
        <f t="shared" si="87"/>
        <v>7.0958938550529371E-2</v>
      </c>
      <c r="AL117" s="422">
        <f t="shared" si="87"/>
        <v>4.8689252210263101E-2</v>
      </c>
      <c r="AM117" s="414">
        <f t="shared" si="87"/>
        <v>5.0000000000000044E-2</v>
      </c>
      <c r="AN117" s="414">
        <f t="shared" si="87"/>
        <v>5.0000000000000044E-2</v>
      </c>
      <c r="AO117" s="414">
        <f t="shared" si="87"/>
        <v>5.0000000000000044E-2</v>
      </c>
      <c r="AP117" s="414">
        <f t="shared" si="87"/>
        <v>4.9999999999999822E-2</v>
      </c>
      <c r="AQ117" s="690">
        <f t="shared" si="87"/>
        <v>4.9999999999999822E-2</v>
      </c>
    </row>
    <row r="118" spans="2:45">
      <c r="B118" s="50" t="s">
        <v>687</v>
      </c>
      <c r="C118" s="148"/>
      <c r="D118" s="143"/>
      <c r="E118" s="143"/>
      <c r="F118" s="143"/>
      <c r="G118" s="143"/>
      <c r="H118" s="148"/>
      <c r="I118" s="143"/>
      <c r="J118" s="717">
        <v>8</v>
      </c>
      <c r="K118" s="717">
        <v>8</v>
      </c>
      <c r="L118" s="717">
        <v>8</v>
      </c>
      <c r="M118" s="718">
        <v>8</v>
      </c>
      <c r="N118" s="717">
        <v>8</v>
      </c>
      <c r="O118" s="717">
        <v>8</v>
      </c>
      <c r="P118" s="717">
        <v>8</v>
      </c>
      <c r="Q118" s="717">
        <v>8</v>
      </c>
      <c r="R118" s="718">
        <v>8</v>
      </c>
      <c r="S118" s="717">
        <v>8</v>
      </c>
      <c r="T118" s="717">
        <v>8</v>
      </c>
      <c r="U118" s="717">
        <v>8</v>
      </c>
      <c r="V118" s="717">
        <v>8</v>
      </c>
      <c r="W118" s="718">
        <v>8</v>
      </c>
      <c r="X118" s="717">
        <v>8</v>
      </c>
      <c r="Y118" s="717">
        <v>8</v>
      </c>
      <c r="Z118" s="717">
        <v>8</v>
      </c>
      <c r="AA118" s="719">
        <v>8</v>
      </c>
      <c r="AB118" s="720">
        <v>8</v>
      </c>
      <c r="AC118" s="719">
        <v>8</v>
      </c>
      <c r="AD118" s="719">
        <v>8</v>
      </c>
      <c r="AE118" s="719">
        <v>8</v>
      </c>
      <c r="AF118" s="719">
        <v>8</v>
      </c>
      <c r="AG118" s="720">
        <v>8</v>
      </c>
      <c r="AH118" s="719">
        <v>8</v>
      </c>
      <c r="AI118" s="719">
        <v>8</v>
      </c>
      <c r="AJ118" s="719">
        <v>8</v>
      </c>
      <c r="AK118" s="719">
        <v>8</v>
      </c>
      <c r="AL118" s="720">
        <v>8</v>
      </c>
      <c r="AM118" s="719">
        <v>8</v>
      </c>
      <c r="AN118" s="719">
        <v>8</v>
      </c>
      <c r="AO118" s="719">
        <v>8</v>
      </c>
      <c r="AP118" s="719">
        <v>8</v>
      </c>
      <c r="AQ118" s="721">
        <v>8</v>
      </c>
      <c r="AS118" s="651" t="s">
        <v>695</v>
      </c>
    </row>
    <row r="119" spans="2:45">
      <c r="B119" s="50" t="s">
        <v>688</v>
      </c>
      <c r="C119" s="148"/>
      <c r="D119" s="143"/>
      <c r="E119" s="143"/>
      <c r="F119" s="143"/>
      <c r="G119" s="143"/>
      <c r="H119" s="148"/>
      <c r="I119" s="143"/>
      <c r="J119" s="733">
        <f>J66</f>
        <v>0.38500000000000001</v>
      </c>
      <c r="K119" s="733">
        <f t="shared" ref="K119:AQ119" si="88">K66</f>
        <v>0.38500000000000001</v>
      </c>
      <c r="L119" s="733">
        <f t="shared" si="88"/>
        <v>0.38500000000000001</v>
      </c>
      <c r="M119" s="734">
        <f t="shared" si="88"/>
        <v>0.38500000000000001</v>
      </c>
      <c r="N119" s="733">
        <f t="shared" si="88"/>
        <v>0.38500000000000001</v>
      </c>
      <c r="O119" s="733">
        <f t="shared" si="88"/>
        <v>0.38500000000000001</v>
      </c>
      <c r="P119" s="733">
        <f t="shared" si="88"/>
        <v>0.38500000000000001</v>
      </c>
      <c r="Q119" s="733">
        <f t="shared" si="88"/>
        <v>0.38500000000000001</v>
      </c>
      <c r="R119" s="734">
        <f t="shared" si="88"/>
        <v>0.38500000000000001</v>
      </c>
      <c r="S119" s="733">
        <f t="shared" si="88"/>
        <v>0.38500000000000001</v>
      </c>
      <c r="T119" s="733">
        <f t="shared" si="88"/>
        <v>0.38500000000000001</v>
      </c>
      <c r="U119" s="733">
        <f t="shared" si="88"/>
        <v>0.38500000000000001</v>
      </c>
      <c r="V119" s="733">
        <f t="shared" si="88"/>
        <v>0.38500000000000001</v>
      </c>
      <c r="W119" s="734">
        <f t="shared" si="88"/>
        <v>0.38500000000000001</v>
      </c>
      <c r="X119" s="733">
        <f t="shared" si="88"/>
        <v>0.38500000000000001</v>
      </c>
      <c r="Y119" s="733">
        <f t="shared" si="88"/>
        <v>0.38500000000000001</v>
      </c>
      <c r="Z119" s="733">
        <f t="shared" si="88"/>
        <v>0.38500000000000001</v>
      </c>
      <c r="AA119" s="705">
        <f t="shared" si="88"/>
        <v>0.38500000000000001</v>
      </c>
      <c r="AB119" s="706">
        <f t="shared" si="88"/>
        <v>0.38500000000000001</v>
      </c>
      <c r="AC119" s="705">
        <f t="shared" si="88"/>
        <v>0.38500000000000001</v>
      </c>
      <c r="AD119" s="705">
        <f t="shared" si="88"/>
        <v>0.38500000000000001</v>
      </c>
      <c r="AE119" s="705">
        <f t="shared" si="88"/>
        <v>0.38500000000000001</v>
      </c>
      <c r="AF119" s="705">
        <f t="shared" si="88"/>
        <v>0.38500000000000001</v>
      </c>
      <c r="AG119" s="706">
        <f t="shared" si="88"/>
        <v>0.38500000000000001</v>
      </c>
      <c r="AH119" s="705">
        <f t="shared" si="88"/>
        <v>0.38500000000000001</v>
      </c>
      <c r="AI119" s="705">
        <f t="shared" si="88"/>
        <v>0.38500000000000001</v>
      </c>
      <c r="AJ119" s="705">
        <f t="shared" si="88"/>
        <v>0.38500000000000001</v>
      </c>
      <c r="AK119" s="705">
        <f t="shared" si="88"/>
        <v>0.38500000000000001</v>
      </c>
      <c r="AL119" s="706">
        <f t="shared" si="88"/>
        <v>0.38500000000000001</v>
      </c>
      <c r="AM119" s="705">
        <f t="shared" si="88"/>
        <v>0.38500000000000001</v>
      </c>
      <c r="AN119" s="705">
        <f t="shared" si="88"/>
        <v>0.38500000000000001</v>
      </c>
      <c r="AO119" s="705">
        <f t="shared" si="88"/>
        <v>0.38500000000000001</v>
      </c>
      <c r="AP119" s="705">
        <f t="shared" si="88"/>
        <v>0.38500000000000001</v>
      </c>
      <c r="AQ119" s="707">
        <f t="shared" si="88"/>
        <v>0.38500000000000001</v>
      </c>
      <c r="AS119" s="651" t="s">
        <v>694</v>
      </c>
    </row>
    <row r="120" spans="2:45">
      <c r="B120" s="50" t="s">
        <v>677</v>
      </c>
      <c r="C120" s="148"/>
      <c r="D120" s="143"/>
      <c r="E120" s="143"/>
      <c r="F120" s="143"/>
      <c r="G120" s="143"/>
      <c r="H120" s="148"/>
      <c r="I120" s="143"/>
      <c r="J120" s="287">
        <v>50</v>
      </c>
      <c r="K120" s="287">
        <v>50</v>
      </c>
      <c r="L120" s="287">
        <v>50</v>
      </c>
      <c r="M120" s="722">
        <v>50</v>
      </c>
      <c r="N120" s="287">
        <v>50</v>
      </c>
      <c r="O120" s="287">
        <v>50</v>
      </c>
      <c r="P120" s="287">
        <v>50</v>
      </c>
      <c r="Q120" s="287">
        <v>50</v>
      </c>
      <c r="R120" s="722">
        <v>50</v>
      </c>
      <c r="S120" s="287">
        <v>50</v>
      </c>
      <c r="T120" s="287">
        <v>50</v>
      </c>
      <c r="U120" s="287">
        <v>50</v>
      </c>
      <c r="V120" s="287">
        <v>50</v>
      </c>
      <c r="W120" s="722">
        <v>50</v>
      </c>
      <c r="X120" s="287">
        <v>50</v>
      </c>
      <c r="Y120" s="287">
        <v>50</v>
      </c>
      <c r="Z120" s="287">
        <v>50</v>
      </c>
      <c r="AA120" s="376">
        <v>50</v>
      </c>
      <c r="AB120" s="723">
        <v>50</v>
      </c>
      <c r="AC120" s="376">
        <v>50</v>
      </c>
      <c r="AD120" s="376">
        <v>50</v>
      </c>
      <c r="AE120" s="376">
        <v>50</v>
      </c>
      <c r="AF120" s="376">
        <v>50</v>
      </c>
      <c r="AG120" s="723">
        <v>50</v>
      </c>
      <c r="AH120" s="376">
        <v>50</v>
      </c>
      <c r="AI120" s="376">
        <v>50</v>
      </c>
      <c r="AJ120" s="376">
        <v>50</v>
      </c>
      <c r="AK120" s="376">
        <v>50</v>
      </c>
      <c r="AL120" s="723">
        <v>50</v>
      </c>
      <c r="AM120" s="376">
        <v>50</v>
      </c>
      <c r="AN120" s="376">
        <v>50</v>
      </c>
      <c r="AO120" s="376">
        <v>50</v>
      </c>
      <c r="AP120" s="376">
        <v>50</v>
      </c>
      <c r="AQ120" s="724">
        <v>50</v>
      </c>
      <c r="AS120" s="651" t="s">
        <v>693</v>
      </c>
    </row>
    <row r="121" spans="2:45">
      <c r="B121" s="50" t="s">
        <v>678</v>
      </c>
      <c r="C121" s="148"/>
      <c r="D121" s="143"/>
      <c r="E121" s="143"/>
      <c r="F121" s="143"/>
      <c r="G121" s="143"/>
      <c r="H121" s="148"/>
      <c r="I121" s="143"/>
      <c r="J121" s="725">
        <v>2</v>
      </c>
      <c r="K121" s="725">
        <v>2</v>
      </c>
      <c r="L121" s="725">
        <v>2</v>
      </c>
      <c r="M121" s="726">
        <v>2</v>
      </c>
      <c r="N121" s="725">
        <v>2</v>
      </c>
      <c r="O121" s="725">
        <v>2</v>
      </c>
      <c r="P121" s="725">
        <v>2</v>
      </c>
      <c r="Q121" s="725">
        <v>2</v>
      </c>
      <c r="R121" s="726">
        <v>2</v>
      </c>
      <c r="S121" s="725">
        <v>2</v>
      </c>
      <c r="T121" s="725">
        <v>2</v>
      </c>
      <c r="U121" s="725">
        <v>2</v>
      </c>
      <c r="V121" s="725">
        <v>2</v>
      </c>
      <c r="W121" s="726">
        <v>2</v>
      </c>
      <c r="X121" s="725">
        <v>2</v>
      </c>
      <c r="Y121" s="725">
        <v>2</v>
      </c>
      <c r="Z121" s="725">
        <v>2</v>
      </c>
      <c r="AA121" s="681">
        <v>2</v>
      </c>
      <c r="AB121" s="682">
        <v>2</v>
      </c>
      <c r="AC121" s="681">
        <v>2</v>
      </c>
      <c r="AD121" s="681">
        <v>2</v>
      </c>
      <c r="AE121" s="681">
        <v>2</v>
      </c>
      <c r="AF121" s="681">
        <v>2</v>
      </c>
      <c r="AG121" s="682">
        <v>2</v>
      </c>
      <c r="AH121" s="681">
        <v>2</v>
      </c>
      <c r="AI121" s="681">
        <v>2</v>
      </c>
      <c r="AJ121" s="681">
        <v>2</v>
      </c>
      <c r="AK121" s="681">
        <v>2</v>
      </c>
      <c r="AL121" s="682">
        <v>2</v>
      </c>
      <c r="AM121" s="681">
        <v>2</v>
      </c>
      <c r="AN121" s="681">
        <v>2</v>
      </c>
      <c r="AO121" s="681">
        <v>2</v>
      </c>
      <c r="AP121" s="681">
        <v>2</v>
      </c>
      <c r="AQ121" s="683">
        <v>2</v>
      </c>
      <c r="AS121" s="651" t="s">
        <v>693</v>
      </c>
    </row>
    <row r="122" spans="2:45" s="154" customFormat="1">
      <c r="B122" s="727" t="s">
        <v>681</v>
      </c>
      <c r="C122" s="728"/>
      <c r="D122" s="729"/>
      <c r="E122" s="729"/>
      <c r="F122" s="729"/>
      <c r="G122" s="729"/>
      <c r="H122" s="728"/>
      <c r="I122" s="729"/>
      <c r="J122" s="280">
        <v>4</v>
      </c>
      <c r="K122" s="280">
        <v>4</v>
      </c>
      <c r="L122" s="280">
        <v>4</v>
      </c>
      <c r="M122" s="316">
        <v>1</v>
      </c>
      <c r="N122" s="280">
        <v>4</v>
      </c>
      <c r="O122" s="280">
        <v>4</v>
      </c>
      <c r="P122" s="280">
        <v>4</v>
      </c>
      <c r="Q122" s="280">
        <v>4</v>
      </c>
      <c r="R122" s="316">
        <v>1</v>
      </c>
      <c r="S122" s="280">
        <v>4</v>
      </c>
      <c r="T122" s="280">
        <v>4</v>
      </c>
      <c r="U122" s="280">
        <v>4</v>
      </c>
      <c r="V122" s="280">
        <v>4</v>
      </c>
      <c r="W122" s="316">
        <v>1</v>
      </c>
      <c r="X122" s="280">
        <v>4</v>
      </c>
      <c r="Y122" s="280">
        <v>4</v>
      </c>
      <c r="Z122" s="280">
        <v>4</v>
      </c>
      <c r="AA122" s="280">
        <v>4</v>
      </c>
      <c r="AB122" s="320">
        <v>1</v>
      </c>
      <c r="AC122" s="280">
        <v>4</v>
      </c>
      <c r="AD122" s="280">
        <v>4</v>
      </c>
      <c r="AE122" s="280">
        <v>4</v>
      </c>
      <c r="AF122" s="280">
        <v>4</v>
      </c>
      <c r="AG122" s="320">
        <v>1</v>
      </c>
      <c r="AH122" s="280">
        <v>4</v>
      </c>
      <c r="AI122" s="280">
        <v>4</v>
      </c>
      <c r="AJ122" s="280">
        <v>4</v>
      </c>
      <c r="AK122" s="280">
        <v>4</v>
      </c>
      <c r="AL122" s="320">
        <v>1</v>
      </c>
      <c r="AM122" s="280">
        <v>4</v>
      </c>
      <c r="AN122" s="280">
        <v>4</v>
      </c>
      <c r="AO122" s="280">
        <v>4</v>
      </c>
      <c r="AP122" s="280">
        <v>4</v>
      </c>
      <c r="AQ122" s="701">
        <v>1</v>
      </c>
    </row>
    <row r="123" spans="2:45">
      <c r="B123" s="50" t="s">
        <v>691</v>
      </c>
      <c r="C123" s="148"/>
      <c r="D123" s="143"/>
      <c r="E123" s="143"/>
      <c r="F123" s="143"/>
      <c r="G123" s="143"/>
      <c r="H123" s="148"/>
      <c r="I123" s="143"/>
      <c r="J123" s="280">
        <f>J116*1000*1000/J118*J119/J120/J121*J122</f>
        <v>290675</v>
      </c>
      <c r="K123" s="280">
        <f t="shared" ref="K123:AQ123" si="89">K116*1000*1000/K118*K119/K120/K121*K122</f>
        <v>673750</v>
      </c>
      <c r="L123" s="280">
        <f t="shared" si="89"/>
        <v>804650</v>
      </c>
      <c r="M123" s="316">
        <f t="shared" si="89"/>
        <v>442268.75</v>
      </c>
      <c r="N123" s="280">
        <f t="shared" si="89"/>
        <v>795025</v>
      </c>
      <c r="O123" s="280">
        <f t="shared" si="89"/>
        <v>979825</v>
      </c>
      <c r="P123" s="280">
        <f t="shared" si="89"/>
        <v>829675</v>
      </c>
      <c r="Q123" s="280">
        <f t="shared" si="89"/>
        <v>1020250</v>
      </c>
      <c r="R123" s="316">
        <f t="shared" si="89"/>
        <v>906193.75</v>
      </c>
      <c r="S123" s="280">
        <f t="shared" si="89"/>
        <v>1016400</v>
      </c>
      <c r="T123" s="280">
        <f t="shared" si="89"/>
        <v>939400</v>
      </c>
      <c r="U123" s="280">
        <f t="shared" si="89"/>
        <v>1041425</v>
      </c>
      <c r="V123" s="280">
        <f t="shared" si="89"/>
        <v>870100</v>
      </c>
      <c r="W123" s="316">
        <f t="shared" si="89"/>
        <v>966831.25</v>
      </c>
      <c r="X123" s="280">
        <f t="shared" si="89"/>
        <v>1006775</v>
      </c>
      <c r="Y123" s="280">
        <f t="shared" si="89"/>
        <v>1068375</v>
      </c>
      <c r="Z123" s="280">
        <f t="shared" si="89"/>
        <v>924000</v>
      </c>
      <c r="AA123" s="730">
        <f t="shared" si="89"/>
        <v>983494.02251821815</v>
      </c>
      <c r="AB123" s="731">
        <f t="shared" si="89"/>
        <v>995661.00562955451</v>
      </c>
      <c r="AC123" s="730">
        <f t="shared" si="89"/>
        <v>1076475.5225836399</v>
      </c>
      <c r="AD123" s="730">
        <f t="shared" si="89"/>
        <v>1148612.7996967742</v>
      </c>
      <c r="AE123" s="730">
        <f t="shared" si="89"/>
        <v>1022255.6587372636</v>
      </c>
      <c r="AF123" s="730">
        <f t="shared" si="89"/>
        <v>1074753.5535262669</v>
      </c>
      <c r="AG123" s="731">
        <f t="shared" si="89"/>
        <v>1080524.3836359861</v>
      </c>
      <c r="AH123" s="730">
        <f t="shared" si="89"/>
        <v>1136630.3685641109</v>
      </c>
      <c r="AI123" s="730">
        <f t="shared" si="89"/>
        <v>1201774.3484080655</v>
      </c>
      <c r="AJ123" s="730">
        <f t="shared" si="89"/>
        <v>1043115.589620634</v>
      </c>
      <c r="AK123" s="730">
        <f t="shared" si="89"/>
        <v>1151016.9248879002</v>
      </c>
      <c r="AL123" s="731">
        <f t="shared" si="89"/>
        <v>1133134.307870178</v>
      </c>
      <c r="AM123" s="730">
        <f t="shared" si="89"/>
        <v>1193461.8869923165</v>
      </c>
      <c r="AN123" s="730">
        <f t="shared" si="89"/>
        <v>1261863.0658284684</v>
      </c>
      <c r="AO123" s="730">
        <f t="shared" si="89"/>
        <v>1095271.3691016657</v>
      </c>
      <c r="AP123" s="730">
        <f t="shared" si="89"/>
        <v>1208567.771132295</v>
      </c>
      <c r="AQ123" s="732">
        <f t="shared" si="89"/>
        <v>1189791.0232636863</v>
      </c>
    </row>
    <row r="124" spans="2:45">
      <c r="B124" s="104"/>
      <c r="C124" s="148"/>
      <c r="D124" s="143"/>
      <c r="E124" s="143"/>
      <c r="F124" s="143"/>
      <c r="G124" s="143"/>
      <c r="H124" s="148"/>
      <c r="I124" s="143"/>
      <c r="J124" s="143"/>
      <c r="K124" s="143"/>
      <c r="L124" s="143"/>
      <c r="M124" s="148"/>
      <c r="N124" s="143"/>
      <c r="O124" s="143"/>
      <c r="P124" s="143"/>
      <c r="Q124" s="143"/>
      <c r="R124" s="148"/>
      <c r="S124" s="143"/>
      <c r="T124" s="143"/>
      <c r="U124" s="143"/>
      <c r="V124" s="143"/>
      <c r="W124" s="148"/>
      <c r="X124" s="143"/>
      <c r="Y124" s="143"/>
      <c r="Z124" s="143"/>
      <c r="AA124" s="143"/>
      <c r="AB124" s="279"/>
      <c r="AC124" s="143"/>
      <c r="AD124" s="143"/>
      <c r="AE124" s="143"/>
      <c r="AF124" s="143"/>
      <c r="AG124" s="279"/>
      <c r="AH124" s="143"/>
      <c r="AI124" s="143"/>
      <c r="AJ124" s="143"/>
      <c r="AK124" s="143"/>
      <c r="AL124" s="279"/>
      <c r="AM124" s="143"/>
      <c r="AN124" s="143"/>
      <c r="AO124" s="143"/>
      <c r="AP124" s="143"/>
      <c r="AQ124" s="676"/>
    </row>
    <row r="125" spans="2:45">
      <c r="B125" s="50" t="s">
        <v>689</v>
      </c>
      <c r="C125" s="148"/>
      <c r="D125" s="143"/>
      <c r="E125" s="143"/>
      <c r="F125" s="143"/>
      <c r="G125" s="143"/>
      <c r="H125" s="148"/>
      <c r="I125" s="143"/>
      <c r="J125" s="144">
        <f>J106</f>
        <v>1650000</v>
      </c>
      <c r="K125" s="144">
        <f t="shared" ref="K125:AQ125" si="90">K106</f>
        <v>3085000</v>
      </c>
      <c r="L125" s="144">
        <f t="shared" si="90"/>
        <v>3620000</v>
      </c>
      <c r="M125" s="677">
        <f t="shared" si="90"/>
        <v>2088750</v>
      </c>
      <c r="N125" s="144">
        <f t="shared" si="90"/>
        <v>3640000</v>
      </c>
      <c r="O125" s="144">
        <f t="shared" si="90"/>
        <v>4625000</v>
      </c>
      <c r="P125" s="144">
        <f t="shared" si="90"/>
        <v>4100000</v>
      </c>
      <c r="Q125" s="144">
        <f t="shared" si="90"/>
        <v>4385000</v>
      </c>
      <c r="R125" s="677">
        <f t="shared" si="90"/>
        <v>4187500</v>
      </c>
      <c r="S125" s="144">
        <f t="shared" si="90"/>
        <v>4230000</v>
      </c>
      <c r="T125" s="144">
        <f t="shared" si="90"/>
        <v>4415000</v>
      </c>
      <c r="U125" s="144">
        <f t="shared" si="90"/>
        <v>3800000</v>
      </c>
      <c r="V125" s="144">
        <f t="shared" si="90"/>
        <v>4175000</v>
      </c>
      <c r="W125" s="677">
        <f t="shared" si="90"/>
        <v>4155000</v>
      </c>
      <c r="X125" s="144">
        <f t="shared" si="90"/>
        <v>3885000</v>
      </c>
      <c r="Y125" s="144">
        <f t="shared" si="90"/>
        <v>4145000</v>
      </c>
      <c r="Z125" s="144">
        <f t="shared" si="90"/>
        <v>3795000</v>
      </c>
      <c r="AA125" s="144">
        <f t="shared" si="90"/>
        <v>4267378.8636363642</v>
      </c>
      <c r="AB125" s="288">
        <f t="shared" si="90"/>
        <v>4023094.7159090908</v>
      </c>
      <c r="AC125" s="144">
        <f t="shared" si="90"/>
        <v>4098960</v>
      </c>
      <c r="AD125" s="144">
        <f t="shared" si="90"/>
        <v>4448450</v>
      </c>
      <c r="AE125" s="144">
        <f t="shared" si="90"/>
        <v>4061915</v>
      </c>
      <c r="AF125" s="144">
        <f t="shared" si="90"/>
        <v>4532720.2</v>
      </c>
      <c r="AG125" s="288">
        <f t="shared" si="90"/>
        <v>4285511.3</v>
      </c>
      <c r="AH125" s="144">
        <f t="shared" si="90"/>
        <v>4510215.0000000009</v>
      </c>
      <c r="AI125" s="144">
        <f t="shared" si="90"/>
        <v>4802850</v>
      </c>
      <c r="AJ125" s="144">
        <f t="shared" si="90"/>
        <v>4399447.5</v>
      </c>
      <c r="AK125" s="144">
        <f t="shared" si="90"/>
        <v>4963082.1300000008</v>
      </c>
      <c r="AL125" s="288">
        <f t="shared" si="90"/>
        <v>4668898.6575000007</v>
      </c>
      <c r="AM125" s="144">
        <f t="shared" si="90"/>
        <v>4735725.7499999991</v>
      </c>
      <c r="AN125" s="144">
        <f t="shared" si="90"/>
        <v>5042992.5</v>
      </c>
      <c r="AO125" s="144">
        <f t="shared" si="90"/>
        <v>4619419.875</v>
      </c>
      <c r="AP125" s="144">
        <f t="shared" si="90"/>
        <v>5211236.2365000015</v>
      </c>
      <c r="AQ125" s="678">
        <f t="shared" si="90"/>
        <v>4902343.5903750006</v>
      </c>
    </row>
    <row r="126" spans="2:45">
      <c r="B126" s="50" t="s">
        <v>692</v>
      </c>
      <c r="C126" s="148"/>
      <c r="D126" s="143"/>
      <c r="E126" s="143"/>
      <c r="F126" s="143"/>
      <c r="G126" s="143"/>
      <c r="H126" s="148"/>
      <c r="I126" s="143"/>
      <c r="J126" s="289">
        <f>J123/J125</f>
        <v>0.17616666666666667</v>
      </c>
      <c r="K126" s="289">
        <f t="shared" ref="K126:AQ126" si="91">K123/K125</f>
        <v>0.21839546191247974</v>
      </c>
      <c r="L126" s="289">
        <f t="shared" si="91"/>
        <v>0.22227900552486188</v>
      </c>
      <c r="M126" s="334">
        <f t="shared" si="91"/>
        <v>0.21173847995212447</v>
      </c>
      <c r="N126" s="289">
        <f t="shared" si="91"/>
        <v>0.21841346153846153</v>
      </c>
      <c r="O126" s="289">
        <f t="shared" si="91"/>
        <v>0.21185405405405405</v>
      </c>
      <c r="P126" s="289">
        <f t="shared" si="91"/>
        <v>0.20235975609756099</v>
      </c>
      <c r="Q126" s="289">
        <f t="shared" si="91"/>
        <v>0.23266818700114025</v>
      </c>
      <c r="R126" s="334">
        <f t="shared" si="91"/>
        <v>0.21640447761194029</v>
      </c>
      <c r="S126" s="289">
        <f t="shared" si="91"/>
        <v>0.24028368794326241</v>
      </c>
      <c r="T126" s="289">
        <f t="shared" si="91"/>
        <v>0.21277463193657983</v>
      </c>
      <c r="U126" s="289">
        <f t="shared" si="91"/>
        <v>0.27405921052631577</v>
      </c>
      <c r="V126" s="289">
        <f t="shared" si="91"/>
        <v>0.20840718562874253</v>
      </c>
      <c r="W126" s="334">
        <f t="shared" si="91"/>
        <v>0.23269103489771359</v>
      </c>
      <c r="X126" s="289">
        <f t="shared" si="91"/>
        <v>0.25914414414414416</v>
      </c>
      <c r="Y126" s="289">
        <f t="shared" si="91"/>
        <v>0.25775030156815443</v>
      </c>
      <c r="Z126" s="289">
        <f t="shared" si="91"/>
        <v>0.24347826086956523</v>
      </c>
      <c r="AA126" s="289">
        <f t="shared" si="91"/>
        <v>0.23046794155046096</v>
      </c>
      <c r="AB126" s="339">
        <f t="shared" si="91"/>
        <v>0.24748634470182165</v>
      </c>
      <c r="AC126" s="289">
        <f t="shared" si="91"/>
        <v>0.26262162172444714</v>
      </c>
      <c r="AD126" s="289">
        <f t="shared" si="91"/>
        <v>0.25820517252004049</v>
      </c>
      <c r="AE126" s="289">
        <f t="shared" si="91"/>
        <v>0.25166840240065674</v>
      </c>
      <c r="AF126" s="289">
        <f t="shared" si="91"/>
        <v>0.23711005888390527</v>
      </c>
      <c r="AG126" s="339">
        <f t="shared" si="91"/>
        <v>0.2521342981025359</v>
      </c>
      <c r="AH126" s="289">
        <f t="shared" si="91"/>
        <v>0.25201245806776634</v>
      </c>
      <c r="AI126" s="289">
        <f t="shared" si="91"/>
        <v>0.25022108714785296</v>
      </c>
      <c r="AJ126" s="289">
        <f t="shared" si="91"/>
        <v>0.237101497317705</v>
      </c>
      <c r="AK126" s="289">
        <f t="shared" si="91"/>
        <v>0.23191575209493864</v>
      </c>
      <c r="AL126" s="339">
        <f t="shared" si="91"/>
        <v>0.24269841583516483</v>
      </c>
      <c r="AM126" s="289">
        <f t="shared" si="91"/>
        <v>0.2520124580677664</v>
      </c>
      <c r="AN126" s="289">
        <f t="shared" si="91"/>
        <v>0.25022108714785285</v>
      </c>
      <c r="AO126" s="289">
        <f t="shared" si="91"/>
        <v>0.237101497317705</v>
      </c>
      <c r="AP126" s="289">
        <f t="shared" si="91"/>
        <v>0.23191575209493856</v>
      </c>
      <c r="AQ126" s="700">
        <f t="shared" si="91"/>
        <v>0.24269841583516472</v>
      </c>
    </row>
    <row r="127" spans="2:45">
      <c r="B127" s="104"/>
      <c r="C127" s="148"/>
      <c r="D127" s="143"/>
      <c r="E127" s="143"/>
      <c r="F127" s="143"/>
      <c r="G127" s="143"/>
      <c r="H127" s="148"/>
      <c r="I127" s="143"/>
      <c r="J127" s="143"/>
      <c r="K127" s="143"/>
      <c r="L127" s="143"/>
      <c r="M127" s="148"/>
      <c r="N127" s="143"/>
      <c r="O127" s="143"/>
      <c r="P127" s="143"/>
      <c r="Q127" s="143"/>
      <c r="R127" s="148"/>
      <c r="S127" s="143"/>
      <c r="T127" s="143"/>
      <c r="U127" s="143"/>
      <c r="V127" s="143"/>
      <c r="W127" s="148"/>
      <c r="X127" s="143"/>
      <c r="Y127" s="143"/>
      <c r="Z127" s="143"/>
      <c r="AA127" s="143"/>
      <c r="AB127" s="279"/>
      <c r="AC127" s="143"/>
      <c r="AD127" s="143"/>
      <c r="AE127" s="143"/>
      <c r="AF127" s="143"/>
      <c r="AG127" s="279"/>
      <c r="AH127" s="143"/>
      <c r="AI127" s="143"/>
      <c r="AJ127" s="143"/>
      <c r="AK127" s="143"/>
      <c r="AL127" s="279"/>
      <c r="AM127" s="143"/>
      <c r="AN127" s="143"/>
      <c r="AO127" s="143"/>
      <c r="AP127" s="143"/>
      <c r="AQ127" s="676"/>
    </row>
    <row r="128" spans="2:45" ht="15" thickBot="1">
      <c r="B128" s="708"/>
      <c r="C128" s="709"/>
      <c r="D128" s="709"/>
      <c r="E128" s="709"/>
      <c r="F128" s="709"/>
      <c r="G128" s="709"/>
      <c r="H128" s="709"/>
      <c r="I128" s="709"/>
      <c r="J128" s="709"/>
      <c r="K128" s="709"/>
      <c r="L128" s="709"/>
      <c r="M128" s="709"/>
      <c r="N128" s="709"/>
      <c r="O128" s="709"/>
      <c r="P128" s="709"/>
      <c r="Q128" s="709"/>
      <c r="R128" s="709"/>
      <c r="S128" s="709"/>
      <c r="T128" s="709"/>
      <c r="U128" s="709"/>
      <c r="V128" s="709"/>
      <c r="W128" s="709"/>
      <c r="X128" s="709"/>
      <c r="Y128" s="709"/>
      <c r="Z128" s="709"/>
      <c r="AA128" s="710"/>
      <c r="AB128" s="710"/>
      <c r="AC128" s="710"/>
      <c r="AD128" s="710"/>
      <c r="AE128" s="710"/>
      <c r="AF128" s="710"/>
      <c r="AG128" s="710"/>
      <c r="AH128" s="710"/>
      <c r="AI128" s="710"/>
      <c r="AJ128" s="710"/>
      <c r="AK128" s="710"/>
      <c r="AL128" s="710"/>
      <c r="AM128" s="710"/>
      <c r="AN128" s="710"/>
      <c r="AO128" s="710"/>
      <c r="AP128" s="710"/>
      <c r="AQ128" s="711"/>
    </row>
    <row r="139" spans="2:26" ht="15" thickBot="1"/>
    <row r="140" spans="2:26">
      <c r="B140" s="735" t="s">
        <v>641</v>
      </c>
      <c r="C140" s="669"/>
      <c r="D140" s="669"/>
      <c r="E140" s="669"/>
      <c r="F140" s="669"/>
      <c r="G140" s="669"/>
      <c r="H140" s="669"/>
      <c r="I140" s="669"/>
      <c r="J140" s="669"/>
      <c r="K140" s="669"/>
      <c r="L140" s="669"/>
      <c r="M140" s="669"/>
      <c r="N140" s="669"/>
      <c r="O140" s="669"/>
      <c r="P140" s="669"/>
      <c r="Q140" s="669"/>
      <c r="R140" s="669"/>
      <c r="S140" s="669"/>
      <c r="T140" s="669"/>
      <c r="U140" s="669"/>
      <c r="V140" s="669"/>
      <c r="W140" s="669"/>
      <c r="X140" s="669"/>
      <c r="Y140" s="669"/>
      <c r="Z140" s="736"/>
    </row>
    <row r="141" spans="2:26">
      <c r="B141" s="104" t="s">
        <v>638</v>
      </c>
      <c r="C141" s="677">
        <v>88.688999999999993</v>
      </c>
      <c r="D141" s="144">
        <v>26.5</v>
      </c>
      <c r="E141" s="144">
        <v>31.75</v>
      </c>
      <c r="F141" s="144">
        <v>29.8</v>
      </c>
      <c r="G141" s="144">
        <v>34.200000000000003</v>
      </c>
      <c r="H141" s="677">
        <v>122.396</v>
      </c>
      <c r="I141" s="144">
        <v>23.913</v>
      </c>
      <c r="J141" s="144">
        <v>9.4689999999999994</v>
      </c>
      <c r="K141" s="144">
        <v>21.181000000000001</v>
      </c>
      <c r="L141" s="144">
        <f>+M141-SUM(I141:K141)</f>
        <v>26.89</v>
      </c>
      <c r="M141" s="677">
        <v>81.453000000000003</v>
      </c>
      <c r="N141" s="144">
        <v>31.28</v>
      </c>
      <c r="O141" s="144">
        <v>42.66</v>
      </c>
      <c r="P141" s="144">
        <v>45.045999999999999</v>
      </c>
      <c r="Q141" s="144">
        <f>+R141-SUM(N141:P141)</f>
        <v>50.44</v>
      </c>
      <c r="R141" s="677">
        <v>169.42599999999999</v>
      </c>
      <c r="S141" s="144">
        <v>44.606000000000002</v>
      </c>
      <c r="T141" s="144">
        <v>75.353999999999999</v>
      </c>
      <c r="U141" s="144">
        <v>58.375</v>
      </c>
      <c r="V141" s="144">
        <f>+W141-SUM(S141:U141)</f>
        <v>64.907999999999987</v>
      </c>
      <c r="W141" s="677">
        <v>243.24299999999999</v>
      </c>
      <c r="X141" s="144">
        <v>52.978000000000002</v>
      </c>
      <c r="Y141" s="144">
        <v>63.643999999999998</v>
      </c>
      <c r="Z141" s="338">
        <v>51.7</v>
      </c>
    </row>
    <row r="142" spans="2:26">
      <c r="B142" s="104" t="s">
        <v>639</v>
      </c>
      <c r="C142" s="677">
        <v>17.358000000000001</v>
      </c>
      <c r="D142" s="144">
        <v>5.7000000000000028</v>
      </c>
      <c r="E142" s="144">
        <v>7.7999999999999972</v>
      </c>
      <c r="F142" s="144">
        <v>6.5203488372093057</v>
      </c>
      <c r="G142" s="144">
        <v>8.4046511627906959</v>
      </c>
      <c r="H142" s="677">
        <v>28.425000000000001</v>
      </c>
      <c r="I142" s="144">
        <v>6.8879999999999999</v>
      </c>
      <c r="J142" s="144">
        <v>2.0640000000000001</v>
      </c>
      <c r="K142" s="144">
        <v>8.0779999999999994</v>
      </c>
      <c r="L142" s="144">
        <v>6.1449999999999996</v>
      </c>
      <c r="M142" s="677">
        <v>23.175000000000001</v>
      </c>
      <c r="N142" s="144">
        <v>7.4710000000000001</v>
      </c>
      <c r="O142" s="144">
        <v>11.407999999999999</v>
      </c>
      <c r="P142" s="144">
        <v>12.611000000000001</v>
      </c>
      <c r="Q142" s="144">
        <v>15.469000000000005</v>
      </c>
      <c r="R142" s="677">
        <v>46.959000000000003</v>
      </c>
      <c r="S142" s="144">
        <v>17.908000000000001</v>
      </c>
      <c r="T142" s="144">
        <v>17.795999999999999</v>
      </c>
      <c r="U142" s="144">
        <v>15.307</v>
      </c>
      <c r="V142" s="144">
        <v>17.315999999999995</v>
      </c>
      <c r="W142" s="677">
        <v>68.326999999999998</v>
      </c>
      <c r="X142" s="144">
        <v>19.68</v>
      </c>
      <c r="Y142" s="144">
        <v>28.587</v>
      </c>
      <c r="Z142" s="338">
        <v>21.1</v>
      </c>
    </row>
    <row r="143" spans="2:26">
      <c r="B143" s="104" t="s">
        <v>640</v>
      </c>
      <c r="C143" s="677">
        <v>6.2629999999999999</v>
      </c>
      <c r="D143" s="144">
        <v>2.5</v>
      </c>
      <c r="E143" s="144">
        <v>2.75</v>
      </c>
      <c r="F143" s="144">
        <v>3.3</v>
      </c>
      <c r="G143" s="144">
        <v>7.3</v>
      </c>
      <c r="H143" s="677">
        <v>15.802</v>
      </c>
      <c r="I143" s="144">
        <v>1.7350000000000001</v>
      </c>
      <c r="J143" s="144">
        <v>2.5830000000000002</v>
      </c>
      <c r="K143" s="144">
        <v>5.3010000000000002</v>
      </c>
      <c r="L143" s="144">
        <v>4.8450000000000006</v>
      </c>
      <c r="M143" s="677">
        <v>14.464</v>
      </c>
      <c r="N143" s="144">
        <v>8.7910000000000004</v>
      </c>
      <c r="O143" s="144">
        <v>12.44</v>
      </c>
      <c r="P143" s="144">
        <v>10.49</v>
      </c>
      <c r="Q143" s="144">
        <v>11.979999999999997</v>
      </c>
      <c r="R143" s="677">
        <v>43.701000000000001</v>
      </c>
      <c r="S143" s="144">
        <v>12.901</v>
      </c>
      <c r="T143" s="144">
        <v>10.385999999999999</v>
      </c>
      <c r="U143" s="144">
        <v>15.11</v>
      </c>
      <c r="V143" s="144">
        <v>15.908999999999999</v>
      </c>
      <c r="W143" s="677">
        <v>54.305999999999997</v>
      </c>
      <c r="X143" s="144">
        <v>13.62</v>
      </c>
      <c r="Y143" s="144">
        <v>25.248000000000001</v>
      </c>
      <c r="Z143" s="338">
        <v>24.7</v>
      </c>
    </row>
    <row r="144" spans="2:26">
      <c r="B144" s="104" t="s">
        <v>642</v>
      </c>
      <c r="C144" s="677">
        <f>C141+C142+C143</f>
        <v>112.31</v>
      </c>
      <c r="D144" s="144">
        <f t="shared" ref="D144:Z144" si="92">D141+D142+D143</f>
        <v>34.700000000000003</v>
      </c>
      <c r="E144" s="144">
        <f t="shared" si="92"/>
        <v>42.3</v>
      </c>
      <c r="F144" s="144">
        <f t="shared" si="92"/>
        <v>39.620348837209306</v>
      </c>
      <c r="G144" s="144">
        <f t="shared" si="92"/>
        <v>49.904651162790699</v>
      </c>
      <c r="H144" s="677">
        <f t="shared" si="92"/>
        <v>166.62299999999999</v>
      </c>
      <c r="I144" s="144">
        <f t="shared" si="92"/>
        <v>32.536000000000001</v>
      </c>
      <c r="J144" s="144">
        <f t="shared" si="92"/>
        <v>14.116</v>
      </c>
      <c r="K144" s="144">
        <f t="shared" si="92"/>
        <v>34.56</v>
      </c>
      <c r="L144" s="144">
        <f t="shared" si="92"/>
        <v>37.879999999999995</v>
      </c>
      <c r="M144" s="677">
        <f t="shared" si="92"/>
        <v>119.092</v>
      </c>
      <c r="N144" s="144">
        <f t="shared" si="92"/>
        <v>47.542000000000002</v>
      </c>
      <c r="O144" s="144">
        <f t="shared" si="92"/>
        <v>66.507999999999996</v>
      </c>
      <c r="P144" s="144">
        <f t="shared" si="92"/>
        <v>68.146999999999991</v>
      </c>
      <c r="Q144" s="144">
        <f t="shared" si="92"/>
        <v>77.88900000000001</v>
      </c>
      <c r="R144" s="677">
        <f t="shared" si="92"/>
        <v>260.08600000000001</v>
      </c>
      <c r="S144" s="144">
        <f t="shared" si="92"/>
        <v>75.415000000000006</v>
      </c>
      <c r="T144" s="144">
        <f t="shared" si="92"/>
        <v>103.536</v>
      </c>
      <c r="U144" s="144">
        <f t="shared" si="92"/>
        <v>88.792000000000002</v>
      </c>
      <c r="V144" s="144">
        <f t="shared" si="92"/>
        <v>98.132999999999981</v>
      </c>
      <c r="W144" s="677">
        <f t="shared" si="92"/>
        <v>365.87599999999998</v>
      </c>
      <c r="X144" s="144">
        <f t="shared" si="92"/>
        <v>86.278000000000006</v>
      </c>
      <c r="Y144" s="144">
        <f t="shared" si="92"/>
        <v>117.479</v>
      </c>
      <c r="Z144" s="338">
        <f t="shared" si="92"/>
        <v>97.500000000000014</v>
      </c>
    </row>
    <row r="145" spans="2:26">
      <c r="B145" s="104"/>
      <c r="C145" s="148"/>
      <c r="D145" s="143"/>
      <c r="E145" s="143"/>
      <c r="F145" s="143"/>
      <c r="G145" s="143"/>
      <c r="H145" s="148"/>
      <c r="I145" s="143"/>
      <c r="J145" s="143"/>
      <c r="K145" s="143"/>
      <c r="L145" s="143"/>
      <c r="M145" s="148"/>
      <c r="N145" s="143"/>
      <c r="O145" s="143"/>
      <c r="P145" s="143"/>
      <c r="Q145" s="143"/>
      <c r="R145" s="148"/>
      <c r="S145" s="143"/>
      <c r="T145" s="143"/>
      <c r="U145" s="143"/>
      <c r="V145" s="143"/>
      <c r="W145" s="148"/>
      <c r="X145" s="143"/>
      <c r="Y145" s="143"/>
      <c r="Z145" s="145"/>
    </row>
    <row r="146" spans="2:26" ht="15" thickBot="1">
      <c r="B146" s="708"/>
      <c r="C146" s="709"/>
      <c r="D146" s="709"/>
      <c r="E146" s="709"/>
      <c r="F146" s="709"/>
      <c r="G146" s="709"/>
      <c r="H146" s="709"/>
      <c r="I146" s="709"/>
      <c r="J146" s="709"/>
      <c r="K146" s="709"/>
      <c r="L146" s="709"/>
      <c r="M146" s="709"/>
      <c r="N146" s="709"/>
      <c r="O146" s="709"/>
      <c r="P146" s="709"/>
      <c r="Q146" s="709"/>
      <c r="R146" s="709"/>
      <c r="S146" s="709"/>
      <c r="T146" s="709"/>
      <c r="U146" s="709"/>
      <c r="V146" s="709"/>
      <c r="W146" s="709"/>
      <c r="X146" s="709"/>
      <c r="Y146" s="709"/>
      <c r="Z146" s="737"/>
    </row>
  </sheetData>
  <pageMargins left="0.7" right="0.7" top="0.75" bottom="0.75" header="0.3" footer="0.3"/>
  <pageSetup orientation="portrait" verticalDpi="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63461-A259-4053-9A12-33639F5FD307}">
  <sheetPr codeName="Sheet4"/>
  <dimension ref="A1:DA26"/>
  <sheetViews>
    <sheetView showGridLines="0" workbookViewId="0">
      <selection activeCell="W9" sqref="W9"/>
    </sheetView>
  </sheetViews>
  <sheetFormatPr defaultRowHeight="14.5" outlineLevelRow="1" outlineLevelCol="1"/>
  <cols>
    <col min="1" max="1" width="4.6328125" style="56" customWidth="1"/>
    <col min="2" max="2" width="22.36328125" customWidth="1"/>
    <col min="3" max="3" width="1.54296875" style="56" customWidth="1"/>
    <col min="4" max="4" width="8.7265625" style="56"/>
    <col min="5" max="5" width="2.90625" style="56" customWidth="1"/>
    <col min="6" max="6" width="13" style="56" customWidth="1"/>
    <col min="7" max="7" width="4.26953125" style="56" customWidth="1"/>
    <col min="8" max="8" width="8.7265625" style="56"/>
    <col min="9" max="9" width="4.26953125" style="56" customWidth="1"/>
    <col min="10" max="10" width="11" style="56" customWidth="1"/>
    <col min="11" max="11" width="4.26953125" style="56" customWidth="1"/>
    <col min="12" max="12" width="12.26953125" style="56" customWidth="1"/>
    <col min="13" max="13" width="4.26953125" style="56" customWidth="1"/>
    <col min="14" max="14" width="8.7265625" style="56"/>
    <col min="15" max="15" width="4.26953125" style="56" customWidth="1"/>
    <col min="16" max="16" width="8.7265625" style="56"/>
    <col min="17" max="17" width="1.90625" style="56" customWidth="1"/>
    <col min="18" max="19" width="8.7265625" style="56"/>
    <col min="20" max="20" width="14.26953125" style="56" customWidth="1"/>
    <col min="21" max="21" width="8.7265625" style="56" hidden="1" customWidth="1"/>
    <col min="22" max="22" width="8.7265625" style="56"/>
    <col min="23" max="23" width="1.453125" style="56" customWidth="1"/>
    <col min="24" max="24" width="8.7265625" style="56"/>
    <col min="25" max="25" width="2.453125" style="56" customWidth="1"/>
    <col min="26" max="26" width="13.36328125" style="56" customWidth="1"/>
    <col min="27" max="27" width="2.81640625" style="56" customWidth="1"/>
    <col min="28" max="29" width="8.7265625" style="56" hidden="1" customWidth="1" outlineLevel="1"/>
    <col min="30" max="30" width="8.7265625" style="56" collapsed="1"/>
    <col min="31" max="32" width="8.7265625" style="56"/>
    <col min="33" max="33" width="11" style="56" customWidth="1"/>
    <col min="34" max="44" width="8.7265625" style="56"/>
    <col min="45" max="45" width="10.36328125" style="56" bestFit="1" customWidth="1"/>
    <col min="46" max="64" width="8.7265625" style="56"/>
    <col min="65" max="65" width="10.7265625" style="56" bestFit="1" customWidth="1"/>
    <col min="66" max="16384" width="8.7265625" style="56"/>
  </cols>
  <sheetData>
    <row r="1" spans="1:105" s="102" customFormat="1" ht="18.5">
      <c r="B1" s="653" t="s">
        <v>839</v>
      </c>
      <c r="C1" s="654"/>
      <c r="D1" s="654"/>
      <c r="E1" s="654"/>
      <c r="F1" s="654"/>
      <c r="G1" s="654"/>
      <c r="H1" s="654"/>
      <c r="I1" s="654"/>
      <c r="J1" s="654"/>
      <c r="K1" s="654"/>
      <c r="L1" s="654"/>
      <c r="M1" s="654"/>
      <c r="N1" s="654"/>
      <c r="O1" s="654"/>
      <c r="P1" s="654"/>
      <c r="Q1" s="654"/>
      <c r="R1" s="654"/>
      <c r="S1" s="654"/>
      <c r="T1" s="654"/>
      <c r="U1" s="654"/>
      <c r="V1" s="654"/>
      <c r="W1" s="654"/>
      <c r="X1" s="654"/>
      <c r="Y1" s="654"/>
      <c r="Z1" s="655"/>
      <c r="AA1" s="322"/>
      <c r="AB1" s="322"/>
      <c r="AC1" s="323"/>
      <c r="AD1" s="324"/>
      <c r="AE1" s="324"/>
    </row>
    <row r="2" spans="1:105">
      <c r="B2" s="104"/>
      <c r="C2" s="131"/>
      <c r="D2" s="131"/>
      <c r="E2" s="131"/>
      <c r="F2" s="131"/>
      <c r="G2" s="131"/>
      <c r="H2" s="131"/>
      <c r="I2" s="131"/>
      <c r="J2" s="131"/>
      <c r="K2" s="131"/>
      <c r="L2" s="131"/>
      <c r="M2" s="131"/>
      <c r="N2" s="131"/>
      <c r="O2" s="131"/>
      <c r="P2" s="131"/>
      <c r="Q2" s="131"/>
      <c r="R2" s="131"/>
      <c r="S2" s="131" t="s">
        <v>515</v>
      </c>
      <c r="T2" s="131"/>
      <c r="U2" s="131"/>
      <c r="V2" s="131"/>
      <c r="W2" s="131"/>
      <c r="X2" s="131"/>
      <c r="Y2" s="131"/>
      <c r="Z2" s="103"/>
      <c r="AA2" s="131"/>
      <c r="AB2" s="131"/>
      <c r="AC2" s="131"/>
      <c r="AD2" s="131"/>
      <c r="AE2" s="131"/>
    </row>
    <row r="3" spans="1:105" ht="34.5" customHeight="1">
      <c r="B3" s="105"/>
      <c r="C3" s="132"/>
      <c r="D3" s="132"/>
      <c r="E3" s="132"/>
      <c r="F3" s="132" t="s">
        <v>59</v>
      </c>
      <c r="G3" s="132"/>
      <c r="H3" s="132" t="s">
        <v>65</v>
      </c>
      <c r="I3" s="132"/>
      <c r="J3" s="132" t="s">
        <v>66</v>
      </c>
      <c r="K3" s="132"/>
      <c r="L3" s="132" t="s">
        <v>67</v>
      </c>
      <c r="M3" s="131"/>
      <c r="N3" s="132" t="s">
        <v>68</v>
      </c>
      <c r="O3" s="131"/>
      <c r="P3" s="132" t="s">
        <v>69</v>
      </c>
      <c r="Q3" s="131"/>
      <c r="R3" s="131"/>
      <c r="S3" s="132" t="s">
        <v>70</v>
      </c>
      <c r="T3" s="132" t="s">
        <v>71</v>
      </c>
      <c r="U3" s="131"/>
      <c r="V3" s="132" t="s">
        <v>69</v>
      </c>
      <c r="W3" s="131"/>
      <c r="X3" s="131"/>
      <c r="Y3" s="131"/>
      <c r="Z3" s="401" t="s">
        <v>72</v>
      </c>
      <c r="AA3" s="132"/>
      <c r="AB3" s="325" t="s">
        <v>73</v>
      </c>
      <c r="AC3" s="131"/>
      <c r="AD3" s="131"/>
      <c r="AE3" s="131"/>
      <c r="AG3" s="56" t="s">
        <v>74</v>
      </c>
      <c r="AI3" s="56" t="s">
        <v>55</v>
      </c>
      <c r="AJ3" s="56" t="s">
        <v>75</v>
      </c>
      <c r="AN3" s="56" t="s">
        <v>76</v>
      </c>
      <c r="AR3" s="106" t="s">
        <v>77</v>
      </c>
      <c r="AS3" s="106"/>
      <c r="AU3" s="106" t="s">
        <v>78</v>
      </c>
      <c r="AV3" s="106"/>
      <c r="AW3" s="106"/>
      <c r="AX3" s="106"/>
      <c r="AY3" s="106"/>
      <c r="BA3" s="106" t="s">
        <v>79</v>
      </c>
      <c r="BB3" s="106"/>
      <c r="BC3" s="106"/>
      <c r="BD3" s="106"/>
      <c r="BE3" s="106"/>
      <c r="BG3" s="106" t="s">
        <v>56</v>
      </c>
      <c r="BH3" s="106"/>
      <c r="BI3" s="106"/>
      <c r="BJ3" s="106"/>
      <c r="BL3" s="106"/>
      <c r="BO3" s="106" t="s">
        <v>64</v>
      </c>
      <c r="BP3" s="106"/>
      <c r="BQ3" s="106"/>
      <c r="BR3" s="106"/>
      <c r="BT3" s="106"/>
      <c r="BW3" s="106" t="s">
        <v>80</v>
      </c>
      <c r="BX3" s="106"/>
      <c r="BY3" s="106"/>
      <c r="BZ3" s="106"/>
      <c r="CB3" s="106"/>
      <c r="CE3" s="656" t="s">
        <v>81</v>
      </c>
      <c r="CF3" s="656"/>
      <c r="CG3" s="656"/>
      <c r="CH3" s="656"/>
      <c r="CI3" s="656"/>
      <c r="CJ3" s="656"/>
      <c r="CK3" s="656"/>
      <c r="CM3" s="106" t="s">
        <v>82</v>
      </c>
      <c r="CN3" s="106"/>
      <c r="CO3" s="106"/>
      <c r="CP3" s="106"/>
      <c r="CR3" s="106"/>
      <c r="CU3" s="106" t="s">
        <v>83</v>
      </c>
      <c r="CV3" s="106"/>
      <c r="CW3" s="106"/>
      <c r="CX3" s="106"/>
      <c r="CZ3" s="106"/>
    </row>
    <row r="4" spans="1:105">
      <c r="B4" s="105" t="s">
        <v>84</v>
      </c>
      <c r="C4" s="132"/>
      <c r="D4" s="132" t="s">
        <v>85</v>
      </c>
      <c r="E4" s="132"/>
      <c r="F4" s="326">
        <f ca="1">TODAY()</f>
        <v>45249</v>
      </c>
      <c r="G4" s="132"/>
      <c r="H4" s="132" t="s">
        <v>86</v>
      </c>
      <c r="I4" s="132"/>
      <c r="J4" s="132" t="s">
        <v>87</v>
      </c>
      <c r="K4" s="132"/>
      <c r="L4" s="132" t="s">
        <v>88</v>
      </c>
      <c r="M4" s="131"/>
      <c r="N4" s="132" t="s">
        <v>64</v>
      </c>
      <c r="O4" s="131"/>
      <c r="P4" s="132" t="s">
        <v>89</v>
      </c>
      <c r="Q4" s="132"/>
      <c r="R4" s="132" t="s">
        <v>90</v>
      </c>
      <c r="S4" s="132" t="s">
        <v>80</v>
      </c>
      <c r="T4" s="132" t="s">
        <v>91</v>
      </c>
      <c r="U4" s="131"/>
      <c r="V4" s="132" t="s">
        <v>89</v>
      </c>
      <c r="W4" s="132"/>
      <c r="X4" s="132" t="s">
        <v>90</v>
      </c>
      <c r="Y4" s="131"/>
      <c r="Z4" s="402" t="s">
        <v>56</v>
      </c>
      <c r="AA4" s="132"/>
      <c r="AB4" s="132">
        <v>2023</v>
      </c>
      <c r="AC4" s="131"/>
      <c r="AD4" s="131"/>
      <c r="AE4" s="131"/>
      <c r="AG4" s="106" t="s">
        <v>92</v>
      </c>
      <c r="AI4" s="106" t="s">
        <v>93</v>
      </c>
      <c r="AJ4" s="106" t="s">
        <v>93</v>
      </c>
      <c r="AL4" s="106" t="s">
        <v>94</v>
      </c>
      <c r="AN4" s="106" t="s">
        <v>95</v>
      </c>
      <c r="AP4" s="106" t="s">
        <v>52</v>
      </c>
      <c r="AR4" s="107" t="s">
        <v>80</v>
      </c>
      <c r="AS4" s="108" t="s">
        <v>64</v>
      </c>
      <c r="AU4" s="108" t="s">
        <v>96</v>
      </c>
      <c r="AV4" s="108"/>
      <c r="AW4" s="108" t="s">
        <v>97</v>
      </c>
      <c r="AX4" s="108"/>
      <c r="AY4" s="108" t="s">
        <v>98</v>
      </c>
      <c r="BA4" s="108" t="s">
        <v>96</v>
      </c>
      <c r="BB4" s="108"/>
      <c r="BC4" s="108" t="s">
        <v>97</v>
      </c>
      <c r="BD4" s="108"/>
      <c r="BE4" s="108" t="s">
        <v>98</v>
      </c>
      <c r="BG4" s="107">
        <v>2020</v>
      </c>
      <c r="BH4" s="108"/>
      <c r="BI4" s="108">
        <v>2021</v>
      </c>
      <c r="BJ4" s="108"/>
      <c r="BK4" s="108">
        <v>2022</v>
      </c>
      <c r="BL4" s="108"/>
      <c r="BM4" s="108">
        <v>2023</v>
      </c>
      <c r="BO4" s="107">
        <v>2020</v>
      </c>
      <c r="BP4" s="108"/>
      <c r="BQ4" s="108">
        <v>2021</v>
      </c>
      <c r="BR4" s="108"/>
      <c r="BS4" s="108">
        <v>2022</v>
      </c>
      <c r="BT4" s="108"/>
      <c r="BU4" s="108">
        <v>2023</v>
      </c>
      <c r="BW4" s="107">
        <v>2020</v>
      </c>
      <c r="BX4" s="108"/>
      <c r="BY4" s="108">
        <v>2021</v>
      </c>
      <c r="BZ4" s="108"/>
      <c r="CA4" s="108">
        <v>2022</v>
      </c>
      <c r="CB4" s="108"/>
      <c r="CC4" s="108">
        <v>2023</v>
      </c>
      <c r="CE4" s="107">
        <v>2020</v>
      </c>
      <c r="CF4" s="108"/>
      <c r="CG4" s="108">
        <v>2021</v>
      </c>
      <c r="CH4" s="108"/>
      <c r="CI4" s="108">
        <v>2022</v>
      </c>
      <c r="CJ4" s="108"/>
      <c r="CK4" s="108">
        <v>2023</v>
      </c>
      <c r="CM4" s="107">
        <v>2020</v>
      </c>
      <c r="CN4" s="108"/>
      <c r="CO4" s="108">
        <v>2021</v>
      </c>
      <c r="CP4" s="108"/>
      <c r="CQ4" s="108">
        <v>2022</v>
      </c>
      <c r="CR4" s="108"/>
      <c r="CS4" s="108">
        <v>2023</v>
      </c>
      <c r="CU4" s="107">
        <v>2020</v>
      </c>
      <c r="CV4" s="108"/>
      <c r="CW4" s="108">
        <v>2021</v>
      </c>
      <c r="CX4" s="108"/>
      <c r="CY4" s="108">
        <v>2022</v>
      </c>
      <c r="CZ4" s="108"/>
      <c r="DA4" s="108">
        <v>2023</v>
      </c>
    </row>
    <row r="5" spans="1:105" ht="6" customHeight="1" thickBot="1">
      <c r="B5" s="104"/>
      <c r="C5" s="131"/>
      <c r="D5" s="131"/>
      <c r="E5" s="131"/>
      <c r="F5" s="131"/>
      <c r="G5" s="131"/>
      <c r="H5" s="131"/>
      <c r="I5" s="131"/>
      <c r="J5" s="131"/>
      <c r="K5" s="131"/>
      <c r="L5" s="131"/>
      <c r="M5" s="131"/>
      <c r="N5" s="131"/>
      <c r="O5" s="131"/>
      <c r="P5" s="131"/>
      <c r="Q5" s="131"/>
      <c r="R5" s="131"/>
      <c r="S5" s="131"/>
      <c r="T5" s="131"/>
      <c r="U5" s="131"/>
      <c r="V5" s="131"/>
      <c r="W5" s="131"/>
      <c r="X5" s="131"/>
      <c r="Y5" s="131"/>
      <c r="Z5" s="103"/>
      <c r="AA5" s="131"/>
      <c r="AB5" s="131"/>
      <c r="AC5" s="131"/>
      <c r="AD5" s="131"/>
      <c r="AE5" s="131"/>
    </row>
    <row r="6" spans="1:105" s="57" customFormat="1">
      <c r="B6" s="341" t="s">
        <v>840</v>
      </c>
      <c r="C6" s="342">
        <v>1</v>
      </c>
      <c r="D6" s="342" t="s">
        <v>294</v>
      </c>
      <c r="E6" s="342"/>
      <c r="F6" s="343">
        <f>'cover&amp;variance'!K17</f>
        <v>5.364501983662441</v>
      </c>
      <c r="G6" s="342"/>
      <c r="H6" s="344">
        <f ca="1">F6/AG6</f>
        <v>0.39156948785857237</v>
      </c>
      <c r="I6" s="342"/>
      <c r="J6" s="345">
        <f>+F6*AI6</f>
        <v>704.18100898902082</v>
      </c>
      <c r="K6" s="342"/>
      <c r="L6" s="345">
        <f>+J6+AL6+AN6-AP6</f>
        <v>896.86800898902084</v>
      </c>
      <c r="M6" s="342"/>
      <c r="N6" s="346">
        <f>'cover&amp;variance'!L14</f>
        <v>12</v>
      </c>
      <c r="O6" s="342"/>
      <c r="P6" s="398"/>
      <c r="Q6" s="399"/>
      <c r="R6" s="398"/>
      <c r="S6" s="346"/>
      <c r="T6" s="346">
        <f>'cover&amp;variance'!L5</f>
        <v>3.4</v>
      </c>
      <c r="U6" s="342"/>
      <c r="V6" s="396"/>
      <c r="W6" s="397"/>
      <c r="X6" s="396"/>
      <c r="Y6" s="342"/>
      <c r="Z6" s="400"/>
      <c r="AA6" s="133"/>
      <c r="AB6" s="133">
        <f t="shared" ref="AB6" si="0">+BU6/BM6</f>
        <v>0.26782334528621182</v>
      </c>
      <c r="AC6" s="132"/>
      <c r="AD6" s="132"/>
      <c r="AE6" s="132"/>
      <c r="AG6" s="109">
        <f ca="1">_xll.BDP($D6&amp;" Equity","INTERVAL_HIGH","CALC_INTERVAL=52W","END_DATE_OVERRIDE",TEXT($F$4,"YYYYMMDD"))</f>
        <v>13.7</v>
      </c>
      <c r="AH6" s="110"/>
      <c r="AI6" s="111">
        <f>_xll.BDP($D6&amp;" Equity","EQY_SH_OUT")</f>
        <v>131.26679999999999</v>
      </c>
      <c r="AJ6" s="111">
        <f>_xll.BDP($D6&amp;" Equity","BS_SH_OUT")</f>
        <v>132.21469500000001</v>
      </c>
      <c r="AK6" s="110"/>
      <c r="AL6" s="112">
        <f>_xll.BDP($D6&amp;" Equity","SHORT_AND_LONG_TERM_DEBT", "FUND_PER=Q")</f>
        <v>752.13099999999997</v>
      </c>
      <c r="AM6" s="110"/>
      <c r="AN6" s="112">
        <f>(_xll.BDP($D6&amp;" Equity","BS_PFD_EQY", "FUND_PER=Q"))+(_xll.BDP($D6&amp;" Equity","MINORITY_NONCONTROLLING_INTEREST", "FUND_PER=Q"))</f>
        <v>0</v>
      </c>
      <c r="AO6" s="110"/>
      <c r="AP6" s="112">
        <f>_xll.BDP($D6&amp;" Equity","CASH_AND_MARKETABLE_SECURITIES", "FUND_PER=Q")</f>
        <v>559.44399999999996</v>
      </c>
      <c r="AQ6" s="110"/>
      <c r="AR6" s="113" t="e">
        <f>'cover&amp;variance'!#REF!</f>
        <v>#REF!</v>
      </c>
      <c r="AS6" s="114">
        <f>'cover&amp;variance'!J14</f>
        <v>97.554048332461974</v>
      </c>
      <c r="AT6" s="110"/>
      <c r="AU6" s="115">
        <f>_xll.BDP($D6&amp;" Equity","INTERVAL_AVG", "MARKET_DATA_OVERRIDE=BEST_CUR_EV_TO_EBITDA", "BEST_FPERIOD_OVERRIDE=1TY ", "CALC_INTERVAL=1Y ")</f>
        <v>14.924800676453803</v>
      </c>
      <c r="AV6" s="110"/>
      <c r="AW6" s="115">
        <f>_xll.BDP($D6&amp;" Equity","INTERVAL_AVG", "MARKET_DATA_OVERRIDE=BEST_CUR_EV_TO_EBITDA", "BEST_FPERIOD_OVERRIDE=1TY ", "CALC_INTERVAL=2Y ")</f>
        <v>27.799454099989056</v>
      </c>
      <c r="AX6" s="110"/>
      <c r="AY6" s="115">
        <f>_xll.BDP($D6&amp;" Equity","INTERVAL_AVG", "MARKET_DATA_OVERRIDE=BEST_CUR_EV_TO_EBITDA", "BEST_FPERIOD_OVERRIDE=1TY ", "CALC_INTERVAL=5Y ")</f>
        <v>38.811945039601724</v>
      </c>
      <c r="AZ6" s="110"/>
      <c r="BA6" s="115">
        <f>_xll.BDP($D6&amp;" Equity","INTERVAL_AVG", "MARKET_DATA_OVERRIDE=BEST_PE_RATIO", "BEST_FPERIOD_OVERRIDE=1TY ", "CALC_INTERVAL=1Y ")</f>
        <v>34.821604331666414</v>
      </c>
      <c r="BB6" s="110"/>
      <c r="BC6" s="115">
        <f>_xll.BDP($D6&amp;" Equity","INTERVAL_AVG", "MARKET_DATA_OVERRIDE=BEST_PE_RATIO", "BEST_FPERIOD_OVERRIDE=1TY ", "CALC_INTERVAL=2Y ")</f>
        <v>122.41608622712032</v>
      </c>
      <c r="BD6" s="110"/>
      <c r="BE6" s="115">
        <f>_xll.BDP($D6&amp;" Equity","INTERVAL_AVG", "MARKET_DATA_OVERRIDE=BEST_PE_RATIO", "BEST_FPERIOD_OVERRIDE=1TY ", "CALC_INTERVAL=5Y ")</f>
        <v>188.7492145822022</v>
      </c>
      <c r="BF6" s="110"/>
      <c r="BG6" s="112" t="str">
        <f>_xll.BDP($D6&amp;" Equity","BEST_SALES", "BEST_FPERIOD_OVERRIDE=20BC")</f>
        <v>#N/A N/A</v>
      </c>
      <c r="BH6" s="110"/>
      <c r="BI6" s="112">
        <f>_xll.BDP($D6&amp;" Equity","BEST_SALES", "BEST_FPERIOD_OVERRIDE=21BC")</f>
        <v>260.08600000000001</v>
      </c>
      <c r="BJ6" s="110"/>
      <c r="BK6" s="112">
        <f>_xll.BDP($D6&amp;" Equity","BEST_SALES", "BEST_FPERIOD_OVERRIDE=22BC")</f>
        <v>365.87599999999998</v>
      </c>
      <c r="BL6" s="110"/>
      <c r="BM6" s="114">
        <f>'cover&amp;variance'!AJ8</f>
        <v>364.24774034619713</v>
      </c>
      <c r="BN6" s="110"/>
      <c r="BO6" s="112" t="str">
        <f>_xll.BDP($D6&amp;" Equity","BEST_EBITDA", "BEST_FPERIOD_OVERRIDE=20BC")</f>
        <v>#N/A N/A</v>
      </c>
      <c r="BP6" s="110"/>
      <c r="BQ6" s="112">
        <f>_xll.BDP($D6&amp;" Equity","BEST_EBITDA", "BEST_FPERIOD_OVERRIDE=21BC")</f>
        <v>32.701000000000001</v>
      </c>
      <c r="BR6" s="110"/>
      <c r="BS6" s="112">
        <f>_xll.BDP($D6&amp;" Equity","BEST_EBITDA", "BEST_FPERIOD_OVERRIDE=22BC")</f>
        <v>47.661999999999999</v>
      </c>
      <c r="BT6" s="110"/>
      <c r="BU6" s="114">
        <f>AS6</f>
        <v>97.554048332461974</v>
      </c>
      <c r="BV6" s="110"/>
      <c r="BW6" s="109" t="str">
        <f>_xll.BDP($D6&amp;" Equity","BEST_EPS", "BEST_FPERIOD_OVERRIDE=20BC")</f>
        <v>#N/A N/A</v>
      </c>
      <c r="BX6" s="110"/>
      <c r="BY6" s="109">
        <f>_xll.BDP($D6&amp;" Equity","BEST_EPS", "BEST_FPERIOD_OVERRIDE=21BC")</f>
        <v>-3.0078309999999999</v>
      </c>
      <c r="BZ6" s="110"/>
      <c r="CA6" s="109">
        <f>_xll.BDP($D6&amp;" Equity","BEST_EPS", "BEST_FPERIOD_OVERRIDE=22BC")</f>
        <v>6.1276999999999998E-2</v>
      </c>
      <c r="CB6" s="110"/>
      <c r="CC6" s="109">
        <f>[1]tower!AF95</f>
        <v>0</v>
      </c>
      <c r="CE6" s="116" t="e">
        <f>(_xll.BDP($D6&amp;" Equity","ORGANIC_GROWTH", "EQY_FUND_YEAR=2020"))/100</f>
        <v>#VALUE!</v>
      </c>
      <c r="CF6" s="116"/>
      <c r="CG6" s="116" t="e">
        <f>(_xll.BDP($D6&amp;" Equity","ORGANIC_GROWTH", "EQY_FUND_YEAR=2021"))/100</f>
        <v>#VALUE!</v>
      </c>
      <c r="CH6" s="116"/>
      <c r="CI6" s="116" t="e">
        <f>(_xll.BDP($D6&amp;" Equity","ORGANIC_GROWTH", "EQY_FUND_YEAR=2022"))/100</f>
        <v>#VALUE!</v>
      </c>
      <c r="CJ6" s="116"/>
      <c r="CK6" s="116" t="e">
        <f>(_xll.BDP($D6&amp;" Equity","ORGANIC_GROWTH", "EQY_FUND_RELATIVE_PERIOD=-0FY"))/100</f>
        <v>#VALUE!</v>
      </c>
      <c r="CM6" s="109" t="str">
        <f>_xll.BDP($D6&amp;" Equity","IS_ADJ_EBIT_OP_INC_AS_REPORTED", "EQY_FUND_YEAR="&amp;CM$4)</f>
        <v>#N/A N/A</v>
      </c>
      <c r="CN6" s="110"/>
      <c r="CO6" s="109" t="str">
        <f>_xll.BDP($D6&amp;" Equity","IS_ADJ_EBIT_OP_INC_AS_REPORTED", "EQY_FUND_YEAR="&amp;CO$4)</f>
        <v>#N/A N/A</v>
      </c>
      <c r="CP6" s="110"/>
      <c r="CQ6" s="109" t="str">
        <f>_xll.BDP($D6&amp;" Equity","IS_ADJ_EBIT_OP_INC_AS_REPORTED", "EQY_FUND_YEAR="&amp;CQ$4)</f>
        <v>#N/A N/A</v>
      </c>
      <c r="CR6" s="110"/>
      <c r="CS6" s="109" t="str">
        <f>_xll.BDP($D6&amp;" Equity","IS_ADJ_EBIT_OP_INC_AS_REPORTED", "EQY_FUND_YEAR=-0FY")</f>
        <v>#N/A N/A</v>
      </c>
      <c r="CU6" s="109" t="str">
        <f>_xll.BDP($D6&amp;" Equity","IS_ADJUSTED_EPS_AS_REPORTED", "EQY_FUND_YEAR="&amp;CU$4)</f>
        <v>#N/A N/A</v>
      </c>
      <c r="CV6" s="110"/>
      <c r="CW6" s="109" t="str">
        <f>_xll.BDP($D6&amp;" Equity","IS_ADJUSTED_EPS_AS_REPORTED", "EQY_FUND_YEAR="&amp;CW$4)</f>
        <v>#N/A N/A</v>
      </c>
      <c r="CX6" s="110"/>
      <c r="CY6" s="109" t="str">
        <f>_xll.BDP($D6&amp;" Equity","IS_ADJUSTED_EPS_AS_REPORTED", "EQY_FUND_YEAR="&amp;CY$4)</f>
        <v>#N/A N/A</v>
      </c>
      <c r="CZ6" s="110"/>
      <c r="DA6" s="109" t="str">
        <f>_xll.BDP($D6&amp;" Equity","IS_ADJUSTED_EPS_AS_REPORTED", "EQY_FUND_YEAR=-0FY")</f>
        <v>#N/A N/A</v>
      </c>
    </row>
    <row r="7" spans="1:105">
      <c r="B7" s="104" t="s">
        <v>841</v>
      </c>
      <c r="C7" s="131"/>
      <c r="D7" s="131" t="s">
        <v>294</v>
      </c>
      <c r="E7" s="131"/>
      <c r="F7" s="134" cm="1">
        <f t="array" ref="F7">_xll.BDP($D7&amp;" Equity","PX_LAST")</f>
        <v>2.2599999999999998</v>
      </c>
      <c r="G7" s="131"/>
      <c r="H7" s="135">
        <f ca="1">F7/AG7</f>
        <v>0.16496350364963502</v>
      </c>
      <c r="I7" s="131"/>
      <c r="J7" s="136">
        <f>+F7*AI7</f>
        <v>296.66296799999992</v>
      </c>
      <c r="K7" s="131"/>
      <c r="L7" s="136">
        <f>+J7+AL7+AN7-AP7</f>
        <v>489.34996799999999</v>
      </c>
      <c r="M7" s="131"/>
      <c r="N7" s="137">
        <f>+L7/AS7</f>
        <v>22.163592916345848</v>
      </c>
      <c r="O7" s="131"/>
      <c r="P7" s="289">
        <f>$N7/AU7-1</f>
        <v>0.48501768276961776</v>
      </c>
      <c r="Q7" s="144"/>
      <c r="R7" s="289">
        <f>$N7/AW7-1</f>
        <v>-0.20273280055687948</v>
      </c>
      <c r="S7" s="137">
        <f>+F7/AR7</f>
        <v>-34.769230769230766</v>
      </c>
      <c r="T7" s="137">
        <f>L7/(BM7)</f>
        <v>1.2558157811669963</v>
      </c>
      <c r="U7" s="131"/>
      <c r="V7" s="289">
        <f>+$S7/BA7-1</f>
        <v>-1.998495946311468</v>
      </c>
      <c r="W7" s="144"/>
      <c r="X7" s="289">
        <f>+$S7/BC7-1</f>
        <v>-1.2840250153458013</v>
      </c>
      <c r="Y7" s="144"/>
      <c r="Z7" s="347">
        <f t="shared" ref="Z7:Z9" si="1">(BM7/BI7)^(1/2)-1</f>
        <v>0.22401947062953642</v>
      </c>
      <c r="AA7" s="135"/>
      <c r="AB7" s="135">
        <f>+BU7/BM7</f>
        <v>5.7082072641511855E-2</v>
      </c>
      <c r="AC7" s="131"/>
      <c r="AD7" s="131"/>
      <c r="AE7" s="131"/>
      <c r="AG7" s="117">
        <f ca="1">_xll.BDP($D7&amp;" Equity","INTERVAL_HIGH","CALC_INTERVAL=52W","END_DATE_OVERRIDE",TEXT($F$4,"YYYYMMDD"))</f>
        <v>13.7</v>
      </c>
      <c r="AH7" s="118"/>
      <c r="AI7" s="119">
        <f>_xll.BDP($D7&amp;" Equity","EQY_SH_OUT")</f>
        <v>131.26679999999999</v>
      </c>
      <c r="AJ7" s="119">
        <f>_xll.BDP($D7&amp;" Equity","BS_SH_OUT")</f>
        <v>132.21469500000001</v>
      </c>
      <c r="AK7" s="118"/>
      <c r="AL7" s="120">
        <f>_xll.BDP($D7&amp;" Equity","SHORT_AND_LONG_TERM_DEBT", "FUND_PER=Q")</f>
        <v>752.13099999999997</v>
      </c>
      <c r="AM7" s="118"/>
      <c r="AN7" s="120">
        <f>(_xll.BDP($D7&amp;" Equity","BS_PFD_EQY", "FUND_PER=Q"))+(_xll.BDP($D7&amp;" Equity","MINORITY_NONCONTROLLING_INTEREST", "FUND_PER=Q"))</f>
        <v>0</v>
      </c>
      <c r="AO7" s="118"/>
      <c r="AP7" s="120">
        <f>_xll.BDP($D7&amp;" Equity","CASH_AND_MARKETABLE_SECURITIES", "FUND_PER=Q")</f>
        <v>559.44399999999996</v>
      </c>
      <c r="AQ7" s="118"/>
      <c r="AR7" s="117">
        <f>_xll.BDP($D7&amp;" Equity","BEST_EPS", "BEST_FPERIOD_OVERRIDE=1TY")</f>
        <v>-6.5000000000000002E-2</v>
      </c>
      <c r="AS7" s="120">
        <f>_xll.BDP($D7&amp;" Equity","BEST_EBITDA", "BEST_FPERIOD_OVERRIDE=1TY")</f>
        <v>22.079000000000001</v>
      </c>
      <c r="AT7" s="118"/>
      <c r="AU7" s="121">
        <f>_xll.BDP($D7&amp;" Equity","INTERVAL_AVG", "MARKET_DATA_OVERRIDE=BEST_CUR_EV_TO_EBITDA", "BEST_FPERIOD_OVERRIDE=1TY ", "CALC_INTERVAL=1Y ")</f>
        <v>14.924800676453803</v>
      </c>
      <c r="AV7" s="118"/>
      <c r="AW7" s="121">
        <f>_xll.BDP($D7&amp;" Equity","INTERVAL_AVG", "MARKET_DATA_OVERRIDE=BEST_CUR_EV_TO_EBITDA", "BEST_FPERIOD_OVERRIDE=1TY ", "CALC_INTERVAL=2Y ")</f>
        <v>27.799454099989056</v>
      </c>
      <c r="AX7" s="118"/>
      <c r="AY7" s="121">
        <f>_xll.BDP($D7&amp;" Equity","INTERVAL_AVG", "MARKET_DATA_OVERRIDE=BEST_CUR_EV_TO_EBITDA", "BEST_FPERIOD_OVERRIDE=1TY ", "CALC_INTERVAL=5Y ")</f>
        <v>38.811945039601724</v>
      </c>
      <c r="AZ7" s="118"/>
      <c r="BA7" s="121">
        <f>_xll.BDP($D7&amp;" Equity","INTERVAL_AVG", "MARKET_DATA_OVERRIDE=BEST_PE_RATIO", "BEST_FPERIOD_OVERRIDE=1TY ", "CALC_INTERVAL=1Y ")</f>
        <v>34.821604331666414</v>
      </c>
      <c r="BB7" s="118"/>
      <c r="BC7" s="121">
        <f>_xll.BDP($D7&amp;" Equity","INTERVAL_AVG", "MARKET_DATA_OVERRIDE=BEST_PE_RATIO", "BEST_FPERIOD_OVERRIDE=1TY ", "CALC_INTERVAL=2Y ")</f>
        <v>122.41608622712032</v>
      </c>
      <c r="BD7" s="118"/>
      <c r="BE7" s="121">
        <f>_xll.BDP($D7&amp;" Equity","INTERVAL_AVG", "MARKET_DATA_OVERRIDE=BEST_PE_RATIO", "BEST_FPERIOD_OVERRIDE=1TY ", "CALC_INTERVAL=5Y ")</f>
        <v>188.7492145822022</v>
      </c>
      <c r="BF7" s="118"/>
      <c r="BG7" s="120" t="str">
        <f>_xll.BDP($D7&amp;" Equity","BEST_SALES", "BEST_FPERIOD_OVERRIDE=20BC")</f>
        <v>#N/A N/A</v>
      </c>
      <c r="BH7" s="118"/>
      <c r="BI7" s="120">
        <f>_xll.BDP($D7&amp;" Equity","BEST_SALES", "BEST_FPERIOD_OVERRIDE=21BC")</f>
        <v>260.08600000000001</v>
      </c>
      <c r="BJ7" s="118"/>
      <c r="BK7" s="120">
        <f>_xll.BDP($D7&amp;" Equity","BEST_SALES", "BEST_FPERIOD_OVERRIDE=22BC")</f>
        <v>365.87599999999998</v>
      </c>
      <c r="BL7" s="118"/>
      <c r="BM7" s="120">
        <f>_xll.BDP($D7&amp;" Equity","BEST_SALES", "BEST_FPERIOD_OVERRIDE=23BC")</f>
        <v>389.66700000000003</v>
      </c>
      <c r="BN7" s="118"/>
      <c r="BO7" s="120" t="str">
        <f>_xll.BDP($D7&amp;" Equity","BEST_EBITDA", "BEST_FPERIOD_OVERRIDE=20BC")</f>
        <v>#N/A N/A</v>
      </c>
      <c r="BP7" s="118"/>
      <c r="BQ7" s="120">
        <f>_xll.BDP($D7&amp;" Equity","BEST_EBITDA", "BEST_FPERIOD_OVERRIDE=21BC")</f>
        <v>32.701000000000001</v>
      </c>
      <c r="BR7" s="118"/>
      <c r="BS7" s="120">
        <f>_xll.BDP($D7&amp;" Equity","BEST_EBITDA", "BEST_FPERIOD_OVERRIDE=22BC")</f>
        <v>47.661999999999999</v>
      </c>
      <c r="BT7" s="118"/>
      <c r="BU7" s="120">
        <f>_xll.BDP($D7&amp;" Equity","BEST_EBITDA", "BEST_FPERIOD_OVERRIDE=23BC")</f>
        <v>22.243000000000002</v>
      </c>
      <c r="BV7" s="118"/>
      <c r="BW7" s="117" t="str">
        <f>_xll.BDP($D7&amp;" Equity","BEST_EPS", "BEST_FPERIOD_OVERRIDE=20BC")</f>
        <v>#N/A N/A</v>
      </c>
      <c r="BX7" s="118"/>
      <c r="BY7" s="117">
        <f>_xll.BDP($D7&amp;" Equity","BEST_EPS", "BEST_FPERIOD_OVERRIDE=21BC")</f>
        <v>-3.0078309999999999</v>
      </c>
      <c r="BZ7" s="118"/>
      <c r="CA7" s="117">
        <f>_xll.BDP($D7&amp;" Equity","BEST_EPS", "BEST_FPERIOD_OVERRIDE=22BC")</f>
        <v>6.1276999999999998E-2</v>
      </c>
      <c r="CB7" s="118"/>
      <c r="CC7" s="117">
        <f>_xll.BDP($D7&amp;" Equity","BEST_EPS", "BEST_FPERIOD_OVERRIDE=23BC")</f>
        <v>-0.33400000000000002</v>
      </c>
      <c r="CE7" s="122" t="e">
        <f>(_xll.BDP($D7&amp;" Equity","ORGANIC_GROWTH", "EQY_FUND_YEAR=2020"))/100</f>
        <v>#VALUE!</v>
      </c>
      <c r="CF7" s="122"/>
      <c r="CG7" s="122" t="e">
        <f>(_xll.BDP($D7&amp;" Equity","ORGANIC_GROWTH", "EQY_FUND_YEAR=2021"))/100</f>
        <v>#VALUE!</v>
      </c>
      <c r="CH7" s="122"/>
      <c r="CI7" s="122" t="e">
        <f>(_xll.BDP($D7&amp;" Equity","ORGANIC_GROWTH", "EQY_FUND_YEAR=2022"))/100</f>
        <v>#VALUE!</v>
      </c>
      <c r="CJ7" s="122"/>
      <c r="CK7" s="122" t="e">
        <f>(_xll.BDP($D7&amp;" Equity","ORGANIC_GROWTH", "EQY_FUND_RELATIVE_PERIOD=-0FY"))/100</f>
        <v>#VALUE!</v>
      </c>
      <c r="CM7" s="117" t="str">
        <f>_xll.BDP($D7&amp;" Equity","IS_ADJ_EBIT_OP_INC_AS_REPORTED", "EQY_FUND_YEAR="&amp;CM$4)</f>
        <v>#N/A N/A</v>
      </c>
      <c r="CN7" s="118"/>
      <c r="CO7" s="117" t="str">
        <f>_xll.BDP($D7&amp;" Equity","IS_ADJ_EBIT_OP_INC_AS_REPORTED", "EQY_FUND_YEAR="&amp;CO$4)</f>
        <v>#N/A N/A</v>
      </c>
      <c r="CP7" s="118"/>
      <c r="CQ7" s="117" t="str">
        <f>_xll.BDP($D7&amp;" Equity","IS_ADJ_EBIT_OP_INC_AS_REPORTED", "EQY_FUND_YEAR="&amp;CQ$4)</f>
        <v>#N/A N/A</v>
      </c>
      <c r="CR7" s="118"/>
      <c r="CS7" s="117" t="str">
        <f>_xll.BDP($D7&amp;" Equity","IS_ADJ_EBIT_OP_INC_AS_REPORTED", "EQY_FUND_YEAR=-0FY")</f>
        <v>#N/A N/A</v>
      </c>
      <c r="CU7" s="117" t="str">
        <f>_xll.BDP($D7&amp;" Equity","IS_ADJUSTED_EPS_AS_REPORTED", "EQY_FUND_YEAR="&amp;CU$4)</f>
        <v>#N/A N/A</v>
      </c>
      <c r="CV7" s="118"/>
      <c r="CW7" s="117" t="str">
        <f>_xll.BDP($D7&amp;" Equity","IS_ADJUSTED_EPS_AS_REPORTED", "EQY_FUND_YEAR="&amp;CW$4)</f>
        <v>#N/A N/A</v>
      </c>
      <c r="CX7" s="118"/>
      <c r="CY7" s="117" t="str">
        <f>_xll.BDP($D7&amp;" Equity","IS_ADJUSTED_EPS_AS_REPORTED", "EQY_FUND_YEAR="&amp;CY$4)</f>
        <v>#N/A N/A</v>
      </c>
      <c r="CZ7" s="118"/>
      <c r="DA7" s="117" t="str">
        <f>_xll.BDP($D7&amp;" Equity","IS_ADJUSTED_EPS_AS_REPORTED", "EQY_FUND_YEAR=-0FY")</f>
        <v>#N/A N/A</v>
      </c>
    </row>
    <row r="8" spans="1:105">
      <c r="B8" s="104"/>
      <c r="C8" s="131"/>
      <c r="D8" s="131"/>
      <c r="E8" s="131"/>
      <c r="F8" s="134"/>
      <c r="G8" s="131"/>
      <c r="H8" s="135"/>
      <c r="I8" s="131"/>
      <c r="J8" s="136"/>
      <c r="K8" s="131"/>
      <c r="L8" s="136"/>
      <c r="M8" s="131"/>
      <c r="N8" s="137"/>
      <c r="O8" s="131"/>
      <c r="P8" s="144"/>
      <c r="Q8" s="144"/>
      <c r="R8" s="144"/>
      <c r="S8" s="137"/>
      <c r="T8" s="137"/>
      <c r="U8" s="131"/>
      <c r="V8" s="144"/>
      <c r="W8" s="144"/>
      <c r="X8" s="144"/>
      <c r="Y8" s="144"/>
      <c r="Z8" s="338"/>
      <c r="AA8" s="135"/>
      <c r="AB8" s="135"/>
      <c r="AC8" s="131"/>
      <c r="AD8" s="131"/>
      <c r="AE8" s="131"/>
      <c r="AG8" s="117"/>
      <c r="AH8" s="118"/>
      <c r="AI8" s="119"/>
      <c r="AJ8" s="119"/>
      <c r="AK8" s="118"/>
      <c r="AL8" s="120"/>
      <c r="AM8" s="118"/>
      <c r="AN8" s="120"/>
      <c r="AO8" s="118"/>
      <c r="AP8" s="120"/>
      <c r="AQ8" s="118"/>
      <c r="AR8" s="117"/>
      <c r="AS8" s="120"/>
      <c r="AT8" s="118"/>
      <c r="AU8" s="121"/>
      <c r="AV8" s="118"/>
      <c r="AW8" s="121"/>
      <c r="AX8" s="118"/>
      <c r="AY8" s="121"/>
      <c r="AZ8" s="118"/>
      <c r="BA8" s="121"/>
      <c r="BB8" s="118"/>
      <c r="BC8" s="121"/>
      <c r="BD8" s="118"/>
      <c r="BE8" s="121"/>
      <c r="BF8" s="118"/>
      <c r="BG8" s="120"/>
      <c r="BH8" s="118"/>
      <c r="BI8" s="120"/>
      <c r="BJ8" s="118"/>
      <c r="BK8" s="120"/>
      <c r="BL8" s="118"/>
      <c r="BM8" s="120"/>
      <c r="BN8" s="118"/>
      <c r="BO8" s="120"/>
      <c r="BP8" s="118"/>
      <c r="BQ8" s="120"/>
      <c r="BR8" s="118"/>
      <c r="BS8" s="120"/>
      <c r="BT8" s="118"/>
      <c r="BU8" s="120"/>
      <c r="BV8" s="118"/>
      <c r="BW8" s="117"/>
      <c r="BX8" s="118"/>
      <c r="BY8" s="117"/>
      <c r="BZ8" s="118"/>
      <c r="CA8" s="117"/>
      <c r="CB8" s="118"/>
      <c r="CC8" s="117"/>
      <c r="CE8" s="122"/>
      <c r="CF8" s="122"/>
      <c r="CG8" s="122"/>
      <c r="CH8" s="122"/>
      <c r="CI8" s="122"/>
      <c r="CJ8" s="122"/>
      <c r="CK8" s="122"/>
      <c r="CM8" s="117"/>
      <c r="CN8" s="118"/>
      <c r="CO8" s="117"/>
      <c r="CP8" s="118"/>
      <c r="CQ8" s="117"/>
      <c r="CR8" s="118"/>
      <c r="CS8" s="117"/>
      <c r="CU8" s="117"/>
      <c r="CV8" s="118"/>
      <c r="CW8" s="117"/>
      <c r="CX8" s="118"/>
      <c r="CY8" s="117"/>
      <c r="CZ8" s="118"/>
      <c r="DA8" s="117"/>
    </row>
    <row r="9" spans="1:105" outlineLevel="1">
      <c r="B9" s="104" t="s">
        <v>608</v>
      </c>
      <c r="C9" s="131"/>
      <c r="D9" s="131" t="s">
        <v>609</v>
      </c>
      <c r="E9" s="131"/>
      <c r="F9" s="134" cm="1">
        <f t="array" ref="F9">_xll.BDP($D9&amp;" Equity","PX_LAST")</f>
        <v>18</v>
      </c>
      <c r="G9" s="131"/>
      <c r="H9" s="135">
        <f ca="1">F9/AG9</f>
        <v>0.39665050683120318</v>
      </c>
      <c r="I9" s="131"/>
      <c r="J9" s="136">
        <f>+F9*AI9</f>
        <v>889.36685999999997</v>
      </c>
      <c r="K9" s="131"/>
      <c r="L9" s="136">
        <f>+J9+AL9+AN9-AP9</f>
        <v>1210.4838599999998</v>
      </c>
      <c r="M9" s="131"/>
      <c r="N9" s="137">
        <f>+L9/AS9</f>
        <v>5.3672139332159805</v>
      </c>
      <c r="O9" s="131"/>
      <c r="P9" s="289">
        <f>$N9/AU9-1</f>
        <v>-0.23116280017000468</v>
      </c>
      <c r="Q9" s="144"/>
      <c r="R9" s="289">
        <f>$N9/AW9-1</f>
        <v>-0.19438526200752071</v>
      </c>
      <c r="S9" s="137">
        <f>+F9/AR9</f>
        <v>8.7463556851311957</v>
      </c>
      <c r="T9" s="137">
        <f>L9/(BM9)</f>
        <v>0.62129207892080041</v>
      </c>
      <c r="U9" s="131"/>
      <c r="V9" s="289">
        <f t="shared" ref="V9:V13" si="2">+$S9/BA9-1</f>
        <v>-0.29688547969759216</v>
      </c>
      <c r="W9" s="144"/>
      <c r="X9" s="289">
        <f t="shared" ref="X9:X13" si="3">+$S9/BC9-1</f>
        <v>-0.2647553999524509</v>
      </c>
      <c r="Y9" s="144"/>
      <c r="Z9" s="766">
        <f t="shared" si="1"/>
        <v>-0.14984461296713969</v>
      </c>
      <c r="AA9" s="135"/>
      <c r="AB9" s="135">
        <f t="shared" ref="AB9" si="4">+BU9/BM9</f>
        <v>0.1107356904594851</v>
      </c>
      <c r="AC9" s="131"/>
      <c r="AD9" s="131"/>
      <c r="AE9" s="131"/>
      <c r="AG9" s="117">
        <f ca="1">_xll.BDP($D9&amp;" Equity","INTERVAL_HIGH","CALC_INTERVAL=52W","END_DATE_OVERRIDE",TEXT($F$4,"YYYYMMDD"))</f>
        <v>45.38</v>
      </c>
      <c r="AH9" s="118"/>
      <c r="AI9" s="119">
        <f>_xll.BDP($D9&amp;" Equity","EQY_SH_OUT")</f>
        <v>49.409269999999999</v>
      </c>
      <c r="AJ9" s="119">
        <f>_xll.BDP($D9&amp;" Equity","BS_SH_OUT")</f>
        <v>49.5</v>
      </c>
      <c r="AK9" s="118"/>
      <c r="AL9" s="120">
        <f>_xll.BDP($D9&amp;" Equity","SHORT_AND_LONG_TERM_DEBT", "FUND_PER=Q")</f>
        <v>571.10400000000004</v>
      </c>
      <c r="AM9" s="118"/>
      <c r="AN9" s="120">
        <f>(_xll.BDP($D9&amp;" Equity","BS_PFD_EQY", "FUND_PER=Q"))+(_xll.BDP($D9&amp;" Equity","MINORITY_NONCONTROLLING_INTEREST", "FUND_PER=Q"))</f>
        <v>0</v>
      </c>
      <c r="AO9" s="118"/>
      <c r="AP9" s="120">
        <f>_xll.BDP($D9&amp;" Equity","CASH_AND_MARKETABLE_SECURITIES", "FUND_PER=Q")</f>
        <v>249.98699999999999</v>
      </c>
      <c r="AQ9" s="118"/>
      <c r="AR9" s="117">
        <f>_xll.BDP($D9&amp;" Equity","BEST_EPS", "BEST_FPERIOD_OVERRIDE=1TY")</f>
        <v>2.0579999999999998</v>
      </c>
      <c r="AS9" s="120">
        <f>_xll.BDP($D9&amp;" Equity","BEST_EBITDA", "BEST_FPERIOD_OVERRIDE=1TY")</f>
        <v>225.53300000000002</v>
      </c>
      <c r="AT9" s="118"/>
      <c r="AU9" s="121">
        <f>_xll.BDP($D9&amp;" Equity","INTERVAL_AVG", "MARKET_DATA_OVERRIDE=BEST_CUR_EV_TO_EBITDA", "BEST_FPERIOD_OVERRIDE=1TY ", "CALC_INTERVAL=1Y ")</f>
        <v>6.9809498479037888</v>
      </c>
      <c r="AV9" s="118"/>
      <c r="AW9" s="121">
        <f>_xll.BDP($D9&amp;" Equity","INTERVAL_AVG", "MARKET_DATA_OVERRIDE=BEST_CUR_EV_TO_EBITDA", "BEST_FPERIOD_OVERRIDE=1TY ", "CALC_INTERVAL=2Y ")</f>
        <v>6.6622588690353446</v>
      </c>
      <c r="AX9" s="118"/>
      <c r="AY9" s="121">
        <f>_xll.BDP($D9&amp;" Equity","INTERVAL_AVG", "MARKET_DATA_OVERRIDE=BEST_CUR_EV_TO_EBITDA", "BEST_FPERIOD_OVERRIDE=1TY ", "CALC_INTERVAL=5Y ")</f>
        <v>6.7271833519140962</v>
      </c>
      <c r="AZ9" s="118"/>
      <c r="BA9" s="121">
        <f>_xll.BDP($D9&amp;" Equity","INTERVAL_AVG", "MARKET_DATA_OVERRIDE=BEST_PE_RATIO", "BEST_FPERIOD_OVERRIDE=1TY ", "CALC_INTERVAL=1Y ")</f>
        <v>12.439446822075881</v>
      </c>
      <c r="BB9" s="118"/>
      <c r="BC9" s="121">
        <f>_xll.BDP($D9&amp;" Equity","INTERVAL_AVG", "MARKET_DATA_OVERRIDE=BEST_PE_RATIO", "BEST_FPERIOD_OVERRIDE=1TY ", "CALC_INTERVAL=2Y ")</f>
        <v>11.895844844784387</v>
      </c>
      <c r="BD9" s="118"/>
      <c r="BE9" s="121">
        <f>_xll.BDP($D9&amp;" Equity","INTERVAL_AVG", "MARKET_DATA_OVERRIDE=BEST_PE_RATIO", "BEST_FPERIOD_OVERRIDE=1TY ", "CALC_INTERVAL=5Y ")</f>
        <v>12.673705685129329</v>
      </c>
      <c r="BF9" s="118"/>
      <c r="BG9" s="120">
        <f>_xll.BDP($D9&amp;" Equity","BEST_SALES", "BEST_FPERIOD_OVERRIDE=20BC")</f>
        <v>2581.9340000000002</v>
      </c>
      <c r="BH9" s="118"/>
      <c r="BI9" s="120">
        <f>_xll.BDP($D9&amp;" Equity","BEST_SALES", "BEST_FPERIOD_OVERRIDE=21BC")</f>
        <v>2695.6689999999999</v>
      </c>
      <c r="BJ9" s="118"/>
      <c r="BK9" s="120">
        <f>_xll.BDP($D9&amp;" Equity","BEST_SALES", "BEST_FPERIOD_OVERRIDE=22BC")</f>
        <v>2225.6590000000001</v>
      </c>
      <c r="BL9" s="118"/>
      <c r="BM9" s="120">
        <f>_xll.BDP($D9&amp;" Equity","BEST_SALES", "BEST_FPERIOD_OVERRIDE=23BC")</f>
        <v>1948.3330000000001</v>
      </c>
      <c r="BN9" s="118"/>
      <c r="BO9" s="120">
        <f>_xll.BDP($D9&amp;" Equity","BEST_EBITDA", "BEST_FPERIOD_OVERRIDE=20BC")</f>
        <v>331.2</v>
      </c>
      <c r="BP9" s="118"/>
      <c r="BQ9" s="120">
        <f>_xll.BDP($D9&amp;" Equity","BEST_EBITDA", "BEST_FPERIOD_OVERRIDE=21BC")</f>
        <v>372.5</v>
      </c>
      <c r="BR9" s="118"/>
      <c r="BS9" s="120">
        <f>_xll.BDP($D9&amp;" Equity","BEST_EBITDA", "BEST_FPERIOD_OVERRIDE=22BC")</f>
        <v>243.25</v>
      </c>
      <c r="BT9" s="118"/>
      <c r="BU9" s="120">
        <f>_xll.BDP($D9&amp;" Equity","BEST_EBITDA", "BEST_FPERIOD_OVERRIDE=23BC")</f>
        <v>215.75</v>
      </c>
      <c r="BV9" s="118"/>
      <c r="BW9" s="117">
        <f>_xll.BDP($D9&amp;" Equity","BEST_EPS", "BEST_FPERIOD_OVERRIDE=20BC")</f>
        <v>3.63</v>
      </c>
      <c r="BX9" s="118"/>
      <c r="BY9" s="117">
        <f>_xll.BDP($D9&amp;" Equity","BEST_EPS", "BEST_FPERIOD_OVERRIDE=21BC")</f>
        <v>4.1399999999999997</v>
      </c>
      <c r="BZ9" s="118"/>
      <c r="CA9" s="117">
        <f>_xll.BDP($D9&amp;" Equity","BEST_EPS", "BEST_FPERIOD_OVERRIDE=22BC")</f>
        <v>2.9</v>
      </c>
      <c r="CB9" s="118"/>
      <c r="CC9" s="117">
        <f>_xll.BDP($D9&amp;" Equity","BEST_EPS", "BEST_FPERIOD_OVERRIDE=23BC")</f>
        <v>1.948</v>
      </c>
      <c r="CE9" s="122" t="e">
        <f>(_xll.BDP($D9&amp;" Equity","ORGANIC_GROWTH", "EQY_FUND_YEAR=2020"))/100</f>
        <v>#VALUE!</v>
      </c>
      <c r="CF9" s="122"/>
      <c r="CG9" s="122" t="e">
        <f>(_xll.BDP($D9&amp;" Equity","ORGANIC_GROWTH", "EQY_FUND_YEAR=2021"))/100</f>
        <v>#VALUE!</v>
      </c>
      <c r="CH9" s="122"/>
      <c r="CI9" s="122">
        <f>(_xll.BDP($D9&amp;" Equity","ORGANIC_GROWTH", "EQY_FUND_YEAR=2022"))/100</f>
        <v>-0.23000227401806372</v>
      </c>
      <c r="CJ9" s="122"/>
      <c r="CK9" s="122">
        <f>(_xll.BDP($D9&amp;" Equity","ORGANIC_GROWTH", "EQY_FUND_RELATIVE_PERIOD=-0FY"))/100</f>
        <v>-0.23000227401806372</v>
      </c>
      <c r="CM9" s="117" t="str">
        <f>_xll.BDP($D9&amp;" Equity","IS_ADJ_EBIT_OP_INC_AS_REPORTED", "EQY_FUND_YEAR="&amp;CM$4)</f>
        <v>#N/A N/A</v>
      </c>
      <c r="CN9" s="118"/>
      <c r="CO9" s="117" t="str">
        <f>_xll.BDP($D9&amp;" Equity","IS_ADJ_EBIT_OP_INC_AS_REPORTED", "EQY_FUND_YEAR="&amp;CO$4)</f>
        <v>#N/A N/A</v>
      </c>
      <c r="CP9" s="118"/>
      <c r="CQ9" s="117" t="str">
        <f>_xll.BDP($D9&amp;" Equity","IS_ADJ_EBIT_OP_INC_AS_REPORTED", "EQY_FUND_YEAR="&amp;CQ$4)</f>
        <v>#N/A N/A</v>
      </c>
      <c r="CR9" s="118"/>
      <c r="CS9" s="117" t="str">
        <f>_xll.BDP($D9&amp;" Equity","IS_ADJ_EBIT_OP_INC_AS_REPORTED", "EQY_FUND_YEAR=-0FY")</f>
        <v>#N/A N/A</v>
      </c>
      <c r="CU9" s="117" t="str">
        <f>_xll.BDP($D9&amp;" Equity","IS_ADJUSTED_EPS_AS_REPORTED", "EQY_FUND_YEAR="&amp;CU$4)</f>
        <v>#N/A N/A</v>
      </c>
      <c r="CV9" s="118"/>
      <c r="CW9" s="117">
        <f>_xll.BDP($D9&amp;" Equity","IS_ADJUSTED_EPS_AS_REPORTED", "EQY_FUND_YEAR="&amp;CW$4)</f>
        <v>4.1399999999999997</v>
      </c>
      <c r="CX9" s="118"/>
      <c r="CY9" s="117">
        <f>_xll.BDP($D9&amp;" Equity","IS_ADJUSTED_EPS_AS_REPORTED", "EQY_FUND_YEAR="&amp;CY$4)</f>
        <v>2.9</v>
      </c>
      <c r="CZ9" s="118"/>
      <c r="DA9" s="117">
        <f>_xll.BDP($D9&amp;" Equity","IS_ADJUSTED_EPS_AS_REPORTED", "EQY_FUND_YEAR=-0FY")</f>
        <v>2.9</v>
      </c>
    </row>
    <row r="10" spans="1:105" outlineLevel="1">
      <c r="B10" s="104" t="s">
        <v>842</v>
      </c>
      <c r="C10" s="131"/>
      <c r="D10" s="131" t="s">
        <v>610</v>
      </c>
      <c r="E10" s="131"/>
      <c r="F10" s="134" cm="1">
        <f t="array" ref="F10">_xll.BDP($D10&amp;" Equity","PX_LAST")</f>
        <v>138.30000000000001</v>
      </c>
      <c r="G10" s="131"/>
      <c r="H10" s="135">
        <f ca="1">F10/AG10</f>
        <v>0.83038126688682079</v>
      </c>
      <c r="I10" s="131"/>
      <c r="J10" s="136">
        <f>+F10*AI10</f>
        <v>244173.7671</v>
      </c>
      <c r="K10" s="131"/>
      <c r="L10" s="136">
        <f>+J10+AL10+AN10-AP10</f>
        <v>291664.7671</v>
      </c>
      <c r="M10" s="131"/>
      <c r="N10" s="137">
        <f>+L10/AS10</f>
        <v>11.578421008023899</v>
      </c>
      <c r="O10" s="131"/>
      <c r="P10" s="289">
        <f>$N10/AU10-1</f>
        <v>-5.3822744828092128E-2</v>
      </c>
      <c r="Q10" s="144"/>
      <c r="R10" s="289">
        <f>$N10/AW10-1</f>
        <v>2.6046225135725409E-2</v>
      </c>
      <c r="S10" s="137">
        <f>+F10/AR10</f>
        <v>12.587603531446256</v>
      </c>
      <c r="T10" s="137">
        <f>L10/(BM10)</f>
        <v>5.404040014366811</v>
      </c>
      <c r="U10" s="131"/>
      <c r="V10" s="289">
        <f t="shared" si="2"/>
        <v>-6.2813147567651773E-2</v>
      </c>
      <c r="W10" s="144"/>
      <c r="X10" s="289">
        <f t="shared" si="3"/>
        <v>4.5289843300799104E-2</v>
      </c>
      <c r="Y10" s="144"/>
      <c r="Z10" s="347">
        <f t="shared" ref="Z10" si="5">(BM10/BI10)^(1/2)-1</f>
        <v>-1.9999852922656047E-2</v>
      </c>
      <c r="AA10" s="135"/>
      <c r="AB10" s="135">
        <f t="shared" ref="AB10" si="6">+BU10/BM10</f>
        <v>0.50087548797641135</v>
      </c>
      <c r="AC10" s="131"/>
      <c r="AD10" s="131"/>
      <c r="AE10" s="131"/>
      <c r="AG10" s="117">
        <f ca="1">_xll.BDP($D10&amp;" Equity","INTERVAL_HIGH","CALC_INTERVAL=52W","END_DATE_OVERRIDE",TEXT($F$4,"YYYYMMDD"))</f>
        <v>166.55</v>
      </c>
      <c r="AH10" s="118"/>
      <c r="AI10" s="119">
        <f>_xll.BDP($D10&amp;" Equity","EQY_SH_OUT")</f>
        <v>1765.5369999999998</v>
      </c>
      <c r="AJ10" s="119">
        <f>_xll.BDP($D10&amp;" Equity","BS_SH_OUT")</f>
        <v>1769.181294</v>
      </c>
      <c r="AK10" s="118"/>
      <c r="AL10" s="120">
        <f>_xll.BDP($D10&amp;" Equity","SHORT_AND_LONG_TERM_DEBT", "FUND_PER=Q")</f>
        <v>60746</v>
      </c>
      <c r="AM10" s="118"/>
      <c r="AN10" s="120">
        <f>(_xll.BDP($D10&amp;" Equity","BS_PFD_EQY", "FUND_PER=Q"))+(_xll.BDP($D10&amp;" Equity","MINORITY_NONCONTROLLING_INTEREST", "FUND_PER=Q"))</f>
        <v>35</v>
      </c>
      <c r="AO10" s="118"/>
      <c r="AP10" s="120">
        <f>_xll.BDP($D10&amp;" Equity","CASH_AND_MARKETABLE_SECURITIES", "FUND_PER=Q")</f>
        <v>13290</v>
      </c>
      <c r="AQ10" s="118"/>
      <c r="AR10" s="117">
        <f>_xll.BDP($D10&amp;" Equity","BEST_EPS", "BEST_FPERIOD_OVERRIDE=1TY")</f>
        <v>10.987</v>
      </c>
      <c r="AS10" s="120">
        <f>_xll.BDP($D10&amp;" Equity","BEST_EBITDA", "BEST_FPERIOD_OVERRIDE=1TY")</f>
        <v>25190.375</v>
      </c>
      <c r="AT10" s="118"/>
      <c r="AU10" s="121">
        <f>_xll.BDP($D10&amp;" Equity","INTERVAL_AVG", "MARKET_DATA_OVERRIDE=BEST_CUR_EV_TO_EBITDA", "BEST_FPERIOD_OVERRIDE=1TY ", "CALC_INTERVAL=1Y ")</f>
        <v>12.237052777093286</v>
      </c>
      <c r="AV10" s="118"/>
      <c r="AW10" s="121">
        <f>_xll.BDP($D10&amp;" Equity","INTERVAL_AVG", "MARKET_DATA_OVERRIDE=BEST_CUR_EV_TO_EBITDA", "BEST_FPERIOD_OVERRIDE=1TY ", "CALC_INTERVAL=2Y ")</f>
        <v>11.284502320051228</v>
      </c>
      <c r="AX10" s="118"/>
      <c r="AY10" s="121">
        <f>_xll.BDP($D10&amp;" Equity","INTERVAL_AVG", "MARKET_DATA_OVERRIDE=BEST_CUR_EV_TO_EBITDA", "BEST_FPERIOD_OVERRIDE=1TY ", "CALC_INTERVAL=5Y ")</f>
        <v>10.149948231181103</v>
      </c>
      <c r="AZ10" s="118"/>
      <c r="BA10" s="121">
        <f>_xll.BDP($D10&amp;" Equity","INTERVAL_AVG", "MARKET_DATA_OVERRIDE=BEST_PE_RATIO", "BEST_FPERIOD_OVERRIDE=1TY ", "CALC_INTERVAL=1Y ")</f>
        <v>13.431263465526374</v>
      </c>
      <c r="BB10" s="118"/>
      <c r="BC10" s="121">
        <f>_xll.BDP($D10&amp;" Equity","INTERVAL_AVG", "MARKET_DATA_OVERRIDE=BEST_PE_RATIO", "BEST_FPERIOD_OVERRIDE=1TY ", "CALC_INTERVAL=2Y ")</f>
        <v>12.042213566045307</v>
      </c>
      <c r="BD10" s="118"/>
      <c r="BE10" s="121">
        <f>_xll.BDP($D10&amp;" Equity","INTERVAL_AVG", "MARKET_DATA_OVERRIDE=BEST_PE_RATIO", "BEST_FPERIOD_OVERRIDE=1TY ", "CALC_INTERVAL=5Y ")</f>
        <v>10.089456315205958</v>
      </c>
      <c r="BF10" s="118"/>
      <c r="BG10" s="120">
        <f>_xll.BDP($D10&amp;" Equity","BEST_SALES", "BEST_FPERIOD_OVERRIDE=20BC")</f>
        <v>45804</v>
      </c>
      <c r="BH10" s="118"/>
      <c r="BI10" s="120">
        <f>_xll.BDP($D10&amp;" Equity","BEST_SALES", "BEST_FPERIOD_OVERRIDE=21BC")</f>
        <v>56197</v>
      </c>
      <c r="BJ10" s="118"/>
      <c r="BK10" s="120">
        <f>_xll.BDP($D10&amp;" Equity","BEST_SALES", "BEST_FPERIOD_OVERRIDE=22BC")</f>
        <v>58054</v>
      </c>
      <c r="BL10" s="118"/>
      <c r="BM10" s="120">
        <f>_xll.BDP($D10&amp;" Equity","BEST_SALES", "BEST_FPERIOD_OVERRIDE=23BC")</f>
        <v>53971.614999999998</v>
      </c>
      <c r="BN10" s="118"/>
      <c r="BO10" s="120">
        <f>_xll.BDP($D10&amp;" Equity","BEST_EBITDA", "BEST_FPERIOD_OVERRIDE=20BC")</f>
        <v>28467</v>
      </c>
      <c r="BP10" s="118"/>
      <c r="BQ10" s="120">
        <f>_xll.BDP($D10&amp;" Equity","BEST_EBITDA", "BEST_FPERIOD_OVERRIDE=21BC")</f>
        <v>35933</v>
      </c>
      <c r="BR10" s="118"/>
      <c r="BS10" s="120">
        <f>_xll.BDP($D10&amp;" Equity","BEST_EBITDA", "BEST_FPERIOD_OVERRIDE=22BC")</f>
        <v>36557</v>
      </c>
      <c r="BT10" s="118"/>
      <c r="BU10" s="120">
        <f>_xll.BDP($D10&amp;" Equity","BEST_EBITDA", "BEST_FPERIOD_OVERRIDE=23BC")</f>
        <v>27033.059000000001</v>
      </c>
      <c r="BV10" s="118"/>
      <c r="BW10" s="117">
        <f>_xll.BDP($D10&amp;" Equity","BEST_EPS", "BEST_FPERIOD_OVERRIDE=20BC")</f>
        <v>10.56</v>
      </c>
      <c r="BX10" s="118"/>
      <c r="BY10" s="117">
        <f>_xll.BDP($D10&amp;" Equity","BEST_EPS", "BEST_FPERIOD_OVERRIDE=21BC")</f>
        <v>12.700000000000001</v>
      </c>
      <c r="BZ10" s="118"/>
      <c r="CA10" s="117">
        <f>_xll.BDP($D10&amp;" Equity","BEST_EPS", "BEST_FPERIOD_OVERRIDE=22BC")</f>
        <v>13.77</v>
      </c>
      <c r="CB10" s="118"/>
      <c r="CC10" s="117">
        <f>_xll.BDP($D10&amp;" Equity","BEST_EPS", "BEST_FPERIOD_OVERRIDE=23BC")</f>
        <v>10.982000000000001</v>
      </c>
      <c r="CE10" s="122" t="e">
        <f>(_xll.BDP($D10&amp;" Equity","ORGANIC_GROWTH", "EQY_FUND_YEAR=2020"))/100</f>
        <v>#VALUE!</v>
      </c>
      <c r="CF10" s="122"/>
      <c r="CG10" s="122" t="e">
        <f>(_xll.BDP($D10&amp;" Equity","ORGANIC_GROWTH", "EQY_FUND_YEAR=2021"))/100</f>
        <v>#VALUE!</v>
      </c>
      <c r="CH10" s="122"/>
      <c r="CI10" s="122" t="e">
        <f>(_xll.BDP($D10&amp;" Equity","ORGANIC_GROWTH", "EQY_FUND_YEAR=2022"))/100</f>
        <v>#VALUE!</v>
      </c>
      <c r="CJ10" s="122"/>
      <c r="CK10" s="122" t="e">
        <f>(_xll.BDP($D10&amp;" Equity","ORGANIC_GROWTH", "EQY_FUND_RELATIVE_PERIOD=-0FY"))/100</f>
        <v>#VALUE!</v>
      </c>
      <c r="CM10" s="117">
        <f>_xll.BDP($D10&amp;" Equity","IS_ADJ_EBIT_OP_INC_AS_REPORTED", "EQY_FUND_YEAR="&amp;CM$4)</f>
        <v>21976</v>
      </c>
      <c r="CN10" s="118"/>
      <c r="CO10" s="117">
        <f>_xll.BDP($D10&amp;" Equity","IS_ADJ_EBIT_OP_INC_AS_REPORTED", "EQY_FUND_YEAR="&amp;CO$4)</f>
        <v>26666</v>
      </c>
      <c r="CP10" s="118"/>
      <c r="CQ10" s="117">
        <f>_xll.BDP($D10&amp;" Equity","IS_ADJ_EBIT_OP_INC_AS_REPORTED", "EQY_FUND_YEAR="&amp;CQ$4)</f>
        <v>30183</v>
      </c>
      <c r="CR10" s="118"/>
      <c r="CS10" s="117">
        <f>_xll.BDP($D10&amp;" Equity","IS_ADJ_EBIT_OP_INC_AS_REPORTED", "EQY_FUND_YEAR=-0FY")</f>
        <v>30183</v>
      </c>
      <c r="CU10" s="117">
        <f>_xll.BDP($D10&amp;" Equity","IS_ADJUSTED_EPS_AS_REPORTED", "EQY_FUND_YEAR="&amp;CU$4)</f>
        <v>10.56</v>
      </c>
      <c r="CV10" s="118"/>
      <c r="CW10" s="117">
        <f>_xll.BDP($D10&amp;" Equity","IS_ADJUSTED_EPS_AS_REPORTED", "EQY_FUND_YEAR="&amp;CW$4)</f>
        <v>11.83</v>
      </c>
      <c r="CX10" s="118"/>
      <c r="CY10" s="117">
        <f>_xll.BDP($D10&amp;" Equity","IS_ADJUSTED_EPS_AS_REPORTED", "EQY_FUND_YEAR="&amp;CY$4)</f>
        <v>13.77</v>
      </c>
      <c r="CZ10" s="118"/>
      <c r="DA10" s="117">
        <f>_xll.BDP($D10&amp;" Equity","IS_ADJUSTED_EPS_AS_REPORTED", "EQY_FUND_YEAR=-0FY")</f>
        <v>13.77</v>
      </c>
    </row>
    <row r="11" spans="1:105" outlineLevel="1">
      <c r="B11" s="104" t="s">
        <v>611</v>
      </c>
      <c r="C11" s="131"/>
      <c r="D11" s="131" t="s">
        <v>612</v>
      </c>
      <c r="E11" s="131"/>
      <c r="F11" s="134" cm="1">
        <f t="array" ref="F11">_xll.BDP($D11&amp;" Equity","PX_LAST")</f>
        <v>409.27</v>
      </c>
      <c r="G11" s="131"/>
      <c r="H11" s="135">
        <f ca="1">F11/AG11</f>
        <v>0.74219755907368123</v>
      </c>
      <c r="I11" s="131"/>
      <c r="J11" s="136">
        <f>+F11*AI11</f>
        <v>20147.809585499996</v>
      </c>
      <c r="K11" s="131"/>
      <c r="L11" s="136">
        <f>+J11+AL11+AN11-AP11</f>
        <v>21639.581585499996</v>
      </c>
      <c r="M11" s="131"/>
      <c r="N11" s="137">
        <f>+L11/AS11</f>
        <v>11.170978427050395</v>
      </c>
      <c r="O11" s="131"/>
      <c r="P11" s="289">
        <f>$N11/AU11-1</f>
        <v>-6.9184317966036302E-2</v>
      </c>
      <c r="Q11" s="144"/>
      <c r="R11" s="289">
        <f>$N11/AW11-1</f>
        <v>-8.8031291605283002E-2</v>
      </c>
      <c r="S11" s="137">
        <f>+F11/AR11</f>
        <v>15.539734973611269</v>
      </c>
      <c r="T11" s="137">
        <f>L11/(BM11)</f>
        <v>1.9543273052920871</v>
      </c>
      <c r="U11" s="131"/>
      <c r="V11" s="289">
        <f t="shared" si="2"/>
        <v>-0.15668628896259162</v>
      </c>
      <c r="W11" s="144"/>
      <c r="X11" s="289">
        <f t="shared" si="3"/>
        <v>-0.19574301939076855</v>
      </c>
      <c r="Y11" s="144"/>
      <c r="Z11" s="347">
        <f t="shared" ref="Z11" si="7">(BM11/BI11)^(1/2)-1</f>
        <v>0.14444474447985134</v>
      </c>
      <c r="AA11" s="135"/>
      <c r="AB11" s="135">
        <f t="shared" ref="AB11" si="8">+BU11/BM11</f>
        <v>0.16946657362861262</v>
      </c>
      <c r="AC11" s="131"/>
      <c r="AD11" s="131"/>
      <c r="AE11" s="131"/>
      <c r="AG11" s="117">
        <f ca="1">_xll.BDP($D11&amp;" Equity","INTERVAL_HIGH","CALC_INTERVAL=52W","END_DATE_OVERRIDE",TEXT($F$4,"YYYYMMDD"))</f>
        <v>551.42999999999995</v>
      </c>
      <c r="AH11" s="118"/>
      <c r="AI11" s="119">
        <f>_xll.BDP($D11&amp;" Equity","EQY_SH_OUT")</f>
        <v>49.228649999999995</v>
      </c>
      <c r="AJ11" s="119">
        <f>_xll.BDP($D11&amp;" Equity","BS_SH_OUT")</f>
        <v>50.363999999999997</v>
      </c>
      <c r="AK11" s="118"/>
      <c r="AL11" s="120">
        <f>_xll.BDP($D11&amp;" Equity","SHORT_AND_LONG_TERM_DEBT", "FUND_PER=Q")</f>
        <v>1880.3989999999999</v>
      </c>
      <c r="AM11" s="118"/>
      <c r="AN11" s="120">
        <f>(_xll.BDP($D11&amp;" Equity","BS_PFD_EQY", "FUND_PER=Q"))+(_xll.BDP($D11&amp;" Equity","MINORITY_NONCONTROLLING_INTEREST", "FUND_PER=Q"))</f>
        <v>0</v>
      </c>
      <c r="AO11" s="118"/>
      <c r="AP11" s="120">
        <f>_xll.BDP($D11&amp;" Equity","CASH_AND_MARKETABLE_SECURITIES", "FUND_PER=Q")</f>
        <v>388.62700000000001</v>
      </c>
      <c r="AQ11" s="118"/>
      <c r="AR11" s="117">
        <f>_xll.BDP($D11&amp;" Equity","BEST_EPS", "BEST_FPERIOD_OVERRIDE=1TY")</f>
        <v>26.337</v>
      </c>
      <c r="AS11" s="120">
        <f>_xll.BDP($D11&amp;" Equity","BEST_EBITDA", "BEST_FPERIOD_OVERRIDE=1TY")</f>
        <v>1937.125</v>
      </c>
      <c r="AT11" s="118"/>
      <c r="AU11" s="121">
        <f>_xll.BDP($D11&amp;" Equity","INTERVAL_AVG", "MARKET_DATA_OVERRIDE=BEST_CUR_EV_TO_EBITDA", "BEST_FPERIOD_OVERRIDE=1TY ", "CALC_INTERVAL=1Y ")</f>
        <v>12.001278709271668</v>
      </c>
      <c r="AV11" s="118"/>
      <c r="AW11" s="121">
        <f>_xll.BDP($D11&amp;" Equity","INTERVAL_AVG", "MARKET_DATA_OVERRIDE=BEST_CUR_EV_TO_EBITDA", "BEST_FPERIOD_OVERRIDE=1TY ", "CALC_INTERVAL=2Y ")</f>
        <v>12.249300139600171</v>
      </c>
      <c r="AX11" s="118"/>
      <c r="AY11" s="121">
        <f>_xll.BDP($D11&amp;" Equity","INTERVAL_AVG", "MARKET_DATA_OVERRIDE=BEST_CUR_EV_TO_EBITDA", "BEST_FPERIOD_OVERRIDE=1TY ", "CALC_INTERVAL=5Y ")</f>
        <v>12.970121469353671</v>
      </c>
      <c r="AZ11" s="118"/>
      <c r="BA11" s="121">
        <f>_xll.BDP($D11&amp;" Equity","INTERVAL_AVG", "MARKET_DATA_OVERRIDE=BEST_PE_RATIO", "BEST_FPERIOD_OVERRIDE=1TY ", "CALC_INTERVAL=1Y ")</f>
        <v>18.426991960672563</v>
      </c>
      <c r="BB11" s="118"/>
      <c r="BC11" s="121">
        <f>_xll.BDP($D11&amp;" Equity","INTERVAL_AVG", "MARKET_DATA_OVERRIDE=BEST_PE_RATIO", "BEST_FPERIOD_OVERRIDE=1TY ", "CALC_INTERVAL=2Y ")</f>
        <v>19.321852776260378</v>
      </c>
      <c r="BD11" s="118"/>
      <c r="BE11" s="121">
        <f>_xll.BDP($D11&amp;" Equity","INTERVAL_AVG", "MARKET_DATA_OVERRIDE=BEST_PE_RATIO", "BEST_FPERIOD_OVERRIDE=1TY ", "CALC_INTERVAL=5Y ")</f>
        <v>22.708686695720804</v>
      </c>
      <c r="BF11" s="118"/>
      <c r="BG11" s="120">
        <f>_xll.BDP($D11&amp;" Equity","BEST_SALES", "BEST_FPERIOD_OVERRIDE=20BC")</f>
        <v>6187.6919999999991</v>
      </c>
      <c r="BH11" s="118"/>
      <c r="BI11" s="120">
        <f>_xll.BDP($D11&amp;" Equity","BEST_SALES", "BEST_FPERIOD_OVERRIDE=21BC")</f>
        <v>8453.9933333333338</v>
      </c>
      <c r="BJ11" s="118"/>
      <c r="BK11" s="120">
        <f>_xll.BDP($D11&amp;" Equity","BEST_SALES", "BEST_FPERIOD_OVERRIDE=22BC")</f>
        <v>10042.784</v>
      </c>
      <c r="BL11" s="118"/>
      <c r="BM11" s="120">
        <f>_xll.BDP($D11&amp;" Equity","BEST_SALES", "BEST_FPERIOD_OVERRIDE=23BC")</f>
        <v>11072.649666666668</v>
      </c>
      <c r="BN11" s="118"/>
      <c r="BO11" s="120">
        <f>_xll.BDP($D11&amp;" Equity","BEST_EBITDA", "BEST_FPERIOD_OVERRIDE=20BC")</f>
        <v>661.61133333333328</v>
      </c>
      <c r="BP11" s="118"/>
      <c r="BQ11" s="120">
        <f>_xll.BDP($D11&amp;" Equity","BEST_EBITDA", "BEST_FPERIOD_OVERRIDE=21BC")</f>
        <v>1528.1880000000001</v>
      </c>
      <c r="BR11" s="118"/>
      <c r="BS11" s="120">
        <f>_xll.BDP($D11&amp;" Equity","BEST_EBITDA", "BEST_FPERIOD_OVERRIDE=22BC")</f>
        <v>1857.48</v>
      </c>
      <c r="BT11" s="118"/>
      <c r="BU11" s="120">
        <f>_xll.BDP($D11&amp;" Equity","BEST_EBITDA", "BEST_FPERIOD_OVERRIDE=23BC")</f>
        <v>1876.444</v>
      </c>
      <c r="BV11" s="118"/>
      <c r="BW11" s="117">
        <f>_xll.BDP($D11&amp;" Equity","BEST_EPS", "BEST_FPERIOD_OVERRIDE=20BC")</f>
        <v>4.55</v>
      </c>
      <c r="BX11" s="118"/>
      <c r="BY11" s="117">
        <f>_xll.BDP($D11&amp;" Equity","BEST_EPS", "BEST_FPERIOD_OVERRIDE=21BC")</f>
        <v>17.343863333333331</v>
      </c>
      <c r="BZ11" s="118"/>
      <c r="CA11" s="117">
        <f>_xll.BDP($D11&amp;" Equity","BEST_EPS", "BEST_FPERIOD_OVERRIDE=22BC")</f>
        <v>23.596666666666668</v>
      </c>
      <c r="CB11" s="118"/>
      <c r="CC11" s="117">
        <f>_xll.BDP($D11&amp;" Equity","BEST_EPS", "BEST_FPERIOD_OVERRIDE=23BC")</f>
        <v>25.176666666666666</v>
      </c>
      <c r="CE11" s="122" t="e">
        <f>(_xll.BDP($D11&amp;" Equity","ORGANIC_GROWTH", "EQY_FUND_YEAR=2020"))/100</f>
        <v>#VALUE!</v>
      </c>
      <c r="CF11" s="122"/>
      <c r="CG11" s="122" t="e">
        <f>(_xll.BDP($D11&amp;" Equity","ORGANIC_GROWTH", "EQY_FUND_YEAR=2021"))/100</f>
        <v>#VALUE!</v>
      </c>
      <c r="CH11" s="122"/>
      <c r="CI11" s="122" t="e">
        <f>(_xll.BDP($D11&amp;" Equity","ORGANIC_GROWTH", "EQY_FUND_YEAR=2022"))/100</f>
        <v>#VALUE!</v>
      </c>
      <c r="CJ11" s="122"/>
      <c r="CK11" s="122" t="e">
        <f>(_xll.BDP($D11&amp;" Equity","ORGANIC_GROWTH", "EQY_FUND_RELATIVE_PERIOD=-0FY"))/100</f>
        <v>#VALUE!</v>
      </c>
      <c r="CM11" s="117" t="str">
        <f>_xll.BDP($D11&amp;" Equity","IS_ADJ_EBIT_OP_INC_AS_REPORTED", "EQY_FUND_YEAR="&amp;CM$4)</f>
        <v>#N/A N/A</v>
      </c>
      <c r="CN11" s="118"/>
      <c r="CO11" s="117" t="str">
        <f>_xll.BDP($D11&amp;" Equity","IS_ADJ_EBIT_OP_INC_AS_REPORTED", "EQY_FUND_YEAR="&amp;CO$4)</f>
        <v>#N/A N/A</v>
      </c>
      <c r="CP11" s="118"/>
      <c r="CQ11" s="117" t="str">
        <f>_xll.BDP($D11&amp;" Equity","IS_ADJ_EBIT_OP_INC_AS_REPORTED", "EQY_FUND_YEAR="&amp;CQ$4)</f>
        <v>#N/A N/A</v>
      </c>
      <c r="CR11" s="118"/>
      <c r="CS11" s="117" t="str">
        <f>_xll.BDP($D11&amp;" Equity","IS_ADJ_EBIT_OP_INC_AS_REPORTED", "EQY_FUND_YEAR=-0FY")</f>
        <v>#N/A N/A</v>
      </c>
      <c r="CU11" s="117" t="str">
        <f>_xll.BDP($D11&amp;" Equity","IS_ADJUSTED_EPS_AS_REPORTED", "EQY_FUND_YEAR="&amp;CU$4)</f>
        <v>#N/A N/A</v>
      </c>
      <c r="CV11" s="118"/>
      <c r="CW11" s="117" t="str">
        <f>_xll.BDP($D11&amp;" Equity","IS_ADJUSTED_EPS_AS_REPORTED", "EQY_FUND_YEAR="&amp;CW$4)</f>
        <v>#N/A N/A</v>
      </c>
      <c r="CX11" s="118"/>
      <c r="CY11" s="117" t="str">
        <f>_xll.BDP($D11&amp;" Equity","IS_ADJUSTED_EPS_AS_REPORTED", "EQY_FUND_YEAR="&amp;CY$4)</f>
        <v>#N/A N/A</v>
      </c>
      <c r="CZ11" s="118"/>
      <c r="DA11" s="117" t="str">
        <f>_xll.BDP($D11&amp;" Equity","IS_ADJUSTED_EPS_AS_REPORTED", "EQY_FUND_YEAR=-0FY")</f>
        <v>#N/A N/A</v>
      </c>
    </row>
    <row r="12" spans="1:105" outlineLevel="1">
      <c r="B12" s="104" t="s">
        <v>613</v>
      </c>
      <c r="C12" s="131"/>
      <c r="D12" s="131" t="s">
        <v>614</v>
      </c>
      <c r="E12" s="131"/>
      <c r="F12" s="134" cm="1">
        <f t="array" ref="F12">_xll.BDP($D12&amp;" Equity","PX_LAST")</f>
        <v>34.83</v>
      </c>
      <c r="G12" s="131"/>
      <c r="H12" s="135">
        <f ca="1">F12/AG12</f>
        <v>0.43899672296445674</v>
      </c>
      <c r="I12" s="131"/>
      <c r="J12" s="136">
        <f>+F12*AI12</f>
        <v>1700.3124800999999</v>
      </c>
      <c r="K12" s="131"/>
      <c r="L12" s="136">
        <f>+J12+AL12+AN12-AP12</f>
        <v>1548.0934800999999</v>
      </c>
      <c r="M12" s="131"/>
      <c r="N12" s="137">
        <f>+L12/AS12</f>
        <v>31.303073098776665</v>
      </c>
      <c r="O12" s="131"/>
      <c r="P12" s="289">
        <f>$N12/AU12-1</f>
        <v>-0.20693983200310606</v>
      </c>
      <c r="Q12" s="144"/>
      <c r="R12" s="289">
        <f>$N12/AW12-1</f>
        <v>-0.3772190384377907</v>
      </c>
      <c r="S12" s="137">
        <f>+F12/AR12</f>
        <v>35.907216494845358</v>
      </c>
      <c r="T12" s="137">
        <f>L12/(BM12)</f>
        <v>4.8327630312830703</v>
      </c>
      <c r="U12" s="131"/>
      <c r="V12" s="289">
        <f t="shared" si="2"/>
        <v>-0.27461060740908372</v>
      </c>
      <c r="W12" s="144"/>
      <c r="X12" s="289">
        <f t="shared" si="3"/>
        <v>-0.43936508956516351</v>
      </c>
      <c r="Y12" s="144"/>
      <c r="Z12" s="347">
        <f t="shared" ref="Z12:Z13" si="9">(BM12/BI12)^(1/2)-1</f>
        <v>0.17894014168801764</v>
      </c>
      <c r="AA12" s="135"/>
      <c r="AB12" s="135">
        <f t="shared" ref="AB12:AB13" si="10">+BU12/BM12</f>
        <v>0.13371397889071684</v>
      </c>
      <c r="AC12" s="131"/>
      <c r="AD12" s="131"/>
      <c r="AE12" s="131"/>
      <c r="AG12" s="117">
        <f ca="1">_xll.BDP($D12&amp;" Equity","INTERVAL_HIGH","CALC_INTERVAL=52W","END_DATE_OVERRIDE",TEXT($F$4,"YYYYMMDD"))</f>
        <v>79.34</v>
      </c>
      <c r="AH12" s="118"/>
      <c r="AI12" s="119">
        <f>_xll.BDP($D12&amp;" Equity","EQY_SH_OUT")</f>
        <v>48.81747</v>
      </c>
      <c r="AJ12" s="119">
        <f>_xll.BDP($D12&amp;" Equity","BS_SH_OUT")</f>
        <v>48.212000000000003</v>
      </c>
      <c r="AK12" s="118"/>
      <c r="AL12" s="120">
        <f>_xll.BDP($D12&amp;" Equity","SHORT_AND_LONG_TERM_DEBT", "FUND_PER=Q")</f>
        <v>35.893999999999998</v>
      </c>
      <c r="AM12" s="118"/>
      <c r="AN12" s="120">
        <f>(_xll.BDP($D12&amp;" Equity","BS_PFD_EQY", "FUND_PER=Q"))+(_xll.BDP($D12&amp;" Equity","MINORITY_NONCONTROLLING_INTEREST", "FUND_PER=Q"))</f>
        <v>0</v>
      </c>
      <c r="AO12" s="118"/>
      <c r="AP12" s="120">
        <f>_xll.BDP($D12&amp;" Equity","CASH_AND_MARKETABLE_SECURITIES", "FUND_PER=Q")</f>
        <v>188.113</v>
      </c>
      <c r="AQ12" s="118"/>
      <c r="AR12" s="117">
        <f>_xll.BDP($D12&amp;" Equity","BEST_EPS", "BEST_FPERIOD_OVERRIDE=1TY")</f>
        <v>0.97</v>
      </c>
      <c r="AS12" s="120">
        <f>_xll.BDP($D12&amp;" Equity","BEST_EBITDA", "BEST_FPERIOD_OVERRIDE=1TY")</f>
        <v>49.454999999999998</v>
      </c>
      <c r="AT12" s="118"/>
      <c r="AU12" s="121">
        <f>_xll.BDP($D12&amp;" Equity","INTERVAL_AVG", "MARKET_DATA_OVERRIDE=BEST_CUR_EV_TO_EBITDA", "BEST_FPERIOD_OVERRIDE=1TY ", "CALC_INTERVAL=1Y ")</f>
        <v>39.471246144970003</v>
      </c>
      <c r="AV12" s="118"/>
      <c r="AW12" s="121">
        <f>_xll.BDP($D12&amp;" Equity","INTERVAL_AVG", "MARKET_DATA_OVERRIDE=BEST_CUR_EV_TO_EBITDA", "BEST_FPERIOD_OVERRIDE=1TY ", "CALC_INTERVAL=2Y ")</f>
        <v>50.263375136347697</v>
      </c>
      <c r="AX12" s="118"/>
      <c r="AY12" s="121">
        <f>_xll.BDP($D12&amp;" Equity","INTERVAL_AVG", "MARKET_DATA_OVERRIDE=BEST_CUR_EV_TO_EBITDA", "BEST_FPERIOD_OVERRIDE=1TY ", "CALC_INTERVAL=5Y ")</f>
        <v>103.41664929872445</v>
      </c>
      <c r="AZ12" s="118"/>
      <c r="BA12" s="121">
        <f>_xll.BDP($D12&amp;" Equity","INTERVAL_AVG", "MARKET_DATA_OVERRIDE=BEST_PE_RATIO", "BEST_FPERIOD_OVERRIDE=1TY ", "CALC_INTERVAL=1Y ")</f>
        <v>49.500608723534576</v>
      </c>
      <c r="BB12" s="118"/>
      <c r="BC12" s="121">
        <f>_xll.BDP($D12&amp;" Equity","INTERVAL_AVG", "MARKET_DATA_OVERRIDE=BEST_PE_RATIO", "BEST_FPERIOD_OVERRIDE=1TY ", "CALC_INTERVAL=2Y ")</f>
        <v>64.047414505449197</v>
      </c>
      <c r="BD12" s="118"/>
      <c r="BE12" s="121">
        <f>_xll.BDP($D12&amp;" Equity","INTERVAL_AVG", "MARKET_DATA_OVERRIDE=BEST_PE_RATIO", "BEST_FPERIOD_OVERRIDE=1TY ", "CALC_INTERVAL=5Y ")</f>
        <v>109.05574971478786</v>
      </c>
      <c r="BF12" s="118"/>
      <c r="BG12" s="120">
        <f>_xll.BDP($D12&amp;" Equity","BEST_SALES", "BEST_FPERIOD_OVERRIDE=20BC")</f>
        <v>163.46</v>
      </c>
      <c r="BH12" s="118"/>
      <c r="BI12" s="120">
        <f>_xll.BDP($D12&amp;" Equity","BEST_SALES", "BEST_FPERIOD_OVERRIDE=21BC")</f>
        <v>230.47200000000001</v>
      </c>
      <c r="BJ12" s="118"/>
      <c r="BK12" s="120">
        <f>_xll.BDP($D12&amp;" Equity","BEST_SALES", "BEST_FPERIOD_OVERRIDE=22BC")</f>
        <v>284.39100000000002</v>
      </c>
      <c r="BL12" s="118"/>
      <c r="BM12" s="120">
        <f>_xll.BDP($D12&amp;" Equity","BEST_SALES", "BEST_FPERIOD_OVERRIDE=23BC")</f>
        <v>320.33300000000003</v>
      </c>
      <c r="BN12" s="118"/>
      <c r="BO12" s="120">
        <f>_xll.BDP($D12&amp;" Equity","BEST_EBITDA", "BEST_FPERIOD_OVERRIDE=20BC")</f>
        <v>9.8640000000000008</v>
      </c>
      <c r="BP12" s="118"/>
      <c r="BQ12" s="120">
        <f>_xll.BDP($D12&amp;" Equity","BEST_EBITDA", "BEST_FPERIOD_OVERRIDE=21BC")</f>
        <v>36.981000000000002</v>
      </c>
      <c r="BR12" s="118"/>
      <c r="BS12" s="120">
        <f>_xll.BDP($D12&amp;" Equity","BEST_EBITDA", "BEST_FPERIOD_OVERRIDE=22BC")</f>
        <v>48.311</v>
      </c>
      <c r="BT12" s="118"/>
      <c r="BU12" s="120">
        <f>_xll.BDP($D12&amp;" Equity","BEST_EBITDA", "BEST_FPERIOD_OVERRIDE=23BC")</f>
        <v>42.832999999999998</v>
      </c>
      <c r="BV12" s="118"/>
      <c r="BW12" s="117">
        <f>_xll.BDP($D12&amp;" Equity","BEST_EPS", "BEST_FPERIOD_OVERRIDE=20BC")</f>
        <v>0.35</v>
      </c>
      <c r="BX12" s="118"/>
      <c r="BY12" s="117">
        <f>_xll.BDP($D12&amp;" Equity","BEST_EPS", "BEST_FPERIOD_OVERRIDE=21BC")</f>
        <v>0.87</v>
      </c>
      <c r="BZ12" s="118"/>
      <c r="CA12" s="117">
        <f>_xll.BDP($D12&amp;" Equity","BEST_EPS", "BEST_FPERIOD_OVERRIDE=22BC")</f>
        <v>1.22</v>
      </c>
      <c r="CB12" s="118"/>
      <c r="CC12" s="117">
        <f>_xll.BDP($D12&amp;" Equity","BEST_EPS", "BEST_FPERIOD_OVERRIDE=23BC")</f>
        <v>0.997</v>
      </c>
      <c r="CE12" s="122" t="e">
        <f>(_xll.BDP($D12&amp;" Equity","ORGANIC_GROWTH", "EQY_FUND_YEAR=2020"))/100</f>
        <v>#VALUE!</v>
      </c>
      <c r="CF12" s="122"/>
      <c r="CG12" s="122" t="e">
        <f>(_xll.BDP($D12&amp;" Equity","ORGANIC_GROWTH", "EQY_FUND_YEAR=2021"))/100</f>
        <v>#VALUE!</v>
      </c>
      <c r="CH12" s="122"/>
      <c r="CI12" s="122" t="e">
        <f>(_xll.BDP($D12&amp;" Equity","ORGANIC_GROWTH", "EQY_FUND_YEAR=2022"))/100</f>
        <v>#VALUE!</v>
      </c>
      <c r="CJ12" s="122"/>
      <c r="CK12" s="122" t="e">
        <f>(_xll.BDP($D12&amp;" Equity","ORGANIC_GROWTH", "EQY_FUND_RELATIVE_PERIOD=-0FY"))/100</f>
        <v>#VALUE!</v>
      </c>
      <c r="CM12" s="117" t="str">
        <f>_xll.BDP($D12&amp;" Equity","IS_ADJ_EBIT_OP_INC_AS_REPORTED", "EQY_FUND_YEAR="&amp;CM$4)</f>
        <v>#N/A N/A</v>
      </c>
      <c r="CN12" s="118"/>
      <c r="CO12" s="117" t="str">
        <f>_xll.BDP($D12&amp;" Equity","IS_ADJ_EBIT_OP_INC_AS_REPORTED", "EQY_FUND_YEAR="&amp;CO$4)</f>
        <v>#N/A N/A</v>
      </c>
      <c r="CP12" s="118"/>
      <c r="CQ12" s="117" t="str">
        <f>_xll.BDP($D12&amp;" Equity","IS_ADJ_EBIT_OP_INC_AS_REPORTED", "EQY_FUND_YEAR="&amp;CQ$4)</f>
        <v>#N/A N/A</v>
      </c>
      <c r="CR12" s="118"/>
      <c r="CS12" s="117" t="str">
        <f>_xll.BDP($D12&amp;" Equity","IS_ADJ_EBIT_OP_INC_AS_REPORTED", "EQY_FUND_YEAR=-0FY")</f>
        <v>#N/A N/A</v>
      </c>
      <c r="CU12" s="117">
        <f>_xll.BDP($D12&amp;" Equity","IS_ADJUSTED_EPS_AS_REPORTED", "EQY_FUND_YEAR="&amp;CU$4)</f>
        <v>0.37</v>
      </c>
      <c r="CV12" s="118"/>
      <c r="CW12" s="117">
        <f>_xll.BDP($D12&amp;" Equity","IS_ADJUSTED_EPS_AS_REPORTED", "EQY_FUND_YEAR="&amp;CW$4)</f>
        <v>0.87</v>
      </c>
      <c r="CX12" s="118"/>
      <c r="CY12" s="117">
        <f>_xll.BDP($D12&amp;" Equity","IS_ADJUSTED_EPS_AS_REPORTED", "EQY_FUND_YEAR="&amp;CY$4)</f>
        <v>1.22</v>
      </c>
      <c r="CZ12" s="118"/>
      <c r="DA12" s="117">
        <f>_xll.BDP($D12&amp;" Equity","IS_ADJUSTED_EPS_AS_REPORTED", "EQY_FUND_YEAR=-0FY")</f>
        <v>1.22</v>
      </c>
    </row>
    <row r="13" spans="1:105" outlineLevel="1">
      <c r="B13" s="104" t="s">
        <v>617</v>
      </c>
      <c r="C13" s="131"/>
      <c r="D13" s="131" t="s">
        <v>618</v>
      </c>
      <c r="E13" s="131"/>
      <c r="F13" s="134" cm="1">
        <f t="array" ref="F13">_xll.BDP($D13&amp;" Equity","PX_LAST")</f>
        <v>126.83</v>
      </c>
      <c r="G13" s="131"/>
      <c r="H13" s="135">
        <f ca="1">F13/AG13</f>
        <v>0.80480994986991561</v>
      </c>
      <c r="I13" s="131"/>
      <c r="J13" s="136">
        <f>+F13*AI13</f>
        <v>4056.1261322999999</v>
      </c>
      <c r="K13" s="131"/>
      <c r="L13" s="136">
        <f>+J13+AL13+AN13-AP13</f>
        <v>4265.5661322999995</v>
      </c>
      <c r="M13" s="131"/>
      <c r="N13" s="137">
        <f>+L13/AS13</f>
        <v>15.888131603687491</v>
      </c>
      <c r="O13" s="131"/>
      <c r="P13" s="289">
        <f>$N13/AU13-1</f>
        <v>-0.13699521108035073</v>
      </c>
      <c r="Q13" s="144"/>
      <c r="R13" s="289">
        <f>$N13/AW13-1</f>
        <v>-0.10144492329273691</v>
      </c>
      <c r="S13" s="137">
        <f>+F13/AR13</f>
        <v>25.416833667334668</v>
      </c>
      <c r="T13" s="137">
        <f>L13/(BM13)</f>
        <v>3.2499551484190472</v>
      </c>
      <c r="U13" s="131"/>
      <c r="V13" s="289">
        <f t="shared" si="2"/>
        <v>-0.16258325463603185</v>
      </c>
      <c r="W13" s="144"/>
      <c r="X13" s="289">
        <f t="shared" si="3"/>
        <v>-0.15122095550646841</v>
      </c>
      <c r="Y13" s="144"/>
      <c r="Z13" s="347">
        <f t="shared" si="9"/>
        <v>0.22159651139295122</v>
      </c>
      <c r="AA13" s="135"/>
      <c r="AB13" s="135">
        <f t="shared" si="10"/>
        <v>0.19238095238095237</v>
      </c>
      <c r="AC13" s="131"/>
      <c r="AD13" s="131"/>
      <c r="AE13" s="131"/>
      <c r="AG13" s="117">
        <f ca="1">_xll.BDP($D13&amp;" Equity","INTERVAL_HIGH","CALC_INTERVAL=52W","END_DATE_OVERRIDE",TEXT($F$4,"YYYYMMDD"))</f>
        <v>157.59</v>
      </c>
      <c r="AH13" s="118"/>
      <c r="AI13" s="119">
        <f>_xll.BDP($D13&amp;" Equity","EQY_SH_OUT")</f>
        <v>31.980809999999998</v>
      </c>
      <c r="AJ13" s="119">
        <f>_xll.BDP($D13&amp;" Equity","BS_SH_OUT")</f>
        <v>31.967300000000002</v>
      </c>
      <c r="AK13" s="118"/>
      <c r="AL13" s="120">
        <f>_xll.BDP($D13&amp;" Equity","SHORT_AND_LONG_TERM_DEBT", "FUND_PER=Q")</f>
        <v>206.39100000000002</v>
      </c>
      <c r="AM13" s="118"/>
      <c r="AN13" s="120">
        <f>(_xll.BDP($D13&amp;" Equity","BS_PFD_EQY", "FUND_PER=Q"))+(_xll.BDP($D13&amp;" Equity","MINORITY_NONCONTROLLING_INTEREST", "FUND_PER=Q"))</f>
        <v>186.55799999999999</v>
      </c>
      <c r="AO13" s="118"/>
      <c r="AP13" s="120">
        <f>_xll.BDP($D13&amp;" Equity","CASH_AND_MARKETABLE_SECURITIES", "FUND_PER=Q")</f>
        <v>183.50900000000001</v>
      </c>
      <c r="AQ13" s="118"/>
      <c r="AR13" s="117">
        <f>_xll.BDP($D13&amp;" Equity","BEST_EPS", "BEST_FPERIOD_OVERRIDE=1TY")</f>
        <v>4.99</v>
      </c>
      <c r="AS13" s="120">
        <f>_xll.BDP($D13&amp;" Equity","BEST_EBITDA", "BEST_FPERIOD_OVERRIDE=1TY")</f>
        <v>268.47500000000002</v>
      </c>
      <c r="AT13" s="118"/>
      <c r="AU13" s="121">
        <f>_xll.BDP($D13&amp;" Equity","INTERVAL_AVG", "MARKET_DATA_OVERRIDE=BEST_CUR_EV_TO_EBITDA", "BEST_FPERIOD_OVERRIDE=1TY ", "CALC_INTERVAL=1Y ")</f>
        <v>18.410247321543853</v>
      </c>
      <c r="AV13" s="118"/>
      <c r="AW13" s="121">
        <f>_xll.BDP($D13&amp;" Equity","INTERVAL_AVG", "MARKET_DATA_OVERRIDE=BEST_CUR_EV_TO_EBITDA", "BEST_FPERIOD_OVERRIDE=1TY ", "CALC_INTERVAL=2Y ")</f>
        <v>17.681867272854578</v>
      </c>
      <c r="AX13" s="118"/>
      <c r="AY13" s="121">
        <f>_xll.BDP($D13&amp;" Equity","INTERVAL_AVG", "MARKET_DATA_OVERRIDE=BEST_CUR_EV_TO_EBITDA", "BEST_FPERIOD_OVERRIDE=1TY ", "CALC_INTERVAL=5Y ")</f>
        <v>18.279610787907828</v>
      </c>
      <c r="AZ13" s="118"/>
      <c r="BA13" s="121">
        <f>_xll.BDP($D13&amp;" Equity","INTERVAL_AVG", "MARKET_DATA_OVERRIDE=BEST_PE_RATIO", "BEST_FPERIOD_OVERRIDE=1TY ", "CALC_INTERVAL=1Y ")</f>
        <v>30.35147530550956</v>
      </c>
      <c r="BB13" s="118"/>
      <c r="BC13" s="121">
        <f>_xll.BDP($D13&amp;" Equity","INTERVAL_AVG", "MARKET_DATA_OVERRIDE=BEST_PE_RATIO", "BEST_FPERIOD_OVERRIDE=1TY ", "CALC_INTERVAL=2Y ")</f>
        <v>29.945171045664718</v>
      </c>
      <c r="BD13" s="118"/>
      <c r="BE13" s="121">
        <f>_xll.BDP($D13&amp;" Equity","INTERVAL_AVG", "MARKET_DATA_OVERRIDE=BEST_PE_RATIO", "BEST_FPERIOD_OVERRIDE=1TY ", "CALC_INTERVAL=5Y ")</f>
        <v>34.575017650513701</v>
      </c>
      <c r="BF13" s="118"/>
      <c r="BG13" s="120">
        <f>_xll.BDP($D13&amp;" Equity","BEST_SALES", "BEST_FPERIOD_OVERRIDE=20BC")</f>
        <v>539.00900000000001</v>
      </c>
      <c r="BH13" s="118"/>
      <c r="BI13" s="120">
        <f>_xll.BDP($D13&amp;" Equity","BEST_SALES", "BEST_FPERIOD_OVERRIDE=21BC")</f>
        <v>879.51599999999996</v>
      </c>
      <c r="BJ13" s="118"/>
      <c r="BK13" s="120">
        <f>_xll.BDP($D13&amp;" Equity","BEST_SALES", "BEST_FPERIOD_OVERRIDE=22BC")</f>
        <v>1086.653</v>
      </c>
      <c r="BL13" s="118"/>
      <c r="BM13" s="120">
        <f>_xll.BDP($D13&amp;" Equity","BEST_SALES", "BEST_FPERIOD_OVERRIDE=23BC")</f>
        <v>1312.5</v>
      </c>
      <c r="BN13" s="118"/>
      <c r="BO13" s="120">
        <f>_xll.BDP($D13&amp;" Equity","BEST_EBITDA", "BEST_FPERIOD_OVERRIDE=20BC")</f>
        <v>74.733000000000004</v>
      </c>
      <c r="BP13" s="118"/>
      <c r="BQ13" s="120">
        <f>_xll.BDP($D13&amp;" Equity","BEST_EBITDA", "BEST_FPERIOD_OVERRIDE=21BC")</f>
        <v>153.667</v>
      </c>
      <c r="BR13" s="118"/>
      <c r="BS13" s="120">
        <f>_xll.BDP($D13&amp;" Equity","BEST_EBITDA", "BEST_FPERIOD_OVERRIDE=22BC")</f>
        <v>197</v>
      </c>
      <c r="BT13" s="118"/>
      <c r="BU13" s="120">
        <f>_xll.BDP($D13&amp;" Equity","BEST_EBITDA", "BEST_FPERIOD_OVERRIDE=23BC")</f>
        <v>252.5</v>
      </c>
      <c r="BV13" s="118"/>
      <c r="BW13" s="117">
        <f>_xll.BDP($D13&amp;" Equity","BEST_EPS", "BEST_FPERIOD_OVERRIDE=20BC")</f>
        <v>1.2073780000000001</v>
      </c>
      <c r="BX13" s="118"/>
      <c r="BY13" s="117">
        <f>_xll.BDP($D13&amp;" Equity","BEST_EPS", "BEST_FPERIOD_OVERRIDE=21BC")</f>
        <v>2.745752</v>
      </c>
      <c r="BZ13" s="118"/>
      <c r="CA13" s="117">
        <f>_xll.BDP($D13&amp;" Equity","BEST_EPS", "BEST_FPERIOD_OVERRIDE=22BC")</f>
        <v>3.7806120000000001</v>
      </c>
      <c r="CB13" s="118"/>
      <c r="CC13" s="117">
        <f>_xll.BDP($D13&amp;" Equity","BEST_EPS", "BEST_FPERIOD_OVERRIDE=23BC")</f>
        <v>4.75</v>
      </c>
      <c r="CE13" s="122" t="e">
        <f>(_xll.BDP($D13&amp;" Equity","ORGANIC_GROWTH", "EQY_FUND_YEAR=2020"))/100</f>
        <v>#VALUE!</v>
      </c>
      <c r="CF13" s="122"/>
      <c r="CG13" s="122" t="e">
        <f>(_xll.BDP($D13&amp;" Equity","ORGANIC_GROWTH", "EQY_FUND_YEAR=2021"))/100</f>
        <v>#VALUE!</v>
      </c>
      <c r="CH13" s="122"/>
      <c r="CI13" s="122" t="e">
        <f>(_xll.BDP($D13&amp;" Equity","ORGANIC_GROWTH", "EQY_FUND_YEAR=2022"))/100</f>
        <v>#VALUE!</v>
      </c>
      <c r="CJ13" s="122"/>
      <c r="CK13" s="122" t="e">
        <f>(_xll.BDP($D13&amp;" Equity","ORGANIC_GROWTH", "EQY_FUND_RELATIVE_PERIOD=-0FY"))/100</f>
        <v>#VALUE!</v>
      </c>
      <c r="CM13" s="117" t="str">
        <f>_xll.BDP($D13&amp;" Equity","IS_ADJ_EBIT_OP_INC_AS_REPORTED", "EQY_FUND_YEAR="&amp;CM$4)</f>
        <v>#N/A N/A</v>
      </c>
      <c r="CN13" s="118"/>
      <c r="CO13" s="117" t="str">
        <f>_xll.BDP($D13&amp;" Equity","IS_ADJ_EBIT_OP_INC_AS_REPORTED", "EQY_FUND_YEAR="&amp;CO$4)</f>
        <v>#N/A N/A</v>
      </c>
      <c r="CP13" s="118"/>
      <c r="CQ13" s="117" t="str">
        <f>_xll.BDP($D13&amp;" Equity","IS_ADJ_EBIT_OP_INC_AS_REPORTED", "EQY_FUND_YEAR="&amp;CQ$4)</f>
        <v>#N/A N/A</v>
      </c>
      <c r="CR13" s="118"/>
      <c r="CS13" s="117" t="str">
        <f>_xll.BDP($D13&amp;" Equity","IS_ADJ_EBIT_OP_INC_AS_REPORTED", "EQY_FUND_YEAR=-0FY")</f>
        <v>#N/A N/A</v>
      </c>
      <c r="CU13" s="117" t="str">
        <f>_xll.BDP($D13&amp;" Equity","IS_ADJUSTED_EPS_AS_REPORTED", "EQY_FUND_YEAR="&amp;CU$4)</f>
        <v>#N/A N/A</v>
      </c>
      <c r="CV13" s="118"/>
      <c r="CW13" s="117" t="str">
        <f>_xll.BDP($D13&amp;" Equity","IS_ADJUSTED_EPS_AS_REPORTED", "EQY_FUND_YEAR="&amp;CW$4)</f>
        <v>#N/A N/A</v>
      </c>
      <c r="CX13" s="118"/>
      <c r="CY13" s="117" t="str">
        <f>_xll.BDP($D13&amp;" Equity","IS_ADJUSTED_EPS_AS_REPORTED", "EQY_FUND_YEAR="&amp;CY$4)</f>
        <v>#N/A N/A</v>
      </c>
      <c r="CZ13" s="118"/>
      <c r="DA13" s="117" t="str">
        <f>_xll.BDP($D13&amp;" Equity","IS_ADJUSTED_EPS_AS_REPORTED", "EQY_FUND_YEAR=-0FY")</f>
        <v>#N/A N/A</v>
      </c>
    </row>
    <row r="14" spans="1:105" outlineLevel="1">
      <c r="B14" s="104" t="s">
        <v>615</v>
      </c>
      <c r="C14" s="131"/>
      <c r="D14" s="131" t="s">
        <v>616</v>
      </c>
      <c r="E14" s="131"/>
      <c r="F14" s="134" cm="1">
        <f t="array" ref="F14">_xll.BDP($D14&amp;" Equity","PX_LAST")</f>
        <v>112.85</v>
      </c>
      <c r="G14" s="131"/>
      <c r="H14" s="135">
        <f ca="1">F14/AG14</f>
        <v>0.81356787542354547</v>
      </c>
      <c r="I14" s="131"/>
      <c r="J14" s="136">
        <f>+F14*AI14</f>
        <v>6229.2319769999995</v>
      </c>
      <c r="K14" s="131"/>
      <c r="L14" s="136">
        <f>+J14+AL14+AN14-AP14</f>
        <v>6143.162977</v>
      </c>
      <c r="M14" s="131"/>
      <c r="N14" s="137">
        <f>+L14/AS14</f>
        <v>26.030131003127092</v>
      </c>
      <c r="O14" s="131"/>
      <c r="P14" s="289">
        <f>$N14/AU14-1</f>
        <v>-0.19754953492206084</v>
      </c>
      <c r="Q14" s="144"/>
      <c r="R14" s="289">
        <f>$N14/AW14-1</f>
        <v>-2.9487688331078177E-2</v>
      </c>
      <c r="S14" s="137">
        <f>+F14/AR14</f>
        <v>41.036363636363632</v>
      </c>
      <c r="T14" s="137">
        <f>L14/(BM14)</f>
        <v>7.234033531440657</v>
      </c>
      <c r="U14" s="131"/>
      <c r="V14" s="289">
        <f t="shared" ref="V14" si="11">+$S14/BA14-1</f>
        <v>-0.1971282259905619</v>
      </c>
      <c r="W14" s="144"/>
      <c r="X14" s="289">
        <f t="shared" ref="X14" si="12">+$S14/BC14-1</f>
        <v>-8.3751844264974729E-2</v>
      </c>
      <c r="Y14" s="144"/>
      <c r="Z14" s="347">
        <f t="shared" ref="Z14" si="13">(BM14/BI14)^(1/2)-1</f>
        <v>0.49551443190660605</v>
      </c>
      <c r="AA14" s="135"/>
      <c r="AB14" s="135">
        <f t="shared" ref="AB14" si="14">+BU14/BM14</f>
        <v>0.23816802342902696</v>
      </c>
      <c r="AC14" s="131"/>
      <c r="AD14" s="131"/>
      <c r="AE14" s="131"/>
      <c r="AG14" s="117">
        <f ca="1">_xll.BDP($D14&amp;" Equity","INTERVAL_HIGH","CALC_INTERVAL=52W","END_DATE_OVERRIDE",TEXT($F$4,"YYYYMMDD"))</f>
        <v>138.71</v>
      </c>
      <c r="AH14" s="118"/>
      <c r="AI14" s="119">
        <f>_xll.BDP($D14&amp;" Equity","EQY_SH_OUT")</f>
        <v>55.199219999999997</v>
      </c>
      <c r="AJ14" s="119">
        <f>_xll.BDP($D14&amp;" Equity","BS_SH_OUT")</f>
        <v>52.243763999999999</v>
      </c>
      <c r="AK14" s="118"/>
      <c r="AL14" s="120">
        <f>_xll.BDP($D14&amp;" Equity","SHORT_AND_LONG_TERM_DEBT", "FUND_PER=Q")</f>
        <v>81.694000000000003</v>
      </c>
      <c r="AM14" s="118"/>
      <c r="AN14" s="120">
        <f>(_xll.BDP($D14&amp;" Equity","BS_PFD_EQY", "FUND_PER=Q"))+(_xll.BDP($D14&amp;" Equity","MINORITY_NONCONTROLLING_INTEREST", "FUND_PER=Q"))</f>
        <v>0</v>
      </c>
      <c r="AO14" s="118"/>
      <c r="AP14" s="120">
        <f>_xll.BDP($D14&amp;" Equity","CASH_AND_MARKETABLE_SECURITIES", "FUND_PER=Q")</f>
        <v>167.76300000000001</v>
      </c>
      <c r="AQ14" s="118"/>
      <c r="AR14" s="117">
        <f>_xll.BDP($D14&amp;" Equity","BEST_EPS", "BEST_FPERIOD_OVERRIDE=1TY")</f>
        <v>2.75</v>
      </c>
      <c r="AS14" s="120">
        <f>_xll.BDP($D14&amp;" Equity","BEST_EBITDA", "BEST_FPERIOD_OVERRIDE=1TY")</f>
        <v>236.00200000000001</v>
      </c>
      <c r="AT14" s="118"/>
      <c r="AU14" s="121">
        <f>_xll.BDP($D14&amp;" Equity","INTERVAL_AVG", "MARKET_DATA_OVERRIDE=BEST_CUR_EV_TO_EBITDA", "BEST_FPERIOD_OVERRIDE=1TY ", "CALC_INTERVAL=1Y ")</f>
        <v>32.438302594290199</v>
      </c>
      <c r="AV14" s="118"/>
      <c r="AW14" s="121">
        <f>_xll.BDP($D14&amp;" Equity","INTERVAL_AVG", "MARKET_DATA_OVERRIDE=BEST_CUR_EV_TO_EBITDA", "BEST_FPERIOD_OVERRIDE=1TY ", "CALC_INTERVAL=2Y ")</f>
        <v>26.82102090839518</v>
      </c>
      <c r="AX14" s="118"/>
      <c r="AY14" s="121">
        <f>_xll.BDP($D14&amp;" Equity","INTERVAL_AVG", "MARKET_DATA_OVERRIDE=BEST_CUR_EV_TO_EBITDA", "BEST_FPERIOD_OVERRIDE=1TY ", "CALC_INTERVAL=5Y ")</f>
        <v>21.047106706791663</v>
      </c>
      <c r="AZ14" s="118"/>
      <c r="BA14" s="121">
        <f>_xll.BDP($D14&amp;" Equity","INTERVAL_AVG", "MARKET_DATA_OVERRIDE=BEST_PE_RATIO", "BEST_FPERIOD_OVERRIDE=1TY ", "CALC_INTERVAL=1Y ")</f>
        <v>51.111976986603132</v>
      </c>
      <c r="BB14" s="118"/>
      <c r="BC14" s="121">
        <f>_xll.BDP($D14&amp;" Equity","INTERVAL_AVG", "MARKET_DATA_OVERRIDE=BEST_PE_RATIO", "BEST_FPERIOD_OVERRIDE=1TY ", "CALC_INTERVAL=2Y ")</f>
        <v>44.787390162268615</v>
      </c>
      <c r="BD14" s="118"/>
      <c r="BE14" s="121">
        <f>_xll.BDP($D14&amp;" Equity","INTERVAL_AVG", "MARKET_DATA_OVERRIDE=BEST_PE_RATIO", "BEST_FPERIOD_OVERRIDE=1TY ", "CALC_INTERVAL=5Y ")</f>
        <v>37.748920684659041</v>
      </c>
      <c r="BF14" s="118"/>
      <c r="BG14" s="120">
        <f>_xll.BDP($D14&amp;" Equity","BEST_SALES", "BEST_FPERIOD_OVERRIDE=20BC")</f>
        <v>300.15100000000001</v>
      </c>
      <c r="BH14" s="118"/>
      <c r="BI14" s="120">
        <f>_xll.BDP($D14&amp;" Equity","BEST_SALES", "BEST_FPERIOD_OVERRIDE=21BC")</f>
        <v>379.69100000000003</v>
      </c>
      <c r="BJ14" s="118"/>
      <c r="BK14" s="120">
        <f>_xll.BDP($D14&amp;" Equity","BEST_SALES", "BEST_FPERIOD_OVERRIDE=22BC")</f>
        <v>496.62199999999996</v>
      </c>
      <c r="BL14" s="118"/>
      <c r="BM14" s="120">
        <f>_xll.BDP($D14&amp;" Equity","BEST_SALES", "BEST_FPERIOD_OVERRIDE=23BC")</f>
        <v>849.20299999999997</v>
      </c>
      <c r="BN14" s="118"/>
      <c r="BO14" s="120">
        <f>_xll.BDP($D14&amp;" Equity","BEST_EBITDA", "BEST_FPERIOD_OVERRIDE=20BC")</f>
        <v>59.879999999999995</v>
      </c>
      <c r="BP14" s="118"/>
      <c r="BQ14" s="120">
        <f>_xll.BDP($D14&amp;" Equity","BEST_EBITDA", "BEST_FPERIOD_OVERRIDE=21BC")</f>
        <v>74.778000000000006</v>
      </c>
      <c r="BR14" s="118"/>
      <c r="BS14" s="120">
        <f>_xll.BDP($D14&amp;" Equity","BEST_EBITDA", "BEST_FPERIOD_OVERRIDE=22BC")</f>
        <v>108.34800000000001</v>
      </c>
      <c r="BT14" s="118"/>
      <c r="BU14" s="120">
        <f>_xll.BDP($D14&amp;" Equity","BEST_EBITDA", "BEST_FPERIOD_OVERRIDE=23BC")</f>
        <v>202.25299999999999</v>
      </c>
      <c r="BV14" s="118"/>
      <c r="BW14" s="117">
        <f>_xll.BDP($D14&amp;" Equity","BEST_EPS", "BEST_FPERIOD_OVERRIDE=20BC")</f>
        <v>0.65</v>
      </c>
      <c r="BX14" s="118"/>
      <c r="BY14" s="117">
        <f>_xll.BDP($D14&amp;" Equity","BEST_EPS", "BEST_FPERIOD_OVERRIDE=21BC")</f>
        <v>0.88</v>
      </c>
      <c r="BZ14" s="118"/>
      <c r="CA14" s="117">
        <f>_xll.BDP($D14&amp;" Equity","BEST_EPS", "BEST_FPERIOD_OVERRIDE=22BC")</f>
        <v>1.3599999999999999</v>
      </c>
      <c r="CB14" s="118"/>
      <c r="CC14" s="117">
        <f>_xll.BDP($D14&amp;" Equity","BEST_EPS", "BEST_FPERIOD_OVERRIDE=23BC")</f>
        <v>2.8369999999999997</v>
      </c>
      <c r="CE14" s="122" t="e">
        <f>(_xll.BDP($D14&amp;" Equity","ORGANIC_GROWTH", "EQY_FUND_YEAR=2020"))/100</f>
        <v>#VALUE!</v>
      </c>
      <c r="CF14" s="122"/>
      <c r="CG14" s="122" t="e">
        <f>(_xll.BDP($D14&amp;" Equity","ORGANIC_GROWTH", "EQY_FUND_YEAR=2021"))/100</f>
        <v>#VALUE!</v>
      </c>
      <c r="CH14" s="122"/>
      <c r="CI14" s="122" t="e">
        <f>(_xll.BDP($D14&amp;" Equity","ORGANIC_GROWTH", "EQY_FUND_YEAR=2022"))/100</f>
        <v>#VALUE!</v>
      </c>
      <c r="CJ14" s="122"/>
      <c r="CK14" s="122" t="e">
        <f>(_xll.BDP($D14&amp;" Equity","ORGANIC_GROWTH", "EQY_FUND_RELATIVE_PERIOD=-0FY"))/100</f>
        <v>#VALUE!</v>
      </c>
      <c r="CM14" s="117" t="str">
        <f>_xll.BDP($D14&amp;" Equity","IS_ADJ_EBIT_OP_INC_AS_REPORTED", "EQY_FUND_YEAR="&amp;CM$4)</f>
        <v>#N/A N/A</v>
      </c>
      <c r="CN14" s="118"/>
      <c r="CO14" s="117" t="str">
        <f>_xll.BDP($D14&amp;" Equity","IS_ADJ_EBIT_OP_INC_AS_REPORTED", "EQY_FUND_YEAR="&amp;CO$4)</f>
        <v>#N/A N/A</v>
      </c>
      <c r="CP14" s="118"/>
      <c r="CQ14" s="117" t="str">
        <f>_xll.BDP($D14&amp;" Equity","IS_ADJ_EBIT_OP_INC_AS_REPORTED", "EQY_FUND_YEAR="&amp;CQ$4)</f>
        <v>#N/A N/A</v>
      </c>
      <c r="CR14" s="118"/>
      <c r="CS14" s="117" t="str">
        <f>_xll.BDP($D14&amp;" Equity","IS_ADJ_EBIT_OP_INC_AS_REPORTED", "EQY_FUND_YEAR=-0FY")</f>
        <v>#N/A N/A</v>
      </c>
      <c r="CU14" s="117">
        <f>_xll.BDP($D14&amp;" Equity","IS_ADJUSTED_EPS_AS_REPORTED", "EQY_FUND_YEAR="&amp;CU$4)</f>
        <v>0.63</v>
      </c>
      <c r="CV14" s="118"/>
      <c r="CW14" s="117">
        <f>_xll.BDP($D14&amp;" Equity","IS_ADJUSTED_EPS_AS_REPORTED", "EQY_FUND_YEAR="&amp;CW$4)</f>
        <v>0.71</v>
      </c>
      <c r="CX14" s="118"/>
      <c r="CY14" s="117">
        <f>_xll.BDP($D14&amp;" Equity","IS_ADJUSTED_EPS_AS_REPORTED", "EQY_FUND_YEAR="&amp;CY$4)</f>
        <v>0.84</v>
      </c>
      <c r="CZ14" s="118"/>
      <c r="DA14" s="117">
        <f>_xll.BDP($D14&amp;" Equity","IS_ADJUSTED_EPS_AS_REPORTED", "EQY_FUND_YEAR=-0FY")</f>
        <v>1.66</v>
      </c>
    </row>
    <row r="15" spans="1:105" outlineLevel="1">
      <c r="A15" s="131"/>
      <c r="B15" s="104"/>
      <c r="C15" s="131"/>
      <c r="D15" s="131"/>
      <c r="E15" s="131"/>
      <c r="F15" s="134"/>
      <c r="G15" s="131"/>
      <c r="H15" s="135"/>
      <c r="I15" s="131"/>
      <c r="J15" s="136"/>
      <c r="K15" s="131"/>
      <c r="L15" s="136"/>
      <c r="M15" s="131"/>
      <c r="N15" s="137"/>
      <c r="O15" s="131"/>
      <c r="P15" s="135"/>
      <c r="Q15" s="131"/>
      <c r="R15" s="135"/>
      <c r="S15" s="137"/>
      <c r="T15" s="137"/>
      <c r="U15" s="131"/>
      <c r="V15" s="135"/>
      <c r="W15" s="131"/>
      <c r="X15" s="135"/>
      <c r="Y15" s="131"/>
      <c r="Z15" s="348"/>
      <c r="AA15" s="135"/>
      <c r="AB15" s="135"/>
      <c r="AC15" s="131"/>
      <c r="AD15" s="131"/>
      <c r="AE15" s="131"/>
      <c r="AG15" s="117"/>
      <c r="AH15" s="118"/>
      <c r="AI15" s="119"/>
      <c r="AJ15" s="119"/>
      <c r="AK15" s="118"/>
      <c r="AL15" s="120"/>
      <c r="AM15" s="118"/>
      <c r="AN15" s="120"/>
      <c r="AO15" s="118"/>
      <c r="AP15" s="120"/>
      <c r="AQ15" s="118"/>
      <c r="AR15" s="117"/>
      <c r="AS15" s="120"/>
      <c r="AT15" s="118"/>
      <c r="AU15" s="121"/>
      <c r="AV15" s="118"/>
      <c r="AW15" s="121"/>
      <c r="AX15" s="118"/>
      <c r="AY15" s="121"/>
      <c r="AZ15" s="118"/>
      <c r="BA15" s="121"/>
      <c r="BB15" s="118"/>
      <c r="BC15" s="121"/>
      <c r="BD15" s="118"/>
      <c r="BE15" s="121"/>
      <c r="BF15" s="118"/>
      <c r="BG15" s="120"/>
      <c r="BH15" s="118"/>
      <c r="BI15" s="120"/>
      <c r="BJ15" s="118"/>
      <c r="BK15" s="120"/>
      <c r="BL15" s="118"/>
      <c r="BM15" s="120"/>
      <c r="BN15" s="118"/>
      <c r="BO15" s="120"/>
      <c r="BP15" s="118"/>
      <c r="BQ15" s="120"/>
      <c r="BR15" s="118"/>
      <c r="BS15" s="120"/>
      <c r="BT15" s="118"/>
      <c r="BU15" s="120"/>
      <c r="BV15" s="118"/>
      <c r="BW15" s="117"/>
      <c r="BX15" s="118"/>
      <c r="BY15" s="117"/>
      <c r="BZ15" s="118"/>
      <c r="CA15" s="117"/>
      <c r="CB15" s="118"/>
      <c r="CC15" s="117"/>
      <c r="CE15" s="122"/>
      <c r="CF15" s="122"/>
      <c r="CG15" s="122"/>
      <c r="CH15" s="122"/>
      <c r="CI15" s="122"/>
      <c r="CJ15" s="122"/>
      <c r="CK15" s="122"/>
      <c r="CM15" s="117"/>
      <c r="CN15" s="118"/>
      <c r="CO15" s="117"/>
      <c r="CP15" s="118"/>
      <c r="CQ15" s="117"/>
      <c r="CR15" s="118"/>
      <c r="CS15" s="117"/>
      <c r="CU15" s="117"/>
      <c r="CV15" s="118"/>
      <c r="CW15" s="117"/>
      <c r="CX15" s="118"/>
      <c r="CY15" s="117"/>
      <c r="CZ15" s="118"/>
      <c r="DA15" s="117"/>
    </row>
    <row r="16" spans="1:105" s="123" customFormat="1">
      <c r="A16" s="131"/>
      <c r="B16" s="349" t="s">
        <v>99</v>
      </c>
      <c r="C16" s="138"/>
      <c r="D16" s="138"/>
      <c r="E16" s="138"/>
      <c r="F16" s="139"/>
      <c r="G16" s="138"/>
      <c r="H16" s="140">
        <f ca="1">MEDIAN(H9:H14)</f>
        <v>0.77350375447179842</v>
      </c>
      <c r="I16" s="138"/>
      <c r="J16" s="141">
        <f>MEDIAN(J9:J14)</f>
        <v>5142.6790546499997</v>
      </c>
      <c r="K16" s="138"/>
      <c r="L16" s="141">
        <f>MEDIAN(L9:L14)</f>
        <v>5204.3645546499993</v>
      </c>
      <c r="M16" s="138"/>
      <c r="N16" s="142">
        <f>MEDIAN(N9:N14)</f>
        <v>13.733276305855695</v>
      </c>
      <c r="O16" s="138"/>
      <c r="P16" s="334">
        <f>MEDIAN(P9:P14)</f>
        <v>-0.16727237300120579</v>
      </c>
      <c r="Q16" s="138"/>
      <c r="R16" s="334">
        <f>MEDIAN(R9:R14)</f>
        <v>-9.4738107449009956E-2</v>
      </c>
      <c r="S16" s="142">
        <f>MEDIAN(S9:S14)</f>
        <v>20.478284320472969</v>
      </c>
      <c r="T16" s="142">
        <f>MEDIAN(T9:T14)</f>
        <v>4.041359089851059</v>
      </c>
      <c r="U16" s="138"/>
      <c r="V16" s="334">
        <f>MEDIAN(V9:V14)</f>
        <v>-0.17985574031329687</v>
      </c>
      <c r="W16" s="138"/>
      <c r="X16" s="334">
        <f>MEDIAN(X9:X14)</f>
        <v>-0.17348198744861848</v>
      </c>
      <c r="Y16" s="138"/>
      <c r="Z16" s="350">
        <f>MEDIAN(Z9:Z14)</f>
        <v>0.16169244308393449</v>
      </c>
      <c r="AA16" s="140"/>
      <c r="AB16" s="140">
        <f>MEDIAN(AB6:AB9)</f>
        <v>0.1107356904594851</v>
      </c>
      <c r="AC16" s="138"/>
      <c r="AD16" s="138"/>
      <c r="AE16" s="138"/>
      <c r="AG16" s="124"/>
      <c r="AH16" s="125"/>
      <c r="AI16" s="126"/>
      <c r="AJ16" s="126"/>
      <c r="AK16" s="125"/>
      <c r="AL16" s="127"/>
      <c r="AM16" s="125"/>
      <c r="AN16" s="127"/>
      <c r="AO16" s="125"/>
      <c r="AP16" s="127"/>
      <c r="AQ16" s="125"/>
      <c r="AR16" s="124"/>
      <c r="AS16" s="127"/>
      <c r="AT16" s="125"/>
      <c r="AU16" s="128"/>
      <c r="AV16" s="125"/>
      <c r="AW16" s="128"/>
      <c r="AX16" s="125"/>
      <c r="AY16" s="128"/>
      <c r="AZ16" s="125"/>
      <c r="BA16" s="128"/>
      <c r="BB16" s="125"/>
      <c r="BC16" s="128"/>
      <c r="BD16" s="125"/>
      <c r="BE16" s="128"/>
      <c r="BF16" s="125"/>
      <c r="BG16" s="127"/>
      <c r="BH16" s="125"/>
      <c r="BI16" s="127"/>
      <c r="BJ16" s="125"/>
      <c r="BK16" s="127"/>
      <c r="BL16" s="125"/>
      <c r="BM16" s="127"/>
      <c r="BN16" s="125"/>
      <c r="BO16" s="127"/>
      <c r="BP16" s="125"/>
      <c r="BQ16" s="127"/>
      <c r="BR16" s="125"/>
      <c r="BS16" s="127"/>
      <c r="BT16" s="125"/>
      <c r="BU16" s="127"/>
      <c r="BV16" s="125"/>
      <c r="BW16" s="124"/>
      <c r="BX16" s="125"/>
      <c r="BY16" s="124"/>
      <c r="BZ16" s="125"/>
      <c r="CA16" s="124"/>
      <c r="CB16" s="125"/>
      <c r="CC16" s="124"/>
      <c r="CE16" s="129"/>
      <c r="CF16" s="129"/>
      <c r="CG16" s="129"/>
      <c r="CH16" s="129"/>
      <c r="CI16" s="129"/>
      <c r="CJ16" s="129"/>
      <c r="CK16" s="129"/>
      <c r="CM16" s="124"/>
      <c r="CN16" s="125"/>
      <c r="CO16" s="124"/>
      <c r="CP16" s="125"/>
      <c r="CQ16" s="124"/>
      <c r="CR16" s="125"/>
      <c r="CS16" s="124"/>
      <c r="CU16" s="124"/>
      <c r="CV16" s="125"/>
      <c r="CW16" s="124"/>
      <c r="CX16" s="125"/>
      <c r="CY16" s="124"/>
      <c r="CZ16" s="125"/>
      <c r="DA16" s="124"/>
    </row>
    <row r="17" spans="1:105" s="123" customFormat="1" ht="15" thickBot="1">
      <c r="A17" s="131"/>
      <c r="B17" s="351" t="s">
        <v>100</v>
      </c>
      <c r="C17" s="352"/>
      <c r="D17" s="352"/>
      <c r="E17" s="352"/>
      <c r="F17" s="353"/>
      <c r="G17" s="352"/>
      <c r="H17" s="354">
        <f ca="1">AVERAGE(H9:H14)</f>
        <v>0.67110064684160387</v>
      </c>
      <c r="I17" s="352"/>
      <c r="J17" s="355">
        <f>AVERAGE(J9:J14)</f>
        <v>46199.435689150007</v>
      </c>
      <c r="K17" s="352"/>
      <c r="L17" s="355">
        <f>AVERAGE(L9:L14)</f>
        <v>54411.942522483325</v>
      </c>
      <c r="M17" s="352"/>
      <c r="N17" s="356">
        <f>AVERAGE(N9:N14)</f>
        <v>16.889658178980252</v>
      </c>
      <c r="O17" s="352"/>
      <c r="P17" s="357">
        <f>AVERAGE(P9:P14)</f>
        <v>-0.14927574016160847</v>
      </c>
      <c r="Q17" s="352"/>
      <c r="R17" s="357">
        <f>AVERAGE(R9:R14)</f>
        <v>-0.12742032975644735</v>
      </c>
      <c r="S17" s="356">
        <f>AVERAGE(S9:S14)</f>
        <v>23.20568466478873</v>
      </c>
      <c r="T17" s="356">
        <f>AVERAGE(T9:T14)</f>
        <v>3.882735184953745</v>
      </c>
      <c r="U17" s="352"/>
      <c r="V17" s="357">
        <f>AVERAGE(V9:V14)</f>
        <v>-0.1917845007105855</v>
      </c>
      <c r="W17" s="352"/>
      <c r="X17" s="357">
        <f>AVERAGE(X9:X14)</f>
        <v>-0.18159107756317117</v>
      </c>
      <c r="Y17" s="352"/>
      <c r="Z17" s="358">
        <f>AVERAGE(Z9:Z14)</f>
        <v>0.14510856059627175</v>
      </c>
      <c r="AA17" s="140"/>
      <c r="AB17" s="140">
        <f>AVERAGE(AB6:AB9)</f>
        <v>0.14521370279573625</v>
      </c>
      <c r="AC17" s="138"/>
      <c r="AD17" s="138"/>
      <c r="AE17" s="138"/>
      <c r="AG17" s="124"/>
      <c r="AH17" s="125"/>
      <c r="AI17" s="126"/>
      <c r="AJ17" s="126"/>
      <c r="AK17" s="125"/>
      <c r="AL17" s="127"/>
      <c r="AM17" s="125"/>
      <c r="AN17" s="127"/>
      <c r="AO17" s="125"/>
      <c r="AP17" s="127"/>
      <c r="AQ17" s="125"/>
      <c r="AR17" s="124"/>
      <c r="AS17" s="127"/>
      <c r="AT17" s="125"/>
      <c r="AU17" s="128"/>
      <c r="AV17" s="125"/>
      <c r="AW17" s="128"/>
      <c r="AX17" s="125"/>
      <c r="AY17" s="128"/>
      <c r="AZ17" s="125"/>
      <c r="BA17" s="128"/>
      <c r="BB17" s="125"/>
      <c r="BC17" s="128"/>
      <c r="BD17" s="125"/>
      <c r="BE17" s="128"/>
      <c r="BF17" s="125"/>
      <c r="BG17" s="127"/>
      <c r="BH17" s="125"/>
      <c r="BI17" s="127"/>
      <c r="BJ17" s="125"/>
      <c r="BK17" s="127"/>
      <c r="BL17" s="125"/>
      <c r="BM17" s="127"/>
      <c r="BN17" s="125"/>
      <c r="BO17" s="127"/>
      <c r="BP17" s="125"/>
      <c r="BQ17" s="127"/>
      <c r="BR17" s="125"/>
      <c r="BS17" s="127"/>
      <c r="BT17" s="125"/>
      <c r="BU17" s="127"/>
      <c r="BV17" s="125"/>
      <c r="BW17" s="124"/>
      <c r="BX17" s="125"/>
      <c r="BY17" s="124"/>
      <c r="BZ17" s="125"/>
      <c r="CA17" s="124"/>
      <c r="CB17" s="125"/>
      <c r="CC17" s="124"/>
      <c r="CE17" s="129"/>
      <c r="CF17" s="129"/>
      <c r="CG17" s="129"/>
      <c r="CH17" s="129"/>
      <c r="CI17" s="129"/>
      <c r="CJ17" s="129"/>
      <c r="CK17" s="129"/>
      <c r="CM17" s="124"/>
      <c r="CN17" s="125"/>
      <c r="CO17" s="124"/>
      <c r="CP17" s="125"/>
      <c r="CQ17" s="124"/>
      <c r="CR17" s="125"/>
      <c r="CS17" s="124"/>
      <c r="CU17" s="124"/>
      <c r="CV17" s="125"/>
      <c r="CW17" s="124"/>
      <c r="CX17" s="125"/>
      <c r="CY17" s="124"/>
      <c r="CZ17" s="125"/>
      <c r="DA17" s="124"/>
    </row>
    <row r="18" spans="1:105">
      <c r="A18" s="131"/>
      <c r="Z18" s="73"/>
      <c r="AA18" s="73"/>
    </row>
    <row r="19" spans="1:105">
      <c r="A19" s="131"/>
      <c r="J19" s="19"/>
    </row>
    <row r="20" spans="1:105">
      <c r="A20" s="131"/>
      <c r="L20" s="19"/>
      <c r="N20" s="19"/>
    </row>
    <row r="21" spans="1:105">
      <c r="A21" s="131"/>
    </row>
    <row r="22" spans="1:105">
      <c r="A22" s="131"/>
      <c r="Z22" s="73"/>
      <c r="AA22" s="73"/>
    </row>
    <row r="23" spans="1:105">
      <c r="A23" s="131"/>
      <c r="Z23" s="73"/>
      <c r="AA23" s="73"/>
    </row>
    <row r="24" spans="1:105">
      <c r="A24" s="131"/>
      <c r="Z24" s="73"/>
      <c r="AA24" s="130"/>
    </row>
    <row r="25" spans="1:105">
      <c r="Z25" s="73"/>
      <c r="AA25" s="73"/>
    </row>
    <row r="26" spans="1:105">
      <c r="G26" s="19"/>
      <c r="Z26" s="73"/>
      <c r="AA26" s="73"/>
    </row>
  </sheetData>
  <mergeCells count="2">
    <mergeCell ref="B1:Z1"/>
    <mergeCell ref="CE3:CK3"/>
  </mergeCells>
  <conditionalFormatting sqref="Z18:AA18">
    <cfRule type="colorScale" priority="21">
      <colorScale>
        <cfvo type="min"/>
        <cfvo type="percentile" val="50"/>
        <cfvo type="max"/>
        <color rgb="FFF8696B"/>
        <color rgb="FFFFEB84"/>
        <color rgb="FF63BE7B"/>
      </colorScale>
    </cfRule>
  </conditionalFormatting>
  <conditionalFormatting sqref="Z22:AA26">
    <cfRule type="colorScale" priority="23">
      <colorScale>
        <cfvo type="min"/>
        <cfvo type="percentile" val="50"/>
        <cfvo type="max"/>
        <color rgb="FFF8696B"/>
        <color rgb="FFFFEB84"/>
        <color rgb="FF63BE7B"/>
      </colorScale>
    </cfRule>
  </conditionalFormatting>
  <pageMargins left="0.7" right="0.7" top="0.75" bottom="0.75" header="0.3" footer="0.3"/>
  <customProperties>
    <customPr name="UniqueWorksheetId" r:id="rId1"/>
  </customProperties>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41EAC-6BE8-4E48-9439-73572261A13C}">
  <sheetPr>
    <tabColor rgb="FF0070C0"/>
  </sheetPr>
  <dimension ref="A1"/>
  <sheetViews>
    <sheetView workbookViewId="0"/>
  </sheetViews>
  <sheetFormatPr defaultRowHeight="14.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C671F-9871-430D-880A-C99B7D073FBA}">
  <sheetPr codeName="Sheet5"/>
  <dimension ref="B1:S53"/>
  <sheetViews>
    <sheetView showGridLines="0" workbookViewId="0">
      <selection activeCell="C15" sqref="C15"/>
    </sheetView>
  </sheetViews>
  <sheetFormatPr defaultRowHeight="14.5"/>
  <cols>
    <col min="2" max="2" width="36" customWidth="1"/>
    <col min="3" max="3" width="19.54296875" bestFit="1" customWidth="1"/>
    <col min="4" max="4" width="26.54296875" customWidth="1"/>
    <col min="5" max="5" width="34.1796875" customWidth="1"/>
    <col min="6" max="6" width="15.08984375" bestFit="1" customWidth="1"/>
    <col min="7" max="7" width="16.90625" bestFit="1" customWidth="1"/>
    <col min="8" max="10" width="14.7265625" bestFit="1" customWidth="1"/>
    <col min="11" max="11" width="16.90625" bestFit="1" customWidth="1"/>
    <col min="14" max="14" width="9.1796875" customWidth="1"/>
    <col min="15" max="15" width="16.90625" bestFit="1" customWidth="1"/>
    <col min="16" max="19" width="15.08984375" bestFit="1" customWidth="1"/>
  </cols>
  <sheetData>
    <row r="1" spans="2:19" ht="24" thickBot="1">
      <c r="B1" s="150"/>
      <c r="C1" s="151"/>
      <c r="D1" s="151"/>
      <c r="E1" s="151"/>
      <c r="F1" s="151"/>
      <c r="G1" s="151"/>
      <c r="H1" s="151"/>
      <c r="I1" s="151"/>
      <c r="J1" s="151"/>
      <c r="K1" s="151"/>
      <c r="L1" s="151"/>
      <c r="M1" s="151"/>
      <c r="N1" s="146"/>
      <c r="O1" s="152"/>
      <c r="P1" s="146"/>
      <c r="Q1" s="146"/>
      <c r="R1" s="146"/>
      <c r="S1" s="146"/>
    </row>
    <row r="2" spans="2:19" ht="24" hidden="1" thickBot="1">
      <c r="B2" s="153"/>
      <c r="C2" s="151"/>
      <c r="D2" s="151"/>
      <c r="E2" s="154"/>
      <c r="F2" s="155"/>
      <c r="G2" s="156"/>
      <c r="H2" s="156"/>
      <c r="I2" s="156"/>
      <c r="J2" s="156"/>
      <c r="K2" s="156"/>
      <c r="L2" s="151"/>
      <c r="M2" s="151"/>
      <c r="N2" s="157"/>
      <c r="O2" s="152"/>
      <c r="P2" s="146"/>
      <c r="Q2" s="146"/>
      <c r="R2" s="146"/>
      <c r="S2" s="146"/>
    </row>
    <row r="3" spans="2:19" ht="23.5">
      <c r="B3" s="153"/>
      <c r="C3" s="151"/>
      <c r="D3" s="151"/>
      <c r="E3" s="158" t="s">
        <v>103</v>
      </c>
      <c r="F3" s="395">
        <f ca="1">(F4-(TODAY()))/365</f>
        <v>0.11506849315068493</v>
      </c>
      <c r="G3" s="159">
        <v>1</v>
      </c>
      <c r="H3" s="159">
        <v>1</v>
      </c>
      <c r="I3" s="159">
        <v>1</v>
      </c>
      <c r="J3" s="159">
        <v>1</v>
      </c>
      <c r="K3" s="160">
        <v>1</v>
      </c>
      <c r="L3" s="151"/>
      <c r="M3" s="151"/>
      <c r="N3" s="146"/>
      <c r="O3" s="152"/>
      <c r="P3" s="146"/>
      <c r="Q3" s="146"/>
      <c r="R3" s="146"/>
      <c r="S3" s="146"/>
    </row>
    <row r="4" spans="2:19" ht="15" thickBot="1">
      <c r="B4" s="161" t="str">
        <f>bbg_ticker</f>
        <v>SKIN US Equity</v>
      </c>
      <c r="E4" s="162" t="s">
        <v>104</v>
      </c>
      <c r="F4" s="371">
        <v>45291</v>
      </c>
      <c r="G4" s="371">
        <f>EDATE(F4,12)</f>
        <v>45657</v>
      </c>
      <c r="H4" s="371">
        <f>+EOMONTH(G4,12)</f>
        <v>46022</v>
      </c>
      <c r="I4" s="371">
        <f t="shared" ref="I4:K4" si="0">+EOMONTH(H4,12)</f>
        <v>46387</v>
      </c>
      <c r="J4" s="371">
        <f t="shared" si="0"/>
        <v>46752</v>
      </c>
      <c r="K4" s="163">
        <f t="shared" si="0"/>
        <v>47118</v>
      </c>
    </row>
    <row r="5" spans="2:19">
      <c r="B5" s="164" t="s">
        <v>34</v>
      </c>
      <c r="C5" s="165"/>
      <c r="E5" s="166" t="s">
        <v>105</v>
      </c>
      <c r="F5" s="372"/>
      <c r="G5" s="372"/>
      <c r="H5" s="372"/>
      <c r="I5" s="372"/>
      <c r="J5" s="372"/>
      <c r="K5" s="168"/>
      <c r="M5" s="146"/>
      <c r="N5" s="146"/>
      <c r="O5" s="167" t="s">
        <v>106</v>
      </c>
      <c r="P5" s="169"/>
      <c r="Q5" s="169"/>
      <c r="R5" s="169"/>
      <c r="S5" s="169"/>
    </row>
    <row r="6" spans="2:19">
      <c r="B6" s="170" t="s">
        <v>107</v>
      </c>
      <c r="C6" s="361">
        <f>+C21</f>
        <v>5.2248135135497011E-2</v>
      </c>
      <c r="E6" s="171"/>
      <c r="F6" s="172">
        <v>2023</v>
      </c>
      <c r="G6" s="172">
        <f>+F6+1</f>
        <v>2024</v>
      </c>
      <c r="H6" s="172">
        <f>+G6+1</f>
        <v>2025</v>
      </c>
      <c r="I6" s="172">
        <f>+H6+1</f>
        <v>2026</v>
      </c>
      <c r="J6" s="172">
        <f>+I6+1</f>
        <v>2027</v>
      </c>
      <c r="K6" s="173">
        <f>+J6+1</f>
        <v>2028</v>
      </c>
      <c r="M6" s="146"/>
      <c r="N6" s="146"/>
      <c r="O6" s="174" t="s">
        <v>107</v>
      </c>
      <c r="P6" s="174"/>
      <c r="Q6" s="174"/>
      <c r="R6" s="174"/>
      <c r="S6" s="174"/>
    </row>
    <row r="7" spans="2:19" ht="15" thickBot="1">
      <c r="B7" s="175" t="s">
        <v>108</v>
      </c>
      <c r="C7" s="362">
        <v>0</v>
      </c>
      <c r="E7" s="105" t="s">
        <v>56</v>
      </c>
      <c r="F7" s="176">
        <f>tower!AD158</f>
        <v>346.71347915508613</v>
      </c>
      <c r="G7" s="176">
        <f>tower!AI158</f>
        <v>234.93398437450963</v>
      </c>
      <c r="H7" s="176">
        <f>tower!AN158</f>
        <v>364.24774034619713</v>
      </c>
      <c r="I7" s="176">
        <f>tower!AS158</f>
        <v>418.96843282711336</v>
      </c>
      <c r="J7" s="177">
        <f>(1+J8)*I7</f>
        <v>431.53748581192679</v>
      </c>
      <c r="K7" s="178">
        <f>(1+K8)*J7</f>
        <v>440.16823552816533</v>
      </c>
      <c r="M7" s="146"/>
      <c r="N7" s="179">
        <f ca="1">G36</f>
        <v>5.3242174149547044</v>
      </c>
      <c r="O7" s="180">
        <f>+P7-0.0025</f>
        <v>4.7248135135497006E-2</v>
      </c>
      <c r="P7" s="180">
        <f>+Q7-0.0025</f>
        <v>4.9748135135497008E-2</v>
      </c>
      <c r="Q7" s="180">
        <f>C21</f>
        <v>5.2248135135497011E-2</v>
      </c>
      <c r="R7" s="180">
        <f>+Q7+0.0025</f>
        <v>5.4748135135497013E-2</v>
      </c>
      <c r="S7" s="180">
        <f>+R7+0.0025</f>
        <v>5.7248135135497015E-2</v>
      </c>
    </row>
    <row r="8" spans="2:19">
      <c r="B8" s="175" t="s">
        <v>109</v>
      </c>
      <c r="C8" s="363">
        <v>18</v>
      </c>
      <c r="E8" s="181" t="s">
        <v>110</v>
      </c>
      <c r="F8" s="761">
        <f>tower!AD159</f>
        <v>-5.2374358648596409E-2</v>
      </c>
      <c r="G8" s="761">
        <f>+G7/F7-1</f>
        <v>-0.32239731507691727</v>
      </c>
      <c r="H8" s="761">
        <f t="shared" ref="H8" si="1">+H7/G7-1</f>
        <v>0.55042592631276244</v>
      </c>
      <c r="I8" s="762">
        <v>0.04</v>
      </c>
      <c r="J8" s="762">
        <v>0.03</v>
      </c>
      <c r="K8" s="763">
        <v>0.02</v>
      </c>
      <c r="M8" s="657" t="s">
        <v>111</v>
      </c>
      <c r="N8" s="305">
        <f>+N9+0.5</f>
        <v>19</v>
      </c>
      <c r="O8" s="185">
        <f t="dataTable" ref="O8:S12" dt2D="1" dtr="1" r1="C6" r2="C8" ca="1"/>
        <v>5.6870122966304013</v>
      </c>
      <c r="P8" s="186">
        <v>5.6236473628379171</v>
      </c>
      <c r="Q8" s="186">
        <v>5.5611839796897522</v>
      </c>
      <c r="R8" s="186">
        <v>5.4996071740324863</v>
      </c>
      <c r="S8" s="187">
        <v>5.4389022566388547</v>
      </c>
    </row>
    <row r="9" spans="2:19" ht="15" thickBot="1">
      <c r="B9" s="175" t="s">
        <v>112</v>
      </c>
      <c r="C9" s="364">
        <f ca="1">+TODAY()</f>
        <v>45249</v>
      </c>
      <c r="E9" s="104"/>
      <c r="F9" s="131"/>
      <c r="G9" s="131"/>
      <c r="H9" s="131"/>
      <c r="I9" s="131"/>
      <c r="J9" s="131"/>
      <c r="K9" s="103"/>
      <c r="M9" s="658"/>
      <c r="N9" s="305">
        <f>+N10+0.5</f>
        <v>18.5</v>
      </c>
      <c r="O9" s="188">
        <v>5.5656037433344716</v>
      </c>
      <c r="P9" s="189">
        <v>5.5037121047135562</v>
      </c>
      <c r="Q9" s="189">
        <v>5.4427006973222278</v>
      </c>
      <c r="R9" s="189">
        <v>5.382554906068461</v>
      </c>
      <c r="S9" s="190">
        <v>5.3232603929443103</v>
      </c>
    </row>
    <row r="10" spans="2:19" ht="15" thickBot="1">
      <c r="B10" s="175" t="s">
        <v>113</v>
      </c>
      <c r="C10" s="360">
        <v>365</v>
      </c>
      <c r="E10" s="191" t="s">
        <v>58</v>
      </c>
      <c r="F10" s="373">
        <f>tower!AD209</f>
        <v>-26.586369080686808</v>
      </c>
      <c r="G10" s="373">
        <f>tower!AI209</f>
        <v>-27.025669755655144</v>
      </c>
      <c r="H10" s="373">
        <f>tower!AN209</f>
        <v>27.246556348959587</v>
      </c>
      <c r="I10" s="373">
        <f>tower!AS209</f>
        <v>58.13265332666009</v>
      </c>
      <c r="J10" s="374">
        <f>J11*J7</f>
        <v>35.386073836577999</v>
      </c>
      <c r="K10" s="192">
        <f>K11*K7</f>
        <v>36.093795313309556</v>
      </c>
      <c r="M10" s="658"/>
      <c r="N10" s="306">
        <v>18</v>
      </c>
      <c r="O10" s="188">
        <v>5.444195190038541</v>
      </c>
      <c r="P10" s="189">
        <v>5.3837768465891971</v>
      </c>
      <c r="Q10" s="389">
        <v>5.3242174149547044</v>
      </c>
      <c r="R10" s="189">
        <v>5.2655026381044356</v>
      </c>
      <c r="S10" s="190">
        <v>5.2076185292497659</v>
      </c>
    </row>
    <row r="11" spans="2:19">
      <c r="B11" s="175" t="s">
        <v>114</v>
      </c>
      <c r="C11" s="382">
        <f>tower!AS231</f>
        <v>132.896626</v>
      </c>
      <c r="E11" s="181" t="s">
        <v>115</v>
      </c>
      <c r="F11" s="761">
        <f>+F10/F7</f>
        <v>-7.668109456106445E-2</v>
      </c>
      <c r="G11" s="761">
        <f t="shared" ref="G11:I11" si="2">+G10/G7</f>
        <v>-0.11503516542150567</v>
      </c>
      <c r="H11" s="761">
        <f t="shared" si="2"/>
        <v>7.4802265960698222E-2</v>
      </c>
      <c r="I11" s="761">
        <f t="shared" si="2"/>
        <v>0.13875186952485377</v>
      </c>
      <c r="J11" s="839">
        <v>8.2000000000000003E-2</v>
      </c>
      <c r="K11" s="840">
        <v>8.2000000000000003E-2</v>
      </c>
      <c r="M11" s="658"/>
      <c r="N11" s="305">
        <f>+N10-0.5</f>
        <v>17.5</v>
      </c>
      <c r="O11" s="188">
        <v>5.3227866367426113</v>
      </c>
      <c r="P11" s="189">
        <v>5.2638415884648353</v>
      </c>
      <c r="Q11" s="189">
        <v>5.20573413258718</v>
      </c>
      <c r="R11" s="189">
        <v>5.1484503701404094</v>
      </c>
      <c r="S11" s="190">
        <v>5.0919766655552214</v>
      </c>
    </row>
    <row r="12" spans="2:19" ht="15" thickBot="1">
      <c r="B12" s="196" t="s">
        <v>116</v>
      </c>
      <c r="C12" s="365">
        <f>_xll.BDP(B4,"PX_last")</f>
        <v>2.2599999999999998</v>
      </c>
      <c r="E12" s="181" t="s">
        <v>117</v>
      </c>
      <c r="F12" s="841"/>
      <c r="G12" s="761">
        <f>G10/F10-1</f>
        <v>1.6523530296111755E-2</v>
      </c>
      <c r="H12" s="761">
        <f t="shared" ref="H12:K12" si="3">H10/G10-1</f>
        <v>-2.0081732144032518</v>
      </c>
      <c r="I12" s="761">
        <f t="shared" si="3"/>
        <v>1.1335780045789123</v>
      </c>
      <c r="J12" s="761">
        <f>J10/I10-1</f>
        <v>-0.39128748110402056</v>
      </c>
      <c r="K12" s="764">
        <f t="shared" si="3"/>
        <v>2.0000000000000018E-2</v>
      </c>
      <c r="M12" s="658"/>
      <c r="N12" s="305">
        <f>+N11-0.5</f>
        <v>17</v>
      </c>
      <c r="O12" s="199">
        <v>5.2013780834466816</v>
      </c>
      <c r="P12" s="200">
        <v>5.1439063303404753</v>
      </c>
      <c r="Q12" s="200">
        <v>5.0872508502196565</v>
      </c>
      <c r="R12" s="200">
        <v>5.0313981021763832</v>
      </c>
      <c r="S12" s="201">
        <v>4.976334801860677</v>
      </c>
    </row>
    <row r="13" spans="2:19">
      <c r="B13" s="104"/>
      <c r="C13" s="145"/>
      <c r="E13" s="104"/>
      <c r="F13" s="131"/>
      <c r="G13" s="131"/>
      <c r="H13" s="131"/>
      <c r="I13" s="131"/>
      <c r="J13" s="131"/>
      <c r="K13" s="103"/>
      <c r="N13" s="56"/>
    </row>
    <row r="14" spans="2:19">
      <c r="B14" s="166" t="s">
        <v>107</v>
      </c>
      <c r="C14" s="202"/>
      <c r="E14" s="203" t="s">
        <v>53</v>
      </c>
      <c r="F14" s="373">
        <f>tower!AD220</f>
        <v>-2.4000000000000004</v>
      </c>
      <c r="G14" s="373">
        <f>tower!AI220</f>
        <v>0</v>
      </c>
      <c r="H14" s="373">
        <f>tower!AN220</f>
        <v>9.8011036646507197</v>
      </c>
      <c r="I14" s="373">
        <f>tower!AS220</f>
        <v>15.176961392929661</v>
      </c>
      <c r="J14" s="374">
        <f>J10*$C$20</f>
        <v>7.0772147673156001</v>
      </c>
      <c r="K14" s="192">
        <f>K10*$C$20</f>
        <v>7.2187590626619116</v>
      </c>
      <c r="M14" s="146"/>
      <c r="N14" s="3"/>
      <c r="O14" s="167" t="s">
        <v>106</v>
      </c>
      <c r="P14" s="169"/>
      <c r="Q14" s="169"/>
      <c r="R14" s="169"/>
      <c r="S14" s="169"/>
    </row>
    <row r="15" spans="2:19">
      <c r="B15" s="170" t="s">
        <v>118</v>
      </c>
      <c r="C15" s="366">
        <f>+C11*C12</f>
        <v>300.34637475999995</v>
      </c>
      <c r="E15" s="104"/>
      <c r="F15" s="131"/>
      <c r="G15" s="131"/>
      <c r="H15" s="131"/>
      <c r="I15" s="131"/>
      <c r="J15" s="131"/>
      <c r="K15" s="103"/>
      <c r="M15" s="146"/>
      <c r="N15" s="3"/>
      <c r="O15" s="174" t="s">
        <v>107</v>
      </c>
      <c r="P15" s="174"/>
      <c r="Q15" s="174"/>
      <c r="R15" s="174"/>
      <c r="S15" s="174"/>
    </row>
    <row r="16" spans="2:19" ht="15" thickBot="1">
      <c r="B16" s="175" t="s">
        <v>119</v>
      </c>
      <c r="C16" s="382">
        <v>525</v>
      </c>
      <c r="D16" t="s">
        <v>765</v>
      </c>
      <c r="E16" s="204" t="s">
        <v>120</v>
      </c>
      <c r="F16" s="374">
        <f>+F10-F14</f>
        <v>-24.186369080686809</v>
      </c>
      <c r="G16" s="374">
        <f>+G10-G14</f>
        <v>-27.025669755655144</v>
      </c>
      <c r="H16" s="374">
        <f>+H10-H14</f>
        <v>17.445452684308869</v>
      </c>
      <c r="I16" s="374">
        <f>+I10-I14</f>
        <v>42.955691933730428</v>
      </c>
      <c r="J16" s="374">
        <f t="shared" ref="J16" si="4">+J10-J14</f>
        <v>28.3088590692624</v>
      </c>
      <c r="K16" s="192">
        <f>+K10-K14</f>
        <v>28.875036250647646</v>
      </c>
      <c r="M16" s="146"/>
      <c r="N16" s="307">
        <f ca="1">+$K$36</f>
        <v>5.5942263818734164</v>
      </c>
      <c r="O16" s="180">
        <f>+P16-0.0025</f>
        <v>4.7248135135497006E-2</v>
      </c>
      <c r="P16" s="180">
        <f>+Q16-0.0025</f>
        <v>4.9748135135497008E-2</v>
      </c>
      <c r="Q16" s="180">
        <f>Q7</f>
        <v>5.2248135135497011E-2</v>
      </c>
      <c r="R16" s="180">
        <f>+Q16+0.0025</f>
        <v>5.4748135135497013E-2</v>
      </c>
      <c r="S16" s="180">
        <f>+R16+0.0025</f>
        <v>5.7248135135497015E-2</v>
      </c>
    </row>
    <row r="17" spans="2:19">
      <c r="B17" s="170" t="s">
        <v>121</v>
      </c>
      <c r="C17" s="366">
        <f>+SUM(C15:C16)</f>
        <v>825.34637475999989</v>
      </c>
      <c r="E17" s="104"/>
      <c r="F17" s="131"/>
      <c r="G17" s="131"/>
      <c r="H17" s="131"/>
      <c r="I17" s="131"/>
      <c r="J17" s="131"/>
      <c r="K17" s="103"/>
      <c r="M17" s="657" t="s">
        <v>122</v>
      </c>
      <c r="N17" s="308">
        <f>+N18+0.0025</f>
        <v>5.0000000000000001E-3</v>
      </c>
      <c r="O17" s="185">
        <f t="dataTable" ref="O17:S21" dt2D="1" dtr="1" r1="C6" r2="C7" ca="1"/>
        <v>6.8496284274898107</v>
      </c>
      <c r="P17" s="186">
        <v>6.4533682321272208</v>
      </c>
      <c r="Q17" s="186">
        <v>6.0992594041502226</v>
      </c>
      <c r="R17" s="186">
        <v>5.7809451754494727</v>
      </c>
      <c r="S17" s="187">
        <v>5.4932854532180384</v>
      </c>
    </row>
    <row r="18" spans="2:19" ht="15" thickBot="1">
      <c r="B18" s="175" t="s">
        <v>123</v>
      </c>
      <c r="C18" s="367">
        <f>+C27</f>
        <v>0.12609710688972472</v>
      </c>
      <c r="E18" s="203" t="s">
        <v>124</v>
      </c>
      <c r="F18" s="375">
        <f>tower!AD575</f>
        <v>132.94291878726682</v>
      </c>
      <c r="G18" s="375">
        <f>tower!AI575</f>
        <v>-21.785809469718632</v>
      </c>
      <c r="H18" s="375">
        <f>tower!AN575</f>
        <v>-15.109326708156404</v>
      </c>
      <c r="I18" s="375">
        <f>tower!AS575</f>
        <v>-12.675213660925248</v>
      </c>
      <c r="J18" s="376">
        <v>-8</v>
      </c>
      <c r="K18" s="205">
        <v>-2</v>
      </c>
      <c r="M18" s="658"/>
      <c r="N18" s="308">
        <f>+N19+0.0025</f>
        <v>2.5000000000000001E-3</v>
      </c>
      <c r="O18" s="188">
        <v>6.5133597626353303</v>
      </c>
      <c r="P18" s="189">
        <v>6.155624671554599</v>
      </c>
      <c r="Q18" s="189">
        <v>5.8340531454237636</v>
      </c>
      <c r="R18" s="189">
        <v>5.5434520712886179</v>
      </c>
      <c r="S18" s="190">
        <v>5.2795769071288339</v>
      </c>
    </row>
    <row r="19" spans="2:19" ht="15" thickBot="1">
      <c r="B19" s="175" t="s">
        <v>125</v>
      </c>
      <c r="C19" s="367">
        <f>+C30</f>
        <v>1.2500000000000001E-2</v>
      </c>
      <c r="E19" s="203" t="s">
        <v>57</v>
      </c>
      <c r="F19" s="375">
        <f>tower!AD235</f>
        <v>32.329620362278064</v>
      </c>
      <c r="G19" s="375">
        <f>tower!AI235</f>
        <v>24.264710717018591</v>
      </c>
      <c r="H19" s="375">
        <f>tower!AN235</f>
        <v>16.080240545420651</v>
      </c>
      <c r="I19" s="375">
        <f>tower!AS235</f>
        <v>10.362843443842216</v>
      </c>
      <c r="J19" s="376">
        <f t="shared" ref="J19:K19" si="5">I19+1</f>
        <v>11.362843443842216</v>
      </c>
      <c r="K19" s="205">
        <v>8</v>
      </c>
      <c r="M19" s="658"/>
      <c r="N19" s="309">
        <v>0</v>
      </c>
      <c r="O19" s="188">
        <v>6.2126764879650462</v>
      </c>
      <c r="P19" s="189">
        <v>5.8878062086526395</v>
      </c>
      <c r="Q19" s="389">
        <v>5.5942263818734164</v>
      </c>
      <c r="R19" s="189">
        <v>5.3276485738671591</v>
      </c>
      <c r="S19" s="190">
        <v>5.0845334708797472</v>
      </c>
    </row>
    <row r="20" spans="2:19">
      <c r="B20" s="175" t="s">
        <v>126</v>
      </c>
      <c r="C20" s="368">
        <v>0.2</v>
      </c>
      <c r="E20" s="206" t="s">
        <v>127</v>
      </c>
      <c r="F20" s="207">
        <f>tower!AD547/1000</f>
        <v>-3.9576199999999999</v>
      </c>
      <c r="G20" s="375">
        <f>tower!AI547/1000</f>
        <v>5.22318849244853E-2</v>
      </c>
      <c r="H20" s="375">
        <f>tower!AN547/1000</f>
        <v>0.90676218495331162</v>
      </c>
      <c r="I20" s="375">
        <f>tower!AS547/1000</f>
        <v>1.503708469582739</v>
      </c>
      <c r="J20" s="376">
        <v>4</v>
      </c>
      <c r="K20" s="205">
        <v>6</v>
      </c>
      <c r="M20" s="658"/>
      <c r="N20" s="308">
        <f>+N19-0.0025</f>
        <v>-2.5000000000000001E-3</v>
      </c>
      <c r="O20" s="188">
        <v>5.9422137706936784</v>
      </c>
      <c r="P20" s="189">
        <v>5.6456172215403342</v>
      </c>
      <c r="Q20" s="189">
        <v>5.376302351900824</v>
      </c>
      <c r="R20" s="189">
        <v>5.1306931574277854</v>
      </c>
      <c r="S20" s="190">
        <v>4.9058121705271844</v>
      </c>
    </row>
    <row r="21" spans="2:19" ht="15" thickBot="1">
      <c r="B21" s="175" t="s">
        <v>107</v>
      </c>
      <c r="C21" s="367">
        <f>+(C15/C17)*C18+(C16/C17)*C19*(1-C20)</f>
        <v>5.2248135135497011E-2</v>
      </c>
      <c r="E21" s="204" t="s">
        <v>128</v>
      </c>
      <c r="F21" s="374">
        <f t="shared" ref="F21:K21" si="6">SUM(F16:F20)</f>
        <v>137.12855006885809</v>
      </c>
      <c r="G21" s="177">
        <f t="shared" si="6"/>
        <v>-24.494536623430697</v>
      </c>
      <c r="H21" s="177">
        <f t="shared" si="6"/>
        <v>19.323128706526429</v>
      </c>
      <c r="I21" s="177">
        <f t="shared" si="6"/>
        <v>42.147030186230133</v>
      </c>
      <c r="J21" s="177">
        <f t="shared" si="6"/>
        <v>35.67170251310462</v>
      </c>
      <c r="K21" s="178">
        <f t="shared" si="6"/>
        <v>40.875036250647646</v>
      </c>
      <c r="M21" s="658"/>
      <c r="N21" s="308">
        <f>+N20-0.0025</f>
        <v>-5.0000000000000001E-3</v>
      </c>
      <c r="O21" s="199">
        <v>5.6976335769391779</v>
      </c>
      <c r="P21" s="200">
        <v>5.4255467035332243</v>
      </c>
      <c r="Q21" s="200">
        <v>5.1774116082926529</v>
      </c>
      <c r="R21" s="200">
        <v>4.9502198802211037</v>
      </c>
      <c r="S21" s="201">
        <v>4.7414464247597943</v>
      </c>
    </row>
    <row r="22" spans="2:19">
      <c r="B22" s="208"/>
      <c r="C22" s="209"/>
      <c r="E22" s="203" t="s">
        <v>129</v>
      </c>
      <c r="F22" s="378">
        <f t="shared" ref="F22:K22" ca="1" si="7">(F4-$C$9)/$C$10</f>
        <v>0.11506849315068493</v>
      </c>
      <c r="G22" s="378">
        <f t="shared" ca="1" si="7"/>
        <v>1.1178082191780823</v>
      </c>
      <c r="H22" s="378">
        <f t="shared" ca="1" si="7"/>
        <v>2.117808219178082</v>
      </c>
      <c r="I22" s="378">
        <f t="shared" ca="1" si="7"/>
        <v>3.117808219178082</v>
      </c>
      <c r="J22" s="378">
        <f t="shared" ca="1" si="7"/>
        <v>4.117808219178082</v>
      </c>
      <c r="K22" s="210">
        <f t="shared" ca="1" si="7"/>
        <v>5.1205479452054794</v>
      </c>
    </row>
    <row r="23" spans="2:19">
      <c r="B23" s="166" t="s">
        <v>123</v>
      </c>
      <c r="C23" s="202"/>
      <c r="E23" s="203" t="s">
        <v>130</v>
      </c>
      <c r="F23" s="377">
        <f t="shared" ref="F23:K23" ca="1" si="8">1/(1+$C$6)^F22</f>
        <v>0.99415681989933946</v>
      </c>
      <c r="G23" s="377">
        <f t="shared" ca="1" si="8"/>
        <v>0.94466132113233359</v>
      </c>
      <c r="H23" s="377">
        <f t="shared" ca="1" si="8"/>
        <v>0.89775528184774633</v>
      </c>
      <c r="I23" s="377">
        <f t="shared" ca="1" si="8"/>
        <v>0.85317830640027048</v>
      </c>
      <c r="J23" s="377">
        <f t="shared" ca="1" si="8"/>
        <v>0.81081474788302421</v>
      </c>
      <c r="K23" s="211">
        <f t="shared" ca="1" si="8"/>
        <v>0.77044719263336281</v>
      </c>
    </row>
    <row r="24" spans="2:19">
      <c r="B24" s="170" t="s">
        <v>131</v>
      </c>
      <c r="C24" s="649">
        <f>+_xll.BDP("USGG10YR Index","px_last")/100</f>
        <v>4.4353999999999998E-2</v>
      </c>
      <c r="E24" s="212" t="s">
        <v>132</v>
      </c>
      <c r="F24" s="177">
        <f t="shared" ref="F24:K24" ca="1" si="9">F3*F21*F23</f>
        <v>15.686975059348654</v>
      </c>
      <c r="G24" s="177">
        <f t="shared" ca="1" si="9"/>
        <v>-23.139041327214372</v>
      </c>
      <c r="H24" s="177">
        <f t="shared" ca="1" si="9"/>
        <v>17.347440858107912</v>
      </c>
      <c r="I24" s="177">
        <f t="shared" ca="1" si="9"/>
        <v>35.958931834088901</v>
      </c>
      <c r="J24" s="177">
        <f t="shared" ca="1" si="9"/>
        <v>28.923142479721164</v>
      </c>
      <c r="K24" s="178">
        <f t="shared" ca="1" si="9"/>
        <v>31.492056928098414</v>
      </c>
    </row>
    <row r="25" spans="2:19" ht="15" thickBot="1">
      <c r="B25" s="175" t="s">
        <v>133</v>
      </c>
      <c r="C25" s="369">
        <v>6.1100000000000002E-2</v>
      </c>
      <c r="E25" s="104"/>
      <c r="F25" s="143"/>
      <c r="G25" s="143"/>
      <c r="H25" s="143"/>
      <c r="I25" s="143"/>
      <c r="J25" s="143"/>
      <c r="K25" s="145"/>
      <c r="N25" s="35" t="s">
        <v>134</v>
      </c>
    </row>
    <row r="26" spans="2:19">
      <c r="B26" s="175" t="s">
        <v>135</v>
      </c>
      <c r="C26" s="650" cm="1">
        <f t="array" ref="C26">+_xll.BDP(bbg_ticker, "EQY_BETA")</f>
        <v>1.337857723236084</v>
      </c>
      <c r="E26" s="164" t="s">
        <v>136</v>
      </c>
      <c r="F26" s="386"/>
      <c r="G26" s="165"/>
      <c r="H26" s="143"/>
      <c r="I26" s="164" t="s">
        <v>137</v>
      </c>
      <c r="J26" s="386"/>
      <c r="K26" s="165"/>
    </row>
    <row r="27" spans="2:19">
      <c r="B27" s="196" t="s">
        <v>123</v>
      </c>
      <c r="C27" s="370">
        <f>+C26*C25+C24</f>
        <v>0.12609710688972472</v>
      </c>
      <c r="E27" s="213" t="s">
        <v>138</v>
      </c>
      <c r="F27" s="214"/>
      <c r="G27" s="226">
        <f>+K21*C8</f>
        <v>735.75065251165768</v>
      </c>
      <c r="H27" s="143"/>
      <c r="I27" s="213" t="s">
        <v>138</v>
      </c>
      <c r="J27" s="215"/>
      <c r="K27" s="226">
        <f>+K21*(1+$C$7)/($C$6-$C$7)</f>
        <v>782.32526662712291</v>
      </c>
    </row>
    <row r="28" spans="2:19">
      <c r="B28" s="104"/>
      <c r="C28" s="103"/>
      <c r="D28" s="19"/>
      <c r="E28" s="216" t="s">
        <v>139</v>
      </c>
      <c r="F28" s="379"/>
      <c r="G28" s="227">
        <f ca="1">+G27*$K$23</f>
        <v>566.85702470577155</v>
      </c>
      <c r="H28" s="143"/>
      <c r="I28" s="216" t="s">
        <v>139</v>
      </c>
      <c r="J28" s="380"/>
      <c r="K28" s="227">
        <f ca="1">+K27*$K$23</f>
        <v>602.74030539901389</v>
      </c>
    </row>
    <row r="29" spans="2:19">
      <c r="B29" s="659" t="s">
        <v>125</v>
      </c>
      <c r="C29" s="660"/>
      <c r="E29" s="216" t="s">
        <v>140</v>
      </c>
      <c r="F29" s="379"/>
      <c r="G29" s="227">
        <f ca="1">+SUM($F$24:$K$24)</f>
        <v>106.26950583215068</v>
      </c>
      <c r="H29" s="143"/>
      <c r="I29" s="216" t="s">
        <v>140</v>
      </c>
      <c r="J29" s="380"/>
      <c r="K29" s="227">
        <f ca="1">+SUM($F$24:$K$24)</f>
        <v>106.26950583215068</v>
      </c>
    </row>
    <row r="30" spans="2:19" ht="15" thickBot="1">
      <c r="B30" s="217" t="s">
        <v>141</v>
      </c>
      <c r="C30" s="837">
        <v>1.2500000000000001E-2</v>
      </c>
      <c r="D30" s="651" t="s">
        <v>607</v>
      </c>
      <c r="E30" s="213" t="s">
        <v>142</v>
      </c>
      <c r="F30" s="218"/>
      <c r="G30" s="226">
        <f ca="1">SUM(G28:G29)</f>
        <v>673.12653053792224</v>
      </c>
      <c r="H30" s="143"/>
      <c r="I30" s="213" t="s">
        <v>142</v>
      </c>
      <c r="J30" s="219"/>
      <c r="K30" s="226">
        <f ca="1">SUM(K28:K29)</f>
        <v>709.00981123116458</v>
      </c>
    </row>
    <row r="31" spans="2:19">
      <c r="E31" s="216" t="s">
        <v>143</v>
      </c>
      <c r="F31" s="381"/>
      <c r="G31" s="227">
        <f>-$C$16</f>
        <v>-525</v>
      </c>
      <c r="H31" s="143"/>
      <c r="I31" s="216" t="s">
        <v>143</v>
      </c>
      <c r="J31" s="380"/>
      <c r="K31" s="227">
        <f>-$C$16</f>
        <v>-525</v>
      </c>
    </row>
    <row r="32" spans="2:19">
      <c r="D32" s="19"/>
      <c r="E32" s="216" t="s">
        <v>144</v>
      </c>
      <c r="F32" s="381"/>
      <c r="G32" s="382">
        <v>0</v>
      </c>
      <c r="H32" s="143"/>
      <c r="I32" s="216" t="s">
        <v>144</v>
      </c>
      <c r="J32" s="380"/>
      <c r="K32" s="382">
        <f>G32</f>
        <v>0</v>
      </c>
    </row>
    <row r="33" spans="4:11">
      <c r="E33" s="216" t="s">
        <v>145</v>
      </c>
      <c r="F33" s="381"/>
      <c r="G33" s="382">
        <f>tower!AB439/1000</f>
        <v>559.44399999999996</v>
      </c>
      <c r="H33" s="143"/>
      <c r="I33" s="216" t="s">
        <v>145</v>
      </c>
      <c r="J33" s="380"/>
      <c r="K33" s="382">
        <f>G33</f>
        <v>559.44399999999996</v>
      </c>
    </row>
    <row r="34" spans="4:11">
      <c r="E34" s="213" t="s">
        <v>146</v>
      </c>
      <c r="F34" s="218"/>
      <c r="G34" s="226">
        <f ca="1">+SUM(G30:G33)</f>
        <v>707.5705305379222</v>
      </c>
      <c r="H34" s="143"/>
      <c r="I34" s="213" t="s">
        <v>146</v>
      </c>
      <c r="J34" s="220"/>
      <c r="K34" s="226">
        <f ca="1">+SUM(K30:K33)</f>
        <v>743.45381123116454</v>
      </c>
    </row>
    <row r="35" spans="4:11">
      <c r="E35" s="216" t="s">
        <v>147</v>
      </c>
      <c r="F35" s="381"/>
      <c r="G35" s="227">
        <f>C11</f>
        <v>132.896626</v>
      </c>
      <c r="H35" s="143"/>
      <c r="I35" s="216" t="s">
        <v>147</v>
      </c>
      <c r="J35" s="383"/>
      <c r="K35" s="227">
        <f>C11</f>
        <v>132.896626</v>
      </c>
    </row>
    <row r="36" spans="4:11">
      <c r="E36" s="221" t="s">
        <v>106</v>
      </c>
      <c r="F36" s="384"/>
      <c r="G36" s="231">
        <f ca="1">+G34/G35</f>
        <v>5.3242174149547044</v>
      </c>
      <c r="H36" s="143"/>
      <c r="I36" s="221" t="s">
        <v>106</v>
      </c>
      <c r="J36" s="385"/>
      <c r="K36" s="231">
        <f ca="1">+K34/K35</f>
        <v>5.5942263818734164</v>
      </c>
    </row>
    <row r="37" spans="4:11">
      <c r="E37" s="222" t="s">
        <v>148</v>
      </c>
      <c r="F37" s="381"/>
      <c r="G37" s="228">
        <f ca="1">+G36/C12-1</f>
        <v>1.3558484136967719</v>
      </c>
      <c r="H37" s="143"/>
      <c r="I37" s="222" t="s">
        <v>148</v>
      </c>
      <c r="J37" s="383"/>
      <c r="K37" s="228">
        <f ca="1">+K36/C12-1</f>
        <v>1.4753214079085915</v>
      </c>
    </row>
    <row r="38" spans="4:11">
      <c r="E38" s="216"/>
      <c r="F38" s="381"/>
      <c r="G38" s="227"/>
      <c r="H38" s="143"/>
      <c r="I38" s="216"/>
      <c r="J38" s="383"/>
      <c r="K38" s="227"/>
    </row>
    <row r="39" spans="4:11">
      <c r="E39" s="222" t="s">
        <v>149</v>
      </c>
      <c r="F39" s="381"/>
      <c r="G39" s="229">
        <f ca="1">+G28/G30</f>
        <v>0.84212551279589809</v>
      </c>
      <c r="H39" s="143"/>
      <c r="I39" s="222" t="s">
        <v>149</v>
      </c>
      <c r="J39" s="381"/>
      <c r="K39" s="229">
        <f ca="1">+K28/K30</f>
        <v>0.85011560609067127</v>
      </c>
    </row>
    <row r="40" spans="4:11" ht="15" thickBot="1">
      <c r="E40" s="223" t="s">
        <v>150</v>
      </c>
      <c r="F40" s="224"/>
      <c r="G40" s="387">
        <f>+((C6*G27)-K21)/(G27+K21)</f>
        <v>-3.1333456611080937E-3</v>
      </c>
      <c r="H40" s="147"/>
      <c r="I40" s="223" t="s">
        <v>151</v>
      </c>
      <c r="J40" s="225"/>
      <c r="K40" s="230">
        <f>+K27/(K10+K19)</f>
        <v>17.742298231946044</v>
      </c>
    </row>
    <row r="43" spans="4:11">
      <c r="I43" s="19"/>
    </row>
    <row r="44" spans="4:11">
      <c r="D44" s="19"/>
    </row>
    <row r="52" spans="4:4">
      <c r="D52" s="19"/>
    </row>
    <row r="53" spans="4:4">
      <c r="D53" s="19"/>
    </row>
  </sheetData>
  <mergeCells count="3">
    <mergeCell ref="M8:M12"/>
    <mergeCell ref="M17:M21"/>
    <mergeCell ref="B29:C29"/>
  </mergeCells>
  <conditionalFormatting sqref="O8:S12">
    <cfRule type="colorScale" priority="2">
      <colorScale>
        <cfvo type="min"/>
        <cfvo type="percentile" val="50"/>
        <cfvo type="max"/>
        <color rgb="FFF8696B"/>
        <color rgb="FFFFEB84"/>
        <color rgb="FF63BE7B"/>
      </colorScale>
    </cfRule>
  </conditionalFormatting>
  <conditionalFormatting sqref="O17:S21">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verticalDpi="0" r:id="rId1"/>
  <customProperties>
    <customPr name="UniqueWorksheetId" r:id="rId2"/>
  </customProperties>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B027A0-EBA2-44BF-9672-266B498D9D6D}">
  <sheetPr codeName="Sheet11"/>
  <dimension ref="B1:S53"/>
  <sheetViews>
    <sheetView showGridLines="0" workbookViewId="0">
      <selection activeCell="K11" sqref="K11"/>
    </sheetView>
  </sheetViews>
  <sheetFormatPr defaultRowHeight="14.5"/>
  <cols>
    <col min="2" max="2" width="36" customWidth="1"/>
    <col min="3" max="3" width="19.54296875" bestFit="1" customWidth="1"/>
    <col min="4" max="4" width="26.54296875" customWidth="1"/>
    <col min="5" max="5" width="34.1796875" customWidth="1"/>
    <col min="6" max="6" width="15.08984375" bestFit="1" customWidth="1"/>
    <col min="7" max="7" width="16.90625" bestFit="1" customWidth="1"/>
    <col min="8" max="10" width="14.7265625" bestFit="1" customWidth="1"/>
    <col min="11" max="11" width="16.90625" bestFit="1" customWidth="1"/>
    <col min="14" max="14" width="9.1796875" customWidth="1"/>
    <col min="15" max="15" width="16.90625" bestFit="1" customWidth="1"/>
    <col min="16" max="19" width="15.08984375" bestFit="1" customWidth="1"/>
  </cols>
  <sheetData>
    <row r="1" spans="2:19" ht="24" thickBot="1">
      <c r="B1" s="150"/>
      <c r="C1" s="151"/>
      <c r="D1" s="151"/>
      <c r="E1" s="151"/>
      <c r="F1" s="151"/>
      <c r="G1" s="151"/>
      <c r="H1" s="151"/>
      <c r="I1" s="151"/>
      <c r="J1" s="151"/>
      <c r="K1" s="151"/>
      <c r="L1" s="151"/>
      <c r="M1" s="151"/>
      <c r="N1" s="146"/>
      <c r="O1" s="152"/>
      <c r="P1" s="146"/>
      <c r="Q1" s="146"/>
      <c r="R1" s="146"/>
      <c r="S1" s="146"/>
    </row>
    <row r="2" spans="2:19" ht="24" hidden="1" thickBot="1">
      <c r="B2" s="153"/>
      <c r="C2" s="151"/>
      <c r="D2" s="151"/>
      <c r="E2" s="154"/>
      <c r="F2" s="155"/>
      <c r="G2" s="156"/>
      <c r="H2" s="156"/>
      <c r="I2" s="156"/>
      <c r="J2" s="156"/>
      <c r="K2" s="156"/>
      <c r="L2" s="151"/>
      <c r="M2" s="151"/>
      <c r="N2" s="157"/>
      <c r="O2" s="152"/>
      <c r="P2" s="146"/>
      <c r="Q2" s="146"/>
      <c r="R2" s="146"/>
      <c r="S2" s="146"/>
    </row>
    <row r="3" spans="2:19" ht="23.5">
      <c r="B3" s="153"/>
      <c r="C3" s="151"/>
      <c r="D3" s="151"/>
      <c r="E3" s="158" t="s">
        <v>103</v>
      </c>
      <c r="F3" s="395">
        <f ca="1">(F4-(TODAY()))/365</f>
        <v>0.11506849315068493</v>
      </c>
      <c r="G3" s="159">
        <v>1</v>
      </c>
      <c r="H3" s="159">
        <v>1</v>
      </c>
      <c r="I3" s="159">
        <v>1</v>
      </c>
      <c r="J3" s="159">
        <v>1</v>
      </c>
      <c r="K3" s="160">
        <v>1</v>
      </c>
      <c r="L3" s="151"/>
      <c r="M3" s="151"/>
      <c r="N3" s="146"/>
      <c r="O3" s="152"/>
      <c r="P3" s="146"/>
      <c r="Q3" s="146"/>
      <c r="R3" s="146"/>
      <c r="S3" s="146"/>
    </row>
    <row r="4" spans="2:19" ht="15" thickBot="1">
      <c r="B4" s="161" t="str">
        <f>bbg_ticker</f>
        <v>SKIN US Equity</v>
      </c>
      <c r="E4" s="162" t="s">
        <v>104</v>
      </c>
      <c r="F4" s="371">
        <v>45291</v>
      </c>
      <c r="G4" s="371">
        <f>EDATE(F4,12)</f>
        <v>45657</v>
      </c>
      <c r="H4" s="371">
        <f>+EOMONTH(G4,12)</f>
        <v>46022</v>
      </c>
      <c r="I4" s="371">
        <f t="shared" ref="I4:K4" si="0">+EOMONTH(H4,12)</f>
        <v>46387</v>
      </c>
      <c r="J4" s="371">
        <f t="shared" si="0"/>
        <v>46752</v>
      </c>
      <c r="K4" s="163">
        <f t="shared" si="0"/>
        <v>47118</v>
      </c>
    </row>
    <row r="5" spans="2:19">
      <c r="B5" s="164" t="s">
        <v>34</v>
      </c>
      <c r="C5" s="165"/>
      <c r="E5" s="166" t="s">
        <v>105</v>
      </c>
      <c r="F5" s="372"/>
      <c r="G5" s="372"/>
      <c r="H5" s="372"/>
      <c r="I5" s="372"/>
      <c r="J5" s="372"/>
      <c r="K5" s="168"/>
      <c r="M5" s="146"/>
      <c r="N5" s="146"/>
      <c r="O5" s="167" t="s">
        <v>106</v>
      </c>
      <c r="P5" s="169"/>
      <c r="Q5" s="169"/>
      <c r="R5" s="169"/>
      <c r="S5" s="169"/>
    </row>
    <row r="6" spans="2:19">
      <c r="B6" s="170" t="s">
        <v>107</v>
      </c>
      <c r="C6" s="361">
        <f>+C21</f>
        <v>5.2248135135497011E-2</v>
      </c>
      <c r="E6" s="171"/>
      <c r="F6" s="172">
        <v>2023</v>
      </c>
      <c r="G6" s="172">
        <f>+F6+1</f>
        <v>2024</v>
      </c>
      <c r="H6" s="172">
        <f>+G6+1</f>
        <v>2025</v>
      </c>
      <c r="I6" s="172">
        <f>+H6+1</f>
        <v>2026</v>
      </c>
      <c r="J6" s="172">
        <f>+I6+1</f>
        <v>2027</v>
      </c>
      <c r="K6" s="173">
        <f>+J6+1</f>
        <v>2028</v>
      </c>
      <c r="M6" s="146"/>
      <c r="N6" s="146"/>
      <c r="O6" s="174" t="s">
        <v>107</v>
      </c>
      <c r="P6" s="174"/>
      <c r="Q6" s="174"/>
      <c r="R6" s="174"/>
      <c r="S6" s="174"/>
    </row>
    <row r="7" spans="2:19" ht="15" thickBot="1">
      <c r="B7" s="175" t="s">
        <v>108</v>
      </c>
      <c r="C7" s="362">
        <v>0.02</v>
      </c>
      <c r="E7" s="105" t="s">
        <v>56</v>
      </c>
      <c r="F7" s="176">
        <f>tower!AC125+tower!Z158+tower!AA158+tower!AB158</f>
        <v>340.75349141721375</v>
      </c>
      <c r="G7" s="176">
        <f>tower!AI125</f>
        <v>155.373774473775</v>
      </c>
      <c r="H7" s="176">
        <f>tower!AN125</f>
        <v>158.48124996325049</v>
      </c>
      <c r="I7" s="177">
        <f>(1+I8)*H7</f>
        <v>161.6508749625155</v>
      </c>
      <c r="J7" s="177">
        <f t="shared" ref="J7:K7" si="1">(1+J8)*I7</f>
        <v>164.88389246176581</v>
      </c>
      <c r="K7" s="178">
        <f t="shared" si="1"/>
        <v>168.18157031100114</v>
      </c>
      <c r="M7" s="146"/>
      <c r="N7" s="179">
        <f ca="1">G36</f>
        <v>3.2704874407196325</v>
      </c>
      <c r="O7" s="180">
        <f>+P7-0.0025</f>
        <v>4.7248135135497006E-2</v>
      </c>
      <c r="P7" s="180">
        <f>+Q7-0.0025</f>
        <v>4.9748135135497008E-2</v>
      </c>
      <c r="Q7" s="180">
        <f>C21</f>
        <v>5.2248135135497011E-2</v>
      </c>
      <c r="R7" s="180">
        <f>+Q7+0.0025</f>
        <v>5.4748135135497013E-2</v>
      </c>
      <c r="S7" s="180">
        <f>+R7+0.0025</f>
        <v>5.7248135135497015E-2</v>
      </c>
    </row>
    <row r="8" spans="2:19">
      <c r="B8" s="175" t="s">
        <v>109</v>
      </c>
      <c r="C8" s="363">
        <v>28</v>
      </c>
      <c r="E8" s="181" t="s">
        <v>110</v>
      </c>
      <c r="F8" s="182">
        <f>tower!AD125/tower!Y158-1</f>
        <v>-0.56452150858019445</v>
      </c>
      <c r="G8" s="182">
        <f>G7/F7-1</f>
        <v>-0.54402881148021009</v>
      </c>
      <c r="H8" s="182">
        <f>H7/G7-1</f>
        <v>2.0000000000000018E-2</v>
      </c>
      <c r="I8" s="183">
        <v>0.02</v>
      </c>
      <c r="J8" s="183">
        <v>0.02</v>
      </c>
      <c r="K8" s="184">
        <v>0.02</v>
      </c>
      <c r="M8" s="657" t="s">
        <v>111</v>
      </c>
      <c r="N8" s="305">
        <f>+N9+0.5</f>
        <v>29</v>
      </c>
      <c r="O8" s="185">
        <f t="dataTable" ref="O8:S12" dt2D="1" dtr="1" r1="C6" r2="C8" ca="1"/>
        <v>3.4429158867070466</v>
      </c>
      <c r="P8" s="186">
        <v>3.4058049792659939</v>
      </c>
      <c r="Q8" s="186">
        <v>3.3692318917822224</v>
      </c>
      <c r="R8" s="186">
        <v>3.3331875873012691</v>
      </c>
      <c r="S8" s="187">
        <v>3.2976632015342187</v>
      </c>
    </row>
    <row r="9" spans="2:19" ht="15" thickBot="1">
      <c r="B9" s="175" t="s">
        <v>112</v>
      </c>
      <c r="C9" s="364">
        <f ca="1">+TODAY()</f>
        <v>45249</v>
      </c>
      <c r="E9" s="104"/>
      <c r="F9" s="131"/>
      <c r="G9" s="131"/>
      <c r="H9" s="131"/>
      <c r="I9" s="131"/>
      <c r="J9" s="131"/>
      <c r="K9" s="103"/>
      <c r="M9" s="658"/>
      <c r="N9" s="305">
        <f>+N10+0.5</f>
        <v>28.5</v>
      </c>
      <c r="O9" s="188">
        <v>3.3923246948107804</v>
      </c>
      <c r="P9" s="189">
        <v>3.3558277124740243</v>
      </c>
      <c r="Q9" s="189">
        <v>3.3198596662509274</v>
      </c>
      <c r="R9" s="189">
        <v>3.2844116683919409</v>
      </c>
      <c r="S9" s="190">
        <v>3.2494750009619557</v>
      </c>
    </row>
    <row r="10" spans="2:19" ht="15" thickBot="1">
      <c r="B10" s="175" t="s">
        <v>113</v>
      </c>
      <c r="C10" s="360">
        <v>365</v>
      </c>
      <c r="E10" s="191" t="s">
        <v>58</v>
      </c>
      <c r="F10" s="374">
        <f>tower!Z209+tower!AA209+tower!AB209+tower!AC135</f>
        <v>10.188372854303445</v>
      </c>
      <c r="G10" s="374">
        <f t="shared" ref="F10:I10" si="2">G11*G7</f>
        <v>0</v>
      </c>
      <c r="H10" s="374">
        <f t="shared" si="2"/>
        <v>0</v>
      </c>
      <c r="I10" s="374">
        <f t="shared" si="2"/>
        <v>8.0825437481257758</v>
      </c>
      <c r="J10" s="374">
        <f>J11*J7</f>
        <v>13.520479181864797</v>
      </c>
      <c r="K10" s="192">
        <f>K11*K7</f>
        <v>13.790888765502094</v>
      </c>
      <c r="M10" s="658"/>
      <c r="N10" s="306">
        <v>28</v>
      </c>
      <c r="O10" s="188">
        <v>3.3417335029145145</v>
      </c>
      <c r="P10" s="189">
        <v>3.3058504456820552</v>
      </c>
      <c r="Q10" s="389">
        <v>3.2704874407196325</v>
      </c>
      <c r="R10" s="189">
        <v>3.2356357494826118</v>
      </c>
      <c r="S10" s="190">
        <v>3.2012868003896928</v>
      </c>
    </row>
    <row r="11" spans="2:19">
      <c r="B11" s="175" t="s">
        <v>114</v>
      </c>
      <c r="C11" s="382">
        <f>tower!AS231</f>
        <v>132.896626</v>
      </c>
      <c r="E11" s="181" t="s">
        <v>115</v>
      </c>
      <c r="F11" s="193">
        <f>F10/F7</f>
        <v>2.9899540609046749E-2</v>
      </c>
      <c r="G11" s="757">
        <v>0</v>
      </c>
      <c r="H11" s="757">
        <v>0</v>
      </c>
      <c r="I11" s="757">
        <v>0.05</v>
      </c>
      <c r="J11" s="194">
        <v>8.2000000000000003E-2</v>
      </c>
      <c r="K11" s="195">
        <v>8.2000000000000003E-2</v>
      </c>
      <c r="M11" s="658"/>
      <c r="N11" s="305">
        <f>+N10-0.5</f>
        <v>27.5</v>
      </c>
      <c r="O11" s="188">
        <v>3.2911423110182478</v>
      </c>
      <c r="P11" s="189">
        <v>3.2558731788900857</v>
      </c>
      <c r="Q11" s="189">
        <v>3.221115215188338</v>
      </c>
      <c r="R11" s="189">
        <v>3.1868598305732831</v>
      </c>
      <c r="S11" s="190">
        <v>3.153098599817429</v>
      </c>
    </row>
    <row r="12" spans="2:19" ht="15" thickBot="1">
      <c r="B12" s="196" t="s">
        <v>116</v>
      </c>
      <c r="C12" s="365">
        <f>_xll.BDP(B4,"PX_last")</f>
        <v>2.2599999999999998</v>
      </c>
      <c r="E12" s="181" t="s">
        <v>117</v>
      </c>
      <c r="F12" s="197"/>
      <c r="G12" s="182">
        <f>G10/F10-1</f>
        <v>-1</v>
      </c>
      <c r="H12" s="182" t="e">
        <f t="shared" ref="H12:K12" si="3">H10/G10-1</f>
        <v>#DIV/0!</v>
      </c>
      <c r="I12" s="182" t="e">
        <f>I10/H10-1</f>
        <v>#DIV/0!</v>
      </c>
      <c r="J12" s="182">
        <f>J10/I10-1</f>
        <v>0.67279999999999984</v>
      </c>
      <c r="K12" s="198">
        <f t="shared" si="3"/>
        <v>2.0000000000000018E-2</v>
      </c>
      <c r="M12" s="658"/>
      <c r="N12" s="305">
        <f>+N11-0.5</f>
        <v>27</v>
      </c>
      <c r="O12" s="199">
        <v>3.240551119121982</v>
      </c>
      <c r="P12" s="200">
        <v>3.2058959120981161</v>
      </c>
      <c r="Q12" s="200">
        <v>3.1717429896570435</v>
      </c>
      <c r="R12" s="200">
        <v>3.1380839116639545</v>
      </c>
      <c r="S12" s="201">
        <v>3.1049103992451661</v>
      </c>
    </row>
    <row r="13" spans="2:19">
      <c r="B13" s="104"/>
      <c r="C13" s="145"/>
      <c r="E13" s="104"/>
      <c r="F13" s="131"/>
      <c r="G13" s="131"/>
      <c r="H13" s="131"/>
      <c r="I13" s="131"/>
      <c r="J13" s="131"/>
      <c r="K13" s="103"/>
      <c r="N13" s="56"/>
    </row>
    <row r="14" spans="2:19">
      <c r="B14" s="166" t="s">
        <v>107</v>
      </c>
      <c r="C14" s="202"/>
      <c r="E14" s="203" t="s">
        <v>53</v>
      </c>
      <c r="F14" s="373">
        <f>tower!AD220</f>
        <v>-2.4000000000000004</v>
      </c>
      <c r="G14" s="373">
        <f>tower!AI220</f>
        <v>0</v>
      </c>
      <c r="H14" s="373">
        <f>tower!AN220</f>
        <v>9.8011036646507197</v>
      </c>
      <c r="I14" s="373">
        <f>tower!AS220</f>
        <v>15.176961392929661</v>
      </c>
      <c r="J14" s="374">
        <f>J10*$C$20</f>
        <v>2.7040958363729595</v>
      </c>
      <c r="K14" s="192">
        <f>K10*$C$20</f>
        <v>2.7581777531004192</v>
      </c>
      <c r="M14" s="146"/>
      <c r="N14" s="3"/>
      <c r="O14" s="167" t="s">
        <v>106</v>
      </c>
      <c r="P14" s="169"/>
      <c r="Q14" s="169"/>
      <c r="R14" s="169"/>
      <c r="S14" s="169"/>
    </row>
    <row r="15" spans="2:19">
      <c r="B15" s="170" t="s">
        <v>118</v>
      </c>
      <c r="C15" s="366">
        <f>+C11*C12</f>
        <v>300.34637475999995</v>
      </c>
      <c r="E15" s="104"/>
      <c r="F15" s="131"/>
      <c r="G15" s="131"/>
      <c r="H15" s="131"/>
      <c r="I15" s="131"/>
      <c r="J15" s="131"/>
      <c r="K15" s="103"/>
      <c r="M15" s="146"/>
      <c r="N15" s="3"/>
      <c r="O15" s="174" t="s">
        <v>107</v>
      </c>
      <c r="P15" s="174"/>
      <c r="Q15" s="174"/>
      <c r="R15" s="174"/>
      <c r="S15" s="174"/>
    </row>
    <row r="16" spans="2:19" ht="15" thickBot="1">
      <c r="B16" s="175" t="s">
        <v>119</v>
      </c>
      <c r="C16" s="382">
        <v>525</v>
      </c>
      <c r="D16" t="s">
        <v>765</v>
      </c>
      <c r="E16" s="204" t="s">
        <v>120</v>
      </c>
      <c r="F16" s="374">
        <f>+F10-F14</f>
        <v>12.588372854303445</v>
      </c>
      <c r="G16" s="374">
        <f>+G10-G14</f>
        <v>0</v>
      </c>
      <c r="H16" s="374">
        <f>+H10-H14</f>
        <v>-9.8011036646507197</v>
      </c>
      <c r="I16" s="374">
        <f>+I10-I14</f>
        <v>-7.0944176448038849</v>
      </c>
      <c r="J16" s="374">
        <f t="shared" ref="J16" si="4">+J10-J14</f>
        <v>10.816383345491838</v>
      </c>
      <c r="K16" s="192">
        <f>+K10-K14</f>
        <v>11.032711012401675</v>
      </c>
      <c r="M16" s="146"/>
      <c r="N16" s="307">
        <f ca="1">+$K$36</f>
        <v>3.6289037270061089</v>
      </c>
      <c r="O16" s="180">
        <f>+P16-0.0025</f>
        <v>4.7248135135497006E-2</v>
      </c>
      <c r="P16" s="180">
        <f>+Q16-0.0025</f>
        <v>4.9748135135497008E-2</v>
      </c>
      <c r="Q16" s="180">
        <f>Q7</f>
        <v>5.2248135135497011E-2</v>
      </c>
      <c r="R16" s="180">
        <f>+Q16+0.0025</f>
        <v>5.4748135135497013E-2</v>
      </c>
      <c r="S16" s="180">
        <f>+R16+0.0025</f>
        <v>5.7248135135497015E-2</v>
      </c>
    </row>
    <row r="17" spans="2:19">
      <c r="B17" s="170" t="s">
        <v>121</v>
      </c>
      <c r="C17" s="366">
        <f>+SUM(C15:C16)</f>
        <v>825.34637475999989</v>
      </c>
      <c r="E17" s="104"/>
      <c r="F17" s="131"/>
      <c r="G17" s="131"/>
      <c r="H17" s="131"/>
      <c r="I17" s="131"/>
      <c r="J17" s="131"/>
      <c r="K17" s="103"/>
      <c r="M17" s="657" t="s">
        <v>122</v>
      </c>
      <c r="N17" s="308">
        <f>+N18+0.0025</f>
        <v>2.4999999999999998E-2</v>
      </c>
      <c r="O17" s="185">
        <f t="dataTable" ref="O17:S21" dt2D="1" dtr="1" r1="C6" r2="C7" ca="1"/>
        <v>5.1702284035902997</v>
      </c>
      <c r="P17" s="186">
        <v>4.6469666233122053</v>
      </c>
      <c r="Q17" s="186">
        <v>4.2201378336852393</v>
      </c>
      <c r="R17" s="186">
        <v>3.8654246946623703</v>
      </c>
      <c r="S17" s="187">
        <v>3.5660506324758416</v>
      </c>
    </row>
    <row r="18" spans="2:19" ht="15" thickBot="1">
      <c r="B18" s="175" t="s">
        <v>123</v>
      </c>
      <c r="C18" s="367">
        <f>+C27</f>
        <v>0.12609710688972472</v>
      </c>
      <c r="E18" s="203" t="s">
        <v>124</v>
      </c>
      <c r="F18" s="375">
        <f>tower!AD575</f>
        <v>132.94291878726682</v>
      </c>
      <c r="G18" s="375">
        <f>tower!AI575</f>
        <v>-21.785809469718632</v>
      </c>
      <c r="H18" s="375">
        <f>tower!AN575</f>
        <v>-15.109326708156404</v>
      </c>
      <c r="I18" s="375">
        <f>tower!AS575</f>
        <v>-12.675213660925248</v>
      </c>
      <c r="J18" s="376">
        <v>-8</v>
      </c>
      <c r="K18" s="205">
        <v>-4</v>
      </c>
      <c r="M18" s="658"/>
      <c r="N18" s="308">
        <f>+N19+0.0025</f>
        <v>2.2499999999999999E-2</v>
      </c>
      <c r="O18" s="188">
        <v>4.689102855687115</v>
      </c>
      <c r="P18" s="189">
        <v>4.2579677404087439</v>
      </c>
      <c r="Q18" s="189">
        <v>3.8996774538654515</v>
      </c>
      <c r="R18" s="189">
        <v>3.5972857598535808</v>
      </c>
      <c r="S18" s="190">
        <v>3.3387233634758982</v>
      </c>
    </row>
    <row r="19" spans="2:19" ht="15" thickBot="1">
      <c r="B19" s="175" t="s">
        <v>125</v>
      </c>
      <c r="C19" s="367">
        <f>+C30</f>
        <v>1.2500000000000001E-2</v>
      </c>
      <c r="E19" s="203" t="s">
        <v>57</v>
      </c>
      <c r="F19" s="375">
        <f>tower!AD235</f>
        <v>32.329620362278064</v>
      </c>
      <c r="G19" s="375">
        <f>tower!AI235</f>
        <v>24.264710717018591</v>
      </c>
      <c r="H19" s="375">
        <f>tower!AN235</f>
        <v>16.080240545420651</v>
      </c>
      <c r="I19" s="375">
        <f>tower!AS235</f>
        <v>10.362843443842216</v>
      </c>
      <c r="J19" s="376">
        <v>8</v>
      </c>
      <c r="K19" s="205">
        <v>6</v>
      </c>
      <c r="M19" s="658"/>
      <c r="N19" s="309">
        <v>0.02</v>
      </c>
      <c r="O19" s="188">
        <v>4.2962632667148251</v>
      </c>
      <c r="P19" s="189">
        <v>3.9343509194617114</v>
      </c>
      <c r="Q19" s="389">
        <v>3.6289037270061089</v>
      </c>
      <c r="R19" s="189">
        <v>3.3677300373183727</v>
      </c>
      <c r="S19" s="190">
        <v>3.1419113495582573</v>
      </c>
    </row>
    <row r="20" spans="2:19">
      <c r="B20" s="175" t="s">
        <v>126</v>
      </c>
      <c r="C20" s="368">
        <v>0.2</v>
      </c>
      <c r="E20" s="206" t="s">
        <v>127</v>
      </c>
      <c r="F20" s="207">
        <f>tower!AD547/1000</f>
        <v>-3.9576199999999999</v>
      </c>
      <c r="G20" s="375">
        <f>tower!AI547/1000</f>
        <v>5.22318849244853E-2</v>
      </c>
      <c r="H20" s="375">
        <f>tower!AN547/1000</f>
        <v>0.90676218495331162</v>
      </c>
      <c r="I20" s="375">
        <f>tower!AS547/1000</f>
        <v>1.503708469582739</v>
      </c>
      <c r="J20" s="376">
        <v>3</v>
      </c>
      <c r="K20" s="205">
        <v>4</v>
      </c>
      <c r="M20" s="658"/>
      <c r="N20" s="308">
        <f>+N19-0.0025</f>
        <v>1.7500000000000002E-2</v>
      </c>
      <c r="O20" s="188">
        <v>3.969451276982451</v>
      </c>
      <c r="P20" s="189">
        <v>3.6609101504921497</v>
      </c>
      <c r="Q20" s="189">
        <v>3.3970923395361292</v>
      </c>
      <c r="R20" s="189">
        <v>3.1689887061211688</v>
      </c>
      <c r="S20" s="190">
        <v>2.9698567252950907</v>
      </c>
    </row>
    <row r="21" spans="2:19" ht="15" thickBot="1">
      <c r="B21" s="175" t="s">
        <v>107</v>
      </c>
      <c r="C21" s="367">
        <f>+(C15/C17)*C18+(C16/C17)*C19*(1-C20)</f>
        <v>5.2248135135497011E-2</v>
      </c>
      <c r="E21" s="204" t="s">
        <v>128</v>
      </c>
      <c r="F21" s="374">
        <f t="shared" ref="F21:K21" si="5">SUM(F16:F20)</f>
        <v>173.90329200384835</v>
      </c>
      <c r="G21" s="177">
        <f t="shared" si="5"/>
        <v>2.5311331322244439</v>
      </c>
      <c r="H21" s="177">
        <f t="shared" si="5"/>
        <v>-7.9234276424331611</v>
      </c>
      <c r="I21" s="177">
        <f t="shared" si="5"/>
        <v>-7.9030793923041802</v>
      </c>
      <c r="J21" s="177">
        <f t="shared" si="5"/>
        <v>13.816383345491838</v>
      </c>
      <c r="K21" s="178">
        <f t="shared" si="5"/>
        <v>17.032711012401677</v>
      </c>
      <c r="M21" s="658"/>
      <c r="N21" s="308">
        <f>+N20-0.0025</f>
        <v>1.5000000000000001E-2</v>
      </c>
      <c r="O21" s="199">
        <v>3.6933107428798668</v>
      </c>
      <c r="P21" s="200">
        <v>3.4268154885731237</v>
      </c>
      <c r="Q21" s="200">
        <v>3.1963981323795689</v>
      </c>
      <c r="R21" s="200">
        <v>2.9952474573831425</v>
      </c>
      <c r="S21" s="201">
        <v>2.8181644937992441</v>
      </c>
    </row>
    <row r="22" spans="2:19">
      <c r="B22" s="208"/>
      <c r="C22" s="209"/>
      <c r="E22" s="203" t="s">
        <v>129</v>
      </c>
      <c r="F22" s="378">
        <f t="shared" ref="F22:K22" ca="1" si="6">(F4-$C$9)/$C$10</f>
        <v>0.11506849315068493</v>
      </c>
      <c r="G22" s="378">
        <f t="shared" ca="1" si="6"/>
        <v>1.1178082191780823</v>
      </c>
      <c r="H22" s="378">
        <f t="shared" ca="1" si="6"/>
        <v>2.117808219178082</v>
      </c>
      <c r="I22" s="378">
        <f t="shared" ca="1" si="6"/>
        <v>3.117808219178082</v>
      </c>
      <c r="J22" s="378">
        <f t="shared" ca="1" si="6"/>
        <v>4.117808219178082</v>
      </c>
      <c r="K22" s="210">
        <f t="shared" ca="1" si="6"/>
        <v>5.1205479452054794</v>
      </c>
    </row>
    <row r="23" spans="2:19">
      <c r="B23" s="166" t="s">
        <v>123</v>
      </c>
      <c r="C23" s="202"/>
      <c r="E23" s="203" t="s">
        <v>130</v>
      </c>
      <c r="F23" s="377">
        <f t="shared" ref="F23:K23" ca="1" si="7">1/(1+$C$6)^F22</f>
        <v>0.99415681989933946</v>
      </c>
      <c r="G23" s="377">
        <f t="shared" ca="1" si="7"/>
        <v>0.94466132113233359</v>
      </c>
      <c r="H23" s="377">
        <f t="shared" ca="1" si="7"/>
        <v>0.89775528184774633</v>
      </c>
      <c r="I23" s="377">
        <f t="shared" ca="1" si="7"/>
        <v>0.85317830640027048</v>
      </c>
      <c r="J23" s="377">
        <f t="shared" ca="1" si="7"/>
        <v>0.81081474788302421</v>
      </c>
      <c r="K23" s="211">
        <f t="shared" ca="1" si="7"/>
        <v>0.77044719263336281</v>
      </c>
    </row>
    <row r="24" spans="2:19">
      <c r="B24" s="170" t="s">
        <v>131</v>
      </c>
      <c r="C24" s="649">
        <f>+_xll.BDP("USGG10YR Index","px_last")/100</f>
        <v>4.4353999999999998E-2</v>
      </c>
      <c r="E24" s="212" t="s">
        <v>132</v>
      </c>
      <c r="F24" s="177">
        <f t="shared" ref="F24:K24" ca="1" si="8">F3*F21*F23</f>
        <v>19.893863116274048</v>
      </c>
      <c r="G24" s="177">
        <f t="shared" ca="1" si="8"/>
        <v>2.3910635686489647</v>
      </c>
      <c r="H24" s="177">
        <f t="shared" ca="1" si="8"/>
        <v>-7.1132990163328067</v>
      </c>
      <c r="I24" s="177">
        <f t="shared" ca="1" si="8"/>
        <v>-6.7427358912729591</v>
      </c>
      <c r="J24" s="177">
        <f t="shared" ca="1" si="8"/>
        <v>11.20252737893018</v>
      </c>
      <c r="K24" s="178">
        <f t="shared" ca="1" si="8"/>
        <v>13.122804382440235</v>
      </c>
    </row>
    <row r="25" spans="2:19" ht="15" thickBot="1">
      <c r="B25" s="175" t="s">
        <v>133</v>
      </c>
      <c r="C25" s="369">
        <v>6.1100000000000002E-2</v>
      </c>
      <c r="E25" s="104"/>
      <c r="F25" s="143"/>
      <c r="G25" s="143"/>
      <c r="H25" s="143"/>
      <c r="I25" s="143"/>
      <c r="J25" s="143"/>
      <c r="K25" s="145"/>
      <c r="N25" s="35" t="s">
        <v>134</v>
      </c>
    </row>
    <row r="26" spans="2:19">
      <c r="B26" s="175" t="s">
        <v>135</v>
      </c>
      <c r="C26" s="650" cm="1">
        <f t="array" ref="C26">+_xll.BDP(bbg_ticker, "EQY_BETA")</f>
        <v>1.337857723236084</v>
      </c>
      <c r="E26" s="164" t="s">
        <v>136</v>
      </c>
      <c r="F26" s="386"/>
      <c r="G26" s="165"/>
      <c r="H26" s="143"/>
      <c r="I26" s="164" t="s">
        <v>137</v>
      </c>
      <c r="J26" s="386"/>
      <c r="K26" s="165"/>
    </row>
    <row r="27" spans="2:19">
      <c r="B27" s="196" t="s">
        <v>123</v>
      </c>
      <c r="C27" s="370">
        <f>+C26*C25+C24</f>
        <v>0.12609710688972472</v>
      </c>
      <c r="E27" s="213" t="s">
        <v>138</v>
      </c>
      <c r="F27" s="214"/>
      <c r="G27" s="226">
        <f>+K21*C8</f>
        <v>476.91590834724695</v>
      </c>
      <c r="H27" s="143"/>
      <c r="I27" s="213" t="s">
        <v>138</v>
      </c>
      <c r="J27" s="215"/>
      <c r="K27" s="226">
        <f>+K21*(1+$C$7)/($C$6-$C$7)</f>
        <v>538.74015224917753</v>
      </c>
    </row>
    <row r="28" spans="2:19">
      <c r="B28" s="104"/>
      <c r="C28" s="103"/>
      <c r="D28" s="19"/>
      <c r="E28" s="216" t="s">
        <v>139</v>
      </c>
      <c r="F28" s="379"/>
      <c r="G28" s="227">
        <f ca="1">+G27*$K$23</f>
        <v>367.43852270832656</v>
      </c>
      <c r="H28" s="143"/>
      <c r="I28" s="216" t="s">
        <v>139</v>
      </c>
      <c r="J28" s="380"/>
      <c r="K28" s="227">
        <f ca="1">+K27*$K$23</f>
        <v>415.07083785924931</v>
      </c>
    </row>
    <row r="29" spans="2:19">
      <c r="B29" s="659" t="s">
        <v>125</v>
      </c>
      <c r="C29" s="660"/>
      <c r="E29" s="216" t="s">
        <v>140</v>
      </c>
      <c r="F29" s="379"/>
      <c r="G29" s="227">
        <f ca="1">+SUM($F$24:$K$24)</f>
        <v>32.754223538687661</v>
      </c>
      <c r="H29" s="143"/>
      <c r="I29" s="216" t="s">
        <v>140</v>
      </c>
      <c r="J29" s="380"/>
      <c r="K29" s="227">
        <f ca="1">+SUM($F$24:$K$24)</f>
        <v>32.754223538687661</v>
      </c>
    </row>
    <row r="30" spans="2:19" ht="15" thickBot="1">
      <c r="B30" s="217" t="s">
        <v>141</v>
      </c>
      <c r="C30" s="765">
        <v>1.2500000000000001E-2</v>
      </c>
      <c r="D30" s="651" t="s">
        <v>607</v>
      </c>
      <c r="E30" s="213" t="s">
        <v>142</v>
      </c>
      <c r="F30" s="218"/>
      <c r="G30" s="226">
        <f ca="1">SUM(G28:G29)</f>
        <v>400.19274624701421</v>
      </c>
      <c r="H30" s="143"/>
      <c r="I30" s="213" t="s">
        <v>142</v>
      </c>
      <c r="J30" s="219"/>
      <c r="K30" s="226">
        <f ca="1">SUM(K28:K29)</f>
        <v>447.82506139793696</v>
      </c>
    </row>
    <row r="31" spans="2:19">
      <c r="E31" s="216" t="s">
        <v>143</v>
      </c>
      <c r="F31" s="381"/>
      <c r="G31" s="227">
        <f>-$C$16</f>
        <v>-525</v>
      </c>
      <c r="H31" s="143"/>
      <c r="I31" s="216" t="s">
        <v>143</v>
      </c>
      <c r="J31" s="380"/>
      <c r="K31" s="227">
        <f>-$C$16</f>
        <v>-525</v>
      </c>
    </row>
    <row r="32" spans="2:19">
      <c r="D32" s="19"/>
      <c r="E32" s="216" t="s">
        <v>144</v>
      </c>
      <c r="F32" s="381"/>
      <c r="G32" s="382">
        <v>0</v>
      </c>
      <c r="H32" s="143"/>
      <c r="I32" s="216" t="s">
        <v>144</v>
      </c>
      <c r="J32" s="380"/>
      <c r="K32" s="382">
        <f>G32</f>
        <v>0</v>
      </c>
    </row>
    <row r="33" spans="4:11">
      <c r="E33" s="216" t="s">
        <v>145</v>
      </c>
      <c r="F33" s="381"/>
      <c r="G33" s="382">
        <f>tower!AB439/1000</f>
        <v>559.44399999999996</v>
      </c>
      <c r="H33" s="143"/>
      <c r="I33" s="216" t="s">
        <v>145</v>
      </c>
      <c r="J33" s="380"/>
      <c r="K33" s="382">
        <f>G33</f>
        <v>559.44399999999996</v>
      </c>
    </row>
    <row r="34" spans="4:11">
      <c r="E34" s="213" t="s">
        <v>146</v>
      </c>
      <c r="F34" s="218"/>
      <c r="G34" s="226">
        <f ca="1">+SUM(G30:G33)</f>
        <v>434.63674624701417</v>
      </c>
      <c r="H34" s="143"/>
      <c r="I34" s="213" t="s">
        <v>146</v>
      </c>
      <c r="J34" s="220"/>
      <c r="K34" s="226">
        <f ca="1">+SUM(K30:K33)</f>
        <v>482.26906139793692</v>
      </c>
    </row>
    <row r="35" spans="4:11">
      <c r="E35" s="216" t="s">
        <v>147</v>
      </c>
      <c r="F35" s="381"/>
      <c r="G35" s="227">
        <f>C11</f>
        <v>132.896626</v>
      </c>
      <c r="H35" s="143"/>
      <c r="I35" s="216" t="s">
        <v>147</v>
      </c>
      <c r="J35" s="383"/>
      <c r="K35" s="227">
        <f>C11</f>
        <v>132.896626</v>
      </c>
    </row>
    <row r="36" spans="4:11">
      <c r="E36" s="221" t="s">
        <v>106</v>
      </c>
      <c r="F36" s="384"/>
      <c r="G36" s="231">
        <f ca="1">+G34/G35</f>
        <v>3.2704874407196325</v>
      </c>
      <c r="H36" s="143"/>
      <c r="I36" s="221" t="s">
        <v>106</v>
      </c>
      <c r="J36" s="385"/>
      <c r="K36" s="231">
        <f ca="1">+K34/K35</f>
        <v>3.6289037270061089</v>
      </c>
    </row>
    <row r="37" spans="4:11">
      <c r="E37" s="222" t="s">
        <v>148</v>
      </c>
      <c r="F37" s="381"/>
      <c r="G37" s="228">
        <f ca="1">+G36/C12-1</f>
        <v>0.44711833660160738</v>
      </c>
      <c r="H37" s="143"/>
      <c r="I37" s="222" t="s">
        <v>148</v>
      </c>
      <c r="J37" s="383"/>
      <c r="K37" s="228">
        <f ca="1">+K36/C12-1</f>
        <v>0.60570961371951726</v>
      </c>
    </row>
    <row r="38" spans="4:11">
      <c r="E38" s="216"/>
      <c r="F38" s="381"/>
      <c r="G38" s="227"/>
      <c r="H38" s="143"/>
      <c r="I38" s="216"/>
      <c r="J38" s="383"/>
      <c r="K38" s="227"/>
    </row>
    <row r="39" spans="4:11">
      <c r="E39" s="222" t="s">
        <v>149</v>
      </c>
      <c r="F39" s="381"/>
      <c r="G39" s="229">
        <f ca="1">+G28/G30</f>
        <v>0.91815387998444509</v>
      </c>
      <c r="H39" s="143"/>
      <c r="I39" s="222" t="s">
        <v>149</v>
      </c>
      <c r="J39" s="381"/>
      <c r="K39" s="229">
        <f ca="1">+K28/K30</f>
        <v>0.9268593333377958</v>
      </c>
    </row>
    <row r="40" spans="4:11" ht="15" thickBot="1">
      <c r="E40" s="223" t="s">
        <v>150</v>
      </c>
      <c r="F40" s="224"/>
      <c r="G40" s="387">
        <f>+((C6*G27)-K21)/(G27+K21)</f>
        <v>1.5963716682548836E-2</v>
      </c>
      <c r="H40" s="147"/>
      <c r="I40" s="223" t="s">
        <v>151</v>
      </c>
      <c r="J40" s="225"/>
      <c r="K40" s="230">
        <f>+K27/(K10+K19)</f>
        <v>27.221624992823291</v>
      </c>
    </row>
    <row r="43" spans="4:11">
      <c r="I43" s="19"/>
    </row>
    <row r="44" spans="4:11">
      <c r="D44" s="19"/>
    </row>
    <row r="52" spans="4:4">
      <c r="D52" s="19"/>
    </row>
    <row r="53" spans="4:4">
      <c r="D53" s="19"/>
    </row>
  </sheetData>
  <mergeCells count="3">
    <mergeCell ref="M8:M12"/>
    <mergeCell ref="M17:M21"/>
    <mergeCell ref="B29:C29"/>
  </mergeCells>
  <conditionalFormatting sqref="O8:S12">
    <cfRule type="colorScale" priority="2">
      <colorScale>
        <cfvo type="min"/>
        <cfvo type="percentile" val="50"/>
        <cfvo type="max"/>
        <color rgb="FFF8696B"/>
        <color rgb="FFFFEB84"/>
        <color rgb="FF63BE7B"/>
      </colorScale>
    </cfRule>
  </conditionalFormatting>
  <conditionalFormatting sqref="O17:S21">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verticalDpi="0"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9EF5C-9AA3-4A08-B1AC-CE35B2D9EB3F}">
  <sheetPr codeName="Sheet9"/>
  <dimension ref="B1:U53"/>
  <sheetViews>
    <sheetView showGridLines="0" workbookViewId="0">
      <selection activeCell="O5" sqref="O5:U21"/>
    </sheetView>
  </sheetViews>
  <sheetFormatPr defaultRowHeight="14.5"/>
  <cols>
    <col min="2" max="2" width="45.54296875" customWidth="1"/>
    <col min="3" max="3" width="14.26953125" customWidth="1"/>
    <col min="4" max="4" width="26.54296875" customWidth="1"/>
    <col min="5" max="5" width="34.1796875" customWidth="1"/>
    <col min="6" max="6" width="15.08984375" bestFit="1" customWidth="1"/>
    <col min="7" max="7" width="16.90625" bestFit="1" customWidth="1"/>
    <col min="8" max="10" width="14.7265625" bestFit="1" customWidth="1"/>
    <col min="11" max="11" width="16.90625" bestFit="1" customWidth="1"/>
    <col min="12" max="12" width="2.26953125" customWidth="1"/>
    <col min="13" max="13" width="8.7265625" style="651"/>
    <col min="16" max="16" width="11.6328125" customWidth="1"/>
    <col min="17" max="17" width="16.90625" bestFit="1" customWidth="1"/>
    <col min="18" max="21" width="15.08984375" bestFit="1" customWidth="1"/>
  </cols>
  <sheetData>
    <row r="1" spans="2:21" ht="24" thickBot="1">
      <c r="B1" s="150"/>
      <c r="C1" s="151"/>
      <c r="D1" s="151"/>
      <c r="E1" s="151"/>
      <c r="F1" s="151"/>
      <c r="G1" s="151"/>
      <c r="H1" s="151"/>
      <c r="I1" s="151"/>
      <c r="J1" s="151"/>
      <c r="K1" s="151"/>
      <c r="L1" s="151"/>
      <c r="M1" s="749"/>
      <c r="N1" s="151"/>
      <c r="O1" s="151"/>
      <c r="P1" s="146"/>
      <c r="Q1" s="152"/>
      <c r="R1" s="146"/>
      <c r="S1" s="146"/>
      <c r="T1" s="146"/>
      <c r="U1" s="146"/>
    </row>
    <row r="2" spans="2:21" ht="24" hidden="1" thickBot="1">
      <c r="B2" s="153"/>
      <c r="C2" s="151"/>
      <c r="D2" s="151"/>
      <c r="E2" s="154"/>
      <c r="F2" s="155"/>
      <c r="G2" s="156"/>
      <c r="H2" s="156"/>
      <c r="I2" s="156"/>
      <c r="J2" s="156"/>
      <c r="K2" s="156"/>
      <c r="L2" s="151"/>
      <c r="M2" s="749"/>
      <c r="N2" s="151"/>
      <c r="O2" s="151"/>
      <c r="P2" s="157"/>
      <c r="Q2" s="152"/>
      <c r="R2" s="146"/>
      <c r="S2" s="146"/>
      <c r="T2" s="146"/>
      <c r="U2" s="146"/>
    </row>
    <row r="3" spans="2:21" ht="23.5">
      <c r="B3" s="153"/>
      <c r="C3" s="151"/>
      <c r="D3" s="151"/>
      <c r="E3" s="158" t="s">
        <v>103</v>
      </c>
      <c r="F3" s="395">
        <f ca="1">(F4-(TODAY()))/365</f>
        <v>0.11506849315068493</v>
      </c>
      <c r="G3" s="159">
        <v>1</v>
      </c>
      <c r="H3" s="159">
        <v>1</v>
      </c>
      <c r="I3" s="159">
        <v>1</v>
      </c>
      <c r="J3" s="159">
        <v>1</v>
      </c>
      <c r="K3" s="160">
        <v>1</v>
      </c>
      <c r="L3" s="151"/>
      <c r="M3" s="749"/>
      <c r="N3" s="151"/>
      <c r="O3" s="151"/>
      <c r="P3" s="146"/>
      <c r="Q3" s="152"/>
      <c r="R3" s="146"/>
      <c r="S3" s="146"/>
      <c r="T3" s="146"/>
      <c r="U3" s="146"/>
    </row>
    <row r="4" spans="2:21" ht="15" thickBot="1">
      <c r="B4" s="161" t="str">
        <f>bbg_ticker</f>
        <v>SKIN US Equity</v>
      </c>
      <c r="E4" s="162" t="s">
        <v>104</v>
      </c>
      <c r="F4" s="371">
        <v>45291</v>
      </c>
      <c r="G4" s="371">
        <f>EDATE(F4,12)</f>
        <v>45657</v>
      </c>
      <c r="H4" s="371">
        <f>+EOMONTH(G4,12)</f>
        <v>46022</v>
      </c>
      <c r="I4" s="371">
        <f t="shared" ref="I4:K4" si="0">+EOMONTH(H4,12)</f>
        <v>46387</v>
      </c>
      <c r="J4" s="371">
        <f t="shared" si="0"/>
        <v>46752</v>
      </c>
      <c r="K4" s="163">
        <f t="shared" si="0"/>
        <v>47118</v>
      </c>
    </row>
    <row r="5" spans="2:21">
      <c r="B5" s="164" t="s">
        <v>34</v>
      </c>
      <c r="C5" s="165"/>
      <c r="E5" s="166" t="s">
        <v>105</v>
      </c>
      <c r="F5" s="372"/>
      <c r="G5" s="372"/>
      <c r="H5" s="372"/>
      <c r="I5" s="372"/>
      <c r="J5" s="372"/>
      <c r="K5" s="168"/>
      <c r="O5" s="146"/>
      <c r="P5" s="146"/>
      <c r="Q5" s="167" t="s">
        <v>106</v>
      </c>
      <c r="R5" s="169"/>
      <c r="S5" s="169"/>
      <c r="T5" s="169"/>
      <c r="U5" s="169"/>
    </row>
    <row r="6" spans="2:21">
      <c r="B6" s="170" t="s">
        <v>107</v>
      </c>
      <c r="C6" s="361">
        <f>+C21</f>
        <v>0.10672079798764901</v>
      </c>
      <c r="E6" s="171"/>
      <c r="F6" s="172">
        <v>2023</v>
      </c>
      <c r="G6" s="172">
        <f>+F6+1</f>
        <v>2024</v>
      </c>
      <c r="H6" s="172">
        <f>+G6+1</f>
        <v>2025</v>
      </c>
      <c r="I6" s="172">
        <f>+H6+1</f>
        <v>2026</v>
      </c>
      <c r="J6" s="172">
        <f>+I6+1</f>
        <v>2027</v>
      </c>
      <c r="K6" s="173">
        <f>+J6+1</f>
        <v>2028</v>
      </c>
      <c r="O6" s="146"/>
      <c r="P6" s="146"/>
      <c r="Q6" s="174" t="s">
        <v>107</v>
      </c>
      <c r="R6" s="174"/>
      <c r="S6" s="174"/>
      <c r="T6" s="174"/>
      <c r="U6" s="174"/>
    </row>
    <row r="7" spans="2:21" ht="15" thickBot="1">
      <c r="B7" s="175" t="s">
        <v>108</v>
      </c>
      <c r="C7" s="362">
        <v>-0.1525</v>
      </c>
      <c r="E7" s="105" t="s">
        <v>56</v>
      </c>
      <c r="F7" s="747" cm="1">
        <f t="array" ref="F7">_xll.VAData("SKIN_US", "FY-2023", "Total revenue", "Consensus", "CD", "IMPL","","")</f>
        <v>397.16541807705084</v>
      </c>
      <c r="G7" s="747" cm="1">
        <f t="array" ref="G7">_xll.VAData("SKIN_US", "FY-2024", "Total revenue", "Consensus", "CD", "IMPL","","")</f>
        <v>415.67237739635493</v>
      </c>
      <c r="H7" s="747" cm="1">
        <f t="array" ref="H7">_xll.VAData("SKIN_US", "FY-2025", "Total revenue", "Consensus", "CD", "IMPL","","")</f>
        <v>455.12809855848781</v>
      </c>
      <c r="I7" s="747" cm="1">
        <f t="array" ref="I7">_xll.VAData("SKIN_US", "FY-2026", "Total revenue", "Consensus", "CD", "IMPL","","")</f>
        <v>465.63066979020334</v>
      </c>
      <c r="J7" s="756">
        <f>(1+J8)*I7</f>
        <v>474.94328318600742</v>
      </c>
      <c r="K7" s="746">
        <f>(1+K8)*J7</f>
        <v>484.44214884972757</v>
      </c>
      <c r="M7" s="651" t="s">
        <v>698</v>
      </c>
      <c r="O7" s="146"/>
      <c r="P7" s="179">
        <f ca="1">G36</f>
        <v>2.2597512956617867</v>
      </c>
      <c r="Q7" s="180">
        <f>+R7-0.02</f>
        <v>6.6720797987649003E-2</v>
      </c>
      <c r="R7" s="180">
        <f>+S7-0.02</f>
        <v>8.6720797987649006E-2</v>
      </c>
      <c r="S7" s="180">
        <f>C21</f>
        <v>0.10672079798764901</v>
      </c>
      <c r="T7" s="180">
        <f>+S7+0.02</f>
        <v>0.12672079798764901</v>
      </c>
      <c r="U7" s="180">
        <f>+T7+0.02</f>
        <v>0.146720797987649</v>
      </c>
    </row>
    <row r="8" spans="2:21">
      <c r="B8" s="175" t="s">
        <v>109</v>
      </c>
      <c r="C8" s="363">
        <v>3.2653676192438681</v>
      </c>
      <c r="E8" s="181" t="s">
        <v>110</v>
      </c>
      <c r="F8" s="761">
        <f>tower!AD159</f>
        <v>-5.2374358648596409E-2</v>
      </c>
      <c r="G8" s="761">
        <f t="shared" ref="G8:H8" si="1">+G7/F7-1</f>
        <v>4.6597610156767777E-2</v>
      </c>
      <c r="H8" s="761">
        <f t="shared" si="1"/>
        <v>9.4920238408122026E-2</v>
      </c>
      <c r="I8" s="761">
        <f>+I7/H7-1</f>
        <v>2.3076077405416173E-2</v>
      </c>
      <c r="J8" s="762">
        <v>0.02</v>
      </c>
      <c r="K8" s="763">
        <v>0.02</v>
      </c>
      <c r="O8" s="657" t="s">
        <v>111</v>
      </c>
      <c r="P8" s="305">
        <f>+P9+0.5</f>
        <v>4.3</v>
      </c>
      <c r="Q8" s="185">
        <f t="dataTable" ref="Q8:U12" dt2D="1" dtr="1" r1="C6" r2="C8" ca="1"/>
        <v>3.3016441140318062</v>
      </c>
      <c r="R8" s="186">
        <v>2.9729444197106738</v>
      </c>
      <c r="S8" s="186">
        <v>2.6759749518806619</v>
      </c>
      <c r="T8" s="186">
        <v>2.4070718667311071</v>
      </c>
      <c r="U8" s="187">
        <v>2.1630551807600398</v>
      </c>
    </row>
    <row r="9" spans="2:21" ht="15" thickBot="1">
      <c r="B9" s="175" t="s">
        <v>112</v>
      </c>
      <c r="C9" s="364">
        <f ca="1">+TODAY()</f>
        <v>45249</v>
      </c>
      <c r="E9" s="104"/>
      <c r="F9" s="131"/>
      <c r="G9" s="131"/>
      <c r="H9" s="131"/>
      <c r="I9" s="131"/>
      <c r="J9" s="131"/>
      <c r="K9" s="103"/>
      <c r="O9" s="658"/>
      <c r="P9" s="305">
        <f>+P10+0.5</f>
        <v>3.8</v>
      </c>
      <c r="Q9" s="188">
        <v>3.0587737749632113</v>
      </c>
      <c r="R9" s="189">
        <v>2.7521104333475255</v>
      </c>
      <c r="S9" s="189">
        <v>2.4748292773587175</v>
      </c>
      <c r="T9" s="189">
        <v>2.2235525221287311</v>
      </c>
      <c r="U9" s="190">
        <v>1.9953471709270165</v>
      </c>
    </row>
    <row r="10" spans="2:21" ht="15" thickBot="1">
      <c r="B10" s="175" t="s">
        <v>113</v>
      </c>
      <c r="C10" s="360">
        <v>365</v>
      </c>
      <c r="E10" s="191" t="s">
        <v>58</v>
      </c>
      <c r="F10" s="748" cm="1">
        <f t="array" ref="F10">_xll.VAData("SKIN_US", "FY-2023", "Operating income/(loss) - Operating", "Consensus", "CD", "IMPL","","")</f>
        <v>19.748177723859108</v>
      </c>
      <c r="G10" s="748" cm="1">
        <f t="array" ref="G10">_xll.VAData("SKIN_US", "FY-2024", "Operating income/(loss) - Operating", "Consensus", "CD", "IMPL","","")</f>
        <v>20.11927939548535</v>
      </c>
      <c r="H10" s="748" cm="1">
        <f t="array" ref="H10">_xll.VAData("SKIN_US", "FY-2025", "Operating income/(loss) - Operating", "Consensus", "CD", "IMPL","","")</f>
        <v>45.129036597967271</v>
      </c>
      <c r="I10" s="311">
        <f>I11*I7</f>
        <v>46.563066979020334</v>
      </c>
      <c r="J10" s="311">
        <f>J11*J7</f>
        <v>47.494328318600743</v>
      </c>
      <c r="K10" s="750">
        <f>K11*K7</f>
        <v>48.444214884972759</v>
      </c>
      <c r="M10" s="651" t="s">
        <v>698</v>
      </c>
      <c r="O10" s="658"/>
      <c r="P10" s="306">
        <v>3.3</v>
      </c>
      <c r="Q10" s="188">
        <v>2.8159034358946169</v>
      </c>
      <c r="R10" s="189">
        <v>2.5312764469843763</v>
      </c>
      <c r="S10" s="389">
        <v>2.2736836028367731</v>
      </c>
      <c r="T10" s="189">
        <v>2.0400331775263556</v>
      </c>
      <c r="U10" s="190">
        <v>1.827639161093993</v>
      </c>
    </row>
    <row r="11" spans="2:21">
      <c r="B11" s="175" t="s">
        <v>114</v>
      </c>
      <c r="C11" s="754" cm="1">
        <f t="array" ref="C11">_xll.BDP("SKIN US Equity","EQY_SH_OUT")</f>
        <v>131.26679999999999</v>
      </c>
      <c r="E11" s="181" t="s">
        <v>115</v>
      </c>
      <c r="F11" s="193">
        <f>+F10/F7</f>
        <v>4.972280270390491E-2</v>
      </c>
      <c r="G11" s="193">
        <f t="shared" ref="G11:K11" si="2">+G10/G7</f>
        <v>4.8401771417928667E-2</v>
      </c>
      <c r="H11" s="193">
        <f t="shared" si="2"/>
        <v>9.9156779686648613E-2</v>
      </c>
      <c r="I11" s="757">
        <v>0.1</v>
      </c>
      <c r="J11" s="194">
        <f>I11</f>
        <v>0.1</v>
      </c>
      <c r="K11" s="195">
        <f>J11</f>
        <v>0.1</v>
      </c>
      <c r="O11" s="658"/>
      <c r="P11" s="305">
        <f>+P10-0.5</f>
        <v>2.8</v>
      </c>
      <c r="Q11" s="188">
        <v>2.5730330968260211</v>
      </c>
      <c r="R11" s="189">
        <v>2.3104424606212275</v>
      </c>
      <c r="S11" s="189">
        <v>2.0725379283148282</v>
      </c>
      <c r="T11" s="189">
        <v>1.8565138329239799</v>
      </c>
      <c r="U11" s="190">
        <v>1.6599311512609696</v>
      </c>
    </row>
    <row r="12" spans="2:21" ht="15" thickBot="1">
      <c r="B12" s="196" t="s">
        <v>116</v>
      </c>
      <c r="C12" s="755">
        <f>_xll.BDP(B4,"PX_last")</f>
        <v>2.2599999999999998</v>
      </c>
      <c r="E12" s="181" t="s">
        <v>117</v>
      </c>
      <c r="F12" s="197"/>
      <c r="G12" s="193">
        <f>G10/F10-1</f>
        <v>1.8791691912813269E-2</v>
      </c>
      <c r="H12" s="193">
        <f>H10/G10-1</f>
        <v>1.2430742031493418</v>
      </c>
      <c r="I12" s="193">
        <f t="shared" ref="H12:K12" si="3">I10/H10-1</f>
        <v>3.1776224115487972E-2</v>
      </c>
      <c r="J12" s="193">
        <f>J10/I10-1</f>
        <v>2.0000000000000018E-2</v>
      </c>
      <c r="K12" s="838">
        <f t="shared" si="3"/>
        <v>2.0000000000000018E-2</v>
      </c>
      <c r="O12" s="658"/>
      <c r="P12" s="305">
        <f>+P11-0.5</f>
        <v>2.2999999999999998</v>
      </c>
      <c r="Q12" s="199">
        <v>2.3301627577574262</v>
      </c>
      <c r="R12" s="200">
        <v>2.0896084742580783</v>
      </c>
      <c r="S12" s="200">
        <v>1.8713922537928842</v>
      </c>
      <c r="T12" s="200">
        <v>1.6729944883216039</v>
      </c>
      <c r="U12" s="201">
        <v>1.4922231414279463</v>
      </c>
    </row>
    <row r="13" spans="2:21">
      <c r="B13" s="104"/>
      <c r="C13" s="145"/>
      <c r="E13" s="104"/>
      <c r="F13" s="131"/>
      <c r="G13" s="131"/>
      <c r="H13" s="131"/>
      <c r="I13" s="131"/>
      <c r="J13" s="131"/>
      <c r="K13" s="103"/>
      <c r="P13" s="56"/>
    </row>
    <row r="14" spans="2:21">
      <c r="B14" s="166" t="s">
        <v>107</v>
      </c>
      <c r="C14" s="202"/>
      <c r="E14" s="203" t="s">
        <v>53</v>
      </c>
      <c r="F14" s="374">
        <f t="shared" ref="F14:I14" si="4">F10*$C$20</f>
        <v>3.9496355447718217</v>
      </c>
      <c r="G14" s="374">
        <f t="shared" si="4"/>
        <v>4.02385587909707</v>
      </c>
      <c r="H14" s="374">
        <f t="shared" si="4"/>
        <v>9.0258073195934543</v>
      </c>
      <c r="I14" s="374">
        <f t="shared" si="4"/>
        <v>9.3126133958040676</v>
      </c>
      <c r="J14" s="374">
        <f>J10*$C$20</f>
        <v>9.4988656637201494</v>
      </c>
      <c r="K14" s="192">
        <f>K10*$C$20</f>
        <v>9.6888429769945521</v>
      </c>
      <c r="O14" s="146"/>
      <c r="P14" s="3"/>
      <c r="Q14" s="167" t="s">
        <v>106</v>
      </c>
      <c r="R14" s="169"/>
      <c r="S14" s="169"/>
      <c r="T14" s="169"/>
      <c r="U14" s="169"/>
    </row>
    <row r="15" spans="2:21">
      <c r="B15" s="170" t="s">
        <v>118</v>
      </c>
      <c r="C15" s="366">
        <f>+C11*C12</f>
        <v>296.66296799999992</v>
      </c>
      <c r="E15" s="104"/>
      <c r="F15" s="131"/>
      <c r="G15" s="131"/>
      <c r="H15" s="131"/>
      <c r="I15" s="131"/>
      <c r="J15" s="131"/>
      <c r="K15" s="103"/>
      <c r="O15" s="146"/>
      <c r="P15" s="3"/>
      <c r="Q15" s="174" t="s">
        <v>107</v>
      </c>
      <c r="R15" s="174"/>
      <c r="S15" s="174"/>
      <c r="T15" s="174"/>
      <c r="U15" s="174"/>
    </row>
    <row r="16" spans="2:21" ht="15" thickBot="1">
      <c r="B16" s="175" t="s">
        <v>834</v>
      </c>
      <c r="C16" s="382">
        <f>tower!AB472/1000</f>
        <v>737.31500000000005</v>
      </c>
      <c r="E16" s="204" t="s">
        <v>120</v>
      </c>
      <c r="F16" s="374">
        <f>+F10-F14</f>
        <v>15.798542179087287</v>
      </c>
      <c r="G16" s="374">
        <f>+G10-G14</f>
        <v>16.09542351638828</v>
      </c>
      <c r="H16" s="374">
        <f>+H10-H14</f>
        <v>36.103229278373817</v>
      </c>
      <c r="I16" s="374">
        <f>+I10-I14</f>
        <v>37.25045358321627</v>
      </c>
      <c r="J16" s="374">
        <f t="shared" ref="J16" si="5">+J10-J14</f>
        <v>37.995462654880598</v>
      </c>
      <c r="K16" s="192">
        <f>+K10-K14</f>
        <v>38.755371907978208</v>
      </c>
      <c r="O16" s="146"/>
      <c r="P16" s="307">
        <f ca="1">+$K$36</f>
        <v>2.2613789550811725</v>
      </c>
      <c r="Q16" s="180">
        <f>+R16-0.02</f>
        <v>6.6720797987649003E-2</v>
      </c>
      <c r="R16" s="180">
        <f>+S16-0.02</f>
        <v>8.6720797987649006E-2</v>
      </c>
      <c r="S16" s="180">
        <f>S7</f>
        <v>0.10672079798764901</v>
      </c>
      <c r="T16" s="180">
        <f>+S16+0.02</f>
        <v>0.12672079798764901</v>
      </c>
      <c r="U16" s="180">
        <f>+T16+0.02</f>
        <v>0.146720797987649</v>
      </c>
    </row>
    <row r="17" spans="2:21">
      <c r="B17" s="170" t="s">
        <v>121</v>
      </c>
      <c r="C17" s="366">
        <f>+SUM(C15:C16)</f>
        <v>1033.9779679999999</v>
      </c>
      <c r="E17" s="104"/>
      <c r="F17" s="131"/>
      <c r="G17" s="131"/>
      <c r="H17" s="131"/>
      <c r="I17" s="131"/>
      <c r="J17" s="131"/>
      <c r="K17" s="103"/>
      <c r="O17" s="657" t="s">
        <v>122</v>
      </c>
      <c r="P17" s="308">
        <f>+P18+0.05</f>
        <v>-5.2999999999999992E-2</v>
      </c>
      <c r="Q17" s="185">
        <f t="dataTable" ref="Q17:U21" dt2D="1" dtr="1" r1="C6" r2="C7" ca="1"/>
        <v>5.055202399957186</v>
      </c>
      <c r="R17" s="186">
        <v>4.0673105091974149</v>
      </c>
      <c r="S17" s="186">
        <v>3.3313463193186132</v>
      </c>
      <c r="T17" s="186">
        <v>2.7628367481086844</v>
      </c>
      <c r="U17" s="187">
        <v>2.3111813847808014</v>
      </c>
    </row>
    <row r="18" spans="2:21" ht="15" thickBot="1">
      <c r="B18" s="175" t="s">
        <v>123</v>
      </c>
      <c r="C18" s="367">
        <f>+C27</f>
        <v>0.12609710688972472</v>
      </c>
      <c r="E18" s="203" t="s">
        <v>124</v>
      </c>
      <c r="F18" s="448" cm="1">
        <f t="array" ref="F18">_xll.VAData("SKIN_US", "FY-2023", "Changes in total working capital", "Consensus", "CD", "IMPL","","")</f>
        <v>-2.1065904511506419</v>
      </c>
      <c r="G18" s="448" cm="1">
        <f t="array" ref="G18">_xll.VAData("SKIN_US", "FY-2024", "Changes in total working capital", "Consensus", "CD", "IMPL","","")</f>
        <v>12.688733028826485</v>
      </c>
      <c r="H18" s="448" cm="1">
        <f t="array" ref="H18">_xll.VAData("SKIN_US", "FY-2025", "Changes in total working capital", "Consensus", "CD", "IMPL","","")</f>
        <v>-1.9734834851389001E-2</v>
      </c>
      <c r="I18" s="448" cm="1">
        <f t="array" ref="I18">_xll.VAData("SKIN_US", "FY-202"&amp;I42, "Changes in total working capital", "Consensus", "CD", "IMPL","","")</f>
        <v>-5.4213948402554504</v>
      </c>
      <c r="J18" s="287">
        <v>0</v>
      </c>
      <c r="K18" s="751">
        <v>0</v>
      </c>
      <c r="M18" s="651" t="s">
        <v>698</v>
      </c>
      <c r="O18" s="658"/>
      <c r="P18" s="308">
        <f>+P19+0.05</f>
        <v>-0.10299999999999999</v>
      </c>
      <c r="Q18" s="188">
        <v>3.7801718994620601</v>
      </c>
      <c r="R18" s="189">
        <v>3.161978468279119</v>
      </c>
      <c r="S18" s="189">
        <v>2.6667685702069766</v>
      </c>
      <c r="T18" s="189">
        <v>2.2619961724359334</v>
      </c>
      <c r="U18" s="190">
        <v>1.9255845254543189</v>
      </c>
    </row>
    <row r="19" spans="2:21" ht="15" thickBot="1">
      <c r="B19" s="175" t="s">
        <v>125</v>
      </c>
      <c r="C19" s="367">
        <f>+C30</f>
        <v>1.2500000000000001E-2</v>
      </c>
      <c r="E19" s="203" t="s">
        <v>57</v>
      </c>
      <c r="F19" s="448" cm="1">
        <f t="array" ref="F19">_xll.VAData("SKIN_US", "FY-2023", "Depreciation and amortization expense", "Consensus", "CD", "IMPL","","")</f>
        <v>30.526697116995653</v>
      </c>
      <c r="G19" s="448" cm="1">
        <f t="array" ref="G19">_xll.VAData("SKIN_US", "FY-2024", "Depreciation and amortization expense", "Consensus", "CD", "IMPL","","")</f>
        <v>28.89526435539527</v>
      </c>
      <c r="H19" s="448" cm="1">
        <f t="array" ref="H19">_xll.VAData("SKIN_US", "FY-2025", "Depreciation and amortization expense", "Consensus", "CD", "IMPL","","")</f>
        <v>27.349647367452992</v>
      </c>
      <c r="I19" s="448" cm="1">
        <f t="array" ref="I19">_xll.VAData("SKIN_US", "FY-2026", "Depreciation and amortization expense", "Consensus", "CD", "IMPL","","")</f>
        <v>29.810337705590836</v>
      </c>
      <c r="J19" s="287">
        <v>30</v>
      </c>
      <c r="K19" s="751">
        <v>30</v>
      </c>
      <c r="M19" s="651" t="s">
        <v>698</v>
      </c>
      <c r="O19" s="658"/>
      <c r="P19" s="309">
        <v>-0.153</v>
      </c>
      <c r="Q19" s="188">
        <v>3.0854371707703834</v>
      </c>
      <c r="R19" s="189">
        <v>2.6343074599112573</v>
      </c>
      <c r="S19" s="389">
        <v>2.2580724271357</v>
      </c>
      <c r="T19" s="189">
        <v>1.9402057708209806</v>
      </c>
      <c r="U19" s="190">
        <v>1.6686396855790759</v>
      </c>
    </row>
    <row r="20" spans="2:21">
      <c r="B20" s="175" t="s">
        <v>126</v>
      </c>
      <c r="C20" s="368">
        <v>0.2</v>
      </c>
      <c r="E20" s="206" t="s">
        <v>127</v>
      </c>
      <c r="F20" s="753" cm="1">
        <f t="array" ref="F20">_xll.VAData("SKIN_US", "FY-202"&amp;F42, "Capital expenditure", "Consensus", "CD", "IMPL","","")</f>
        <v>16.527134179661843</v>
      </c>
      <c r="G20" s="448" cm="1">
        <f t="array" ref="G20">_xll.VAData("SKIN_US", "FY-202"&amp;G42, "Capital expenditure", "Consensus", "CD", "IMPL","","")</f>
        <v>15.888837757316573</v>
      </c>
      <c r="H20" s="448" cm="1">
        <f t="array" ref="H20">_xll.VAData("SKIN_US", "FY-202"&amp;H42, "Capital expenditure", "Consensus", "CD", "IMPL","","")</f>
        <v>15.573710571033457</v>
      </c>
      <c r="I20" s="287">
        <f>H20</f>
        <v>15.573710571033457</v>
      </c>
      <c r="J20" s="287">
        <v>18</v>
      </c>
      <c r="K20" s="751">
        <v>20</v>
      </c>
      <c r="M20" s="651" t="s">
        <v>698</v>
      </c>
      <c r="O20" s="658"/>
      <c r="P20" s="308">
        <f>+P19-0.05</f>
        <v>-0.20300000000000001</v>
      </c>
      <c r="Q20" s="188">
        <v>2.6482779549331097</v>
      </c>
      <c r="R20" s="189">
        <v>2.2887673209987378</v>
      </c>
      <c r="S20" s="189">
        <v>1.9813325962419397</v>
      </c>
      <c r="T20" s="189">
        <v>1.716010183842807</v>
      </c>
      <c r="U20" s="190">
        <v>1.485166266721327</v>
      </c>
    </row>
    <row r="21" spans="2:21" ht="15" thickBot="1">
      <c r="B21" s="175" t="s">
        <v>699</v>
      </c>
      <c r="C21" s="758" cm="1">
        <f t="array" ref="C21">_xll.BDP("SKIN US Equity","WACC")/100</f>
        <v>0.10672079798764901</v>
      </c>
      <c r="E21" s="204" t="s">
        <v>128</v>
      </c>
      <c r="F21" s="374">
        <f t="shared" ref="F21:K21" si="6">SUM(F16:F20)</f>
        <v>60.745783024594139</v>
      </c>
      <c r="G21" s="177">
        <f t="shared" si="6"/>
        <v>73.568258657926606</v>
      </c>
      <c r="H21" s="177">
        <f t="shared" si="6"/>
        <v>79.006852382008873</v>
      </c>
      <c r="I21" s="177">
        <f t="shared" si="6"/>
        <v>77.213107019585109</v>
      </c>
      <c r="J21" s="177">
        <f t="shared" si="6"/>
        <v>85.995462654880598</v>
      </c>
      <c r="K21" s="178">
        <f>SUM(K16:K20)</f>
        <v>88.755371907978201</v>
      </c>
      <c r="O21" s="658"/>
      <c r="P21" s="308">
        <f>+P20-0.05</f>
        <v>-0.253</v>
      </c>
      <c r="Q21" s="199">
        <v>2.3478502931857776</v>
      </c>
      <c r="R21" s="200">
        <v>2.044940159613454</v>
      </c>
      <c r="S21" s="200">
        <v>1.7815246059428573</v>
      </c>
      <c r="T21" s="200">
        <v>1.550856816349663</v>
      </c>
      <c r="U21" s="201">
        <v>1.3475932412835414</v>
      </c>
    </row>
    <row r="22" spans="2:21">
      <c r="B22" s="208"/>
      <c r="C22" s="209"/>
      <c r="E22" s="203" t="s">
        <v>129</v>
      </c>
      <c r="F22" s="378">
        <f t="shared" ref="F22:K22" ca="1" si="7">(F4-$C$9)/$C$10</f>
        <v>0.11506849315068493</v>
      </c>
      <c r="G22" s="378">
        <f t="shared" ca="1" si="7"/>
        <v>1.1178082191780823</v>
      </c>
      <c r="H22" s="378">
        <f t="shared" ca="1" si="7"/>
        <v>2.117808219178082</v>
      </c>
      <c r="I22" s="378">
        <f t="shared" ca="1" si="7"/>
        <v>3.117808219178082</v>
      </c>
      <c r="J22" s="378">
        <f t="shared" ca="1" si="7"/>
        <v>4.117808219178082</v>
      </c>
      <c r="K22" s="210">
        <f t="shared" ca="1" si="7"/>
        <v>5.1205479452054794</v>
      </c>
    </row>
    <row r="23" spans="2:21">
      <c r="B23" s="166" t="s">
        <v>123</v>
      </c>
      <c r="C23" s="202"/>
      <c r="E23" s="203" t="s">
        <v>130</v>
      </c>
      <c r="F23" s="377">
        <f t="shared" ref="F23:K23" ca="1" si="8">1/(1+$C$6)^F22</f>
        <v>0.98839970127728105</v>
      </c>
      <c r="G23" s="377">
        <f t="shared" ca="1" si="8"/>
        <v>0.89284049946644295</v>
      </c>
      <c r="H23" s="377">
        <f t="shared" ca="1" si="8"/>
        <v>0.80674412289883357</v>
      </c>
      <c r="I23" s="377">
        <f t="shared" ca="1" si="8"/>
        <v>0.72894999747518685</v>
      </c>
      <c r="J23" s="377">
        <f t="shared" ca="1" si="8"/>
        <v>0.65865753928238913</v>
      </c>
      <c r="K23" s="211">
        <f t="shared" ca="1" si="8"/>
        <v>0.59497804945739297</v>
      </c>
    </row>
    <row r="24" spans="2:21">
      <c r="B24" s="170" t="s">
        <v>131</v>
      </c>
      <c r="C24" s="649">
        <f>+_xll.BDP("USGG10YR Index","px_last")/100</f>
        <v>4.4353999999999998E-2</v>
      </c>
      <c r="E24" s="212" t="s">
        <v>132</v>
      </c>
      <c r="F24" s="177">
        <f t="shared" ref="F24:K24" ca="1" si="9">F3*F21*F23</f>
        <v>6.9088404915212651</v>
      </c>
      <c r="G24" s="177">
        <f t="shared" ca="1" si="9"/>
        <v>65.684720805019651</v>
      </c>
      <c r="H24" s="177">
        <f t="shared" ca="1" si="9"/>
        <v>63.738313827921367</v>
      </c>
      <c r="I24" s="177">
        <f t="shared" ca="1" si="9"/>
        <v>56.2844941669779</v>
      </c>
      <c r="J24" s="177">
        <f t="shared" ca="1" si="9"/>
        <v>56.641559821714246</v>
      </c>
      <c r="K24" s="178">
        <f t="shared" ca="1" si="9"/>
        <v>52.807498056674362</v>
      </c>
    </row>
    <row r="25" spans="2:21" ht="15" thickBot="1">
      <c r="B25" s="175" t="s">
        <v>133</v>
      </c>
      <c r="C25" s="369">
        <v>6.1100000000000002E-2</v>
      </c>
      <c r="E25" s="104"/>
      <c r="F25" s="143"/>
      <c r="G25" s="143"/>
      <c r="H25" s="143"/>
      <c r="I25" s="143"/>
      <c r="J25" s="143"/>
      <c r="K25" s="145"/>
      <c r="P25" s="35" t="s">
        <v>134</v>
      </c>
    </row>
    <row r="26" spans="2:21">
      <c r="B26" s="175" t="s">
        <v>135</v>
      </c>
      <c r="C26" s="650" cm="1">
        <f t="array" ref="C26">+_xll.BDP(bbg_ticker, "EQY_BETA")</f>
        <v>1.337857723236084</v>
      </c>
      <c r="E26" s="164" t="s">
        <v>136</v>
      </c>
      <c r="F26" s="386"/>
      <c r="G26" s="165"/>
      <c r="H26" s="143"/>
      <c r="I26" s="164" t="s">
        <v>137</v>
      </c>
      <c r="J26" s="386"/>
      <c r="K26" s="165"/>
    </row>
    <row r="27" spans="2:21">
      <c r="B27" s="196" t="s">
        <v>123</v>
      </c>
      <c r="C27" s="370">
        <f>+C26*C25+C24</f>
        <v>0.12609710688972472</v>
      </c>
      <c r="E27" s="213" t="s">
        <v>138</v>
      </c>
      <c r="F27" s="214"/>
      <c r="G27" s="226">
        <f>+K21*C8</f>
        <v>289.81891746225887</v>
      </c>
      <c r="H27" s="143"/>
      <c r="I27" s="213" t="s">
        <v>138</v>
      </c>
      <c r="J27" s="215"/>
      <c r="K27" s="226">
        <f>+K21*(1+$C$7)/($C$6-$C$7)</f>
        <v>290.17801918654504</v>
      </c>
    </row>
    <row r="28" spans="2:21">
      <c r="B28" s="104"/>
      <c r="C28" s="103"/>
      <c r="D28" s="19"/>
      <c r="E28" s="216" t="s">
        <v>139</v>
      </c>
      <c r="F28" s="379"/>
      <c r="G28" s="227">
        <f ca="1">+G27*$K$23</f>
        <v>172.43589420754793</v>
      </c>
      <c r="H28" s="143"/>
      <c r="I28" s="216" t="s">
        <v>139</v>
      </c>
      <c r="J28" s="380"/>
      <c r="K28" s="227">
        <f ca="1">+K27*$K$23</f>
        <v>172.64955185102053</v>
      </c>
    </row>
    <row r="29" spans="2:21">
      <c r="B29" s="659" t="s">
        <v>125</v>
      </c>
      <c r="C29" s="660"/>
      <c r="E29" s="216" t="s">
        <v>140</v>
      </c>
      <c r="F29" s="379"/>
      <c r="G29" s="227">
        <f ca="1">+SUM($F$24:$K$24)</f>
        <v>302.06542716982881</v>
      </c>
      <c r="H29" s="143"/>
      <c r="I29" s="216" t="s">
        <v>140</v>
      </c>
      <c r="J29" s="380"/>
      <c r="K29" s="227">
        <f ca="1">+SUM($F$24:$K$24)</f>
        <v>302.06542716982881</v>
      </c>
    </row>
    <row r="30" spans="2:21" ht="15" thickBot="1">
      <c r="B30" s="217" t="s">
        <v>833</v>
      </c>
      <c r="C30" s="837">
        <v>1.2500000000000001E-2</v>
      </c>
      <c r="E30" s="213" t="s">
        <v>142</v>
      </c>
      <c r="F30" s="218"/>
      <c r="G30" s="226">
        <f ca="1">SUM(G28:G29)</f>
        <v>474.50132137737671</v>
      </c>
      <c r="H30" s="143"/>
      <c r="I30" s="213" t="s">
        <v>142</v>
      </c>
      <c r="J30" s="219"/>
      <c r="K30" s="226">
        <f ca="1">SUM(K28:K29)</f>
        <v>474.71497902084934</v>
      </c>
    </row>
    <row r="31" spans="2:21">
      <c r="D31" s="19"/>
      <c r="E31" s="216" t="s">
        <v>143</v>
      </c>
      <c r="F31" s="381"/>
      <c r="G31" s="227">
        <f>-$C$16</f>
        <v>-737.31500000000005</v>
      </c>
      <c r="H31" s="143"/>
      <c r="I31" s="216" t="s">
        <v>143</v>
      </c>
      <c r="J31" s="380"/>
      <c r="K31" s="227">
        <f>-$C$16</f>
        <v>-737.31500000000005</v>
      </c>
    </row>
    <row r="32" spans="2:21">
      <c r="D32" s="19"/>
      <c r="E32" s="216" t="s">
        <v>144</v>
      </c>
      <c r="F32" s="381"/>
      <c r="G32" s="382">
        <v>0</v>
      </c>
      <c r="H32" s="143"/>
      <c r="I32" s="216" t="s">
        <v>144</v>
      </c>
      <c r="J32" s="380"/>
      <c r="K32" s="382">
        <f>G32</f>
        <v>0</v>
      </c>
    </row>
    <row r="33" spans="4:11">
      <c r="E33" s="216" t="s">
        <v>145</v>
      </c>
      <c r="F33" s="381"/>
      <c r="G33" s="382">
        <f>tower!AB439/1000</f>
        <v>559.44399999999996</v>
      </c>
      <c r="H33" s="143"/>
      <c r="I33" s="216" t="s">
        <v>145</v>
      </c>
      <c r="J33" s="380"/>
      <c r="K33" s="382">
        <f>G33</f>
        <v>559.44399999999996</v>
      </c>
    </row>
    <row r="34" spans="4:11">
      <c r="E34" s="213" t="s">
        <v>146</v>
      </c>
      <c r="F34" s="218"/>
      <c r="G34" s="226">
        <f ca="1">+SUM(G30:G33)</f>
        <v>296.63032137737662</v>
      </c>
      <c r="H34" s="143"/>
      <c r="I34" s="213" t="s">
        <v>146</v>
      </c>
      <c r="J34" s="220"/>
      <c r="K34" s="226">
        <f ca="1">+SUM(K30:K33)</f>
        <v>296.84397902084925</v>
      </c>
    </row>
    <row r="35" spans="4:11">
      <c r="E35" s="216" t="s">
        <v>147</v>
      </c>
      <c r="F35" s="381"/>
      <c r="G35" s="227">
        <f>C11</f>
        <v>131.26679999999999</v>
      </c>
      <c r="H35" s="143"/>
      <c r="I35" s="216" t="s">
        <v>147</v>
      </c>
      <c r="J35" s="383"/>
      <c r="K35" s="227">
        <f>C11</f>
        <v>131.26679999999999</v>
      </c>
    </row>
    <row r="36" spans="4:11">
      <c r="E36" s="221" t="s">
        <v>106</v>
      </c>
      <c r="F36" s="384"/>
      <c r="G36" s="231">
        <f ca="1">+G34/G35</f>
        <v>2.2597512956617867</v>
      </c>
      <c r="H36" s="143"/>
      <c r="I36" s="221" t="s">
        <v>106</v>
      </c>
      <c r="J36" s="385"/>
      <c r="K36" s="231">
        <f ca="1">+K34/K35</f>
        <v>2.2613789550811725</v>
      </c>
    </row>
    <row r="37" spans="4:11">
      <c r="E37" s="222" t="s">
        <v>148</v>
      </c>
      <c r="F37" s="381"/>
      <c r="G37" s="228">
        <f ca="1">+G36/C12-1</f>
        <v>-1.1004616735088568E-4</v>
      </c>
      <c r="H37" s="143"/>
      <c r="I37" s="222" t="s">
        <v>148</v>
      </c>
      <c r="J37" s="383"/>
      <c r="K37" s="228">
        <f ca="1">K36/C12-1</f>
        <v>6.1015711556322572E-4</v>
      </c>
    </row>
    <row r="38" spans="4:11">
      <c r="E38" s="216"/>
      <c r="F38" s="381"/>
      <c r="G38" s="227"/>
      <c r="H38" s="143"/>
      <c r="I38" s="216"/>
      <c r="J38" s="383"/>
      <c r="K38" s="227"/>
    </row>
    <row r="39" spans="4:11">
      <c r="E39" s="222" t="s">
        <v>149</v>
      </c>
      <c r="F39" s="381"/>
      <c r="G39" s="229">
        <f ca="1">+G28/G30</f>
        <v>0.3634044552436716</v>
      </c>
      <c r="H39" s="143"/>
      <c r="I39" s="222" t="s">
        <v>149</v>
      </c>
      <c r="J39" s="381"/>
      <c r="K39" s="229">
        <f ca="1">+K28/K30</f>
        <v>0.36369097138482714</v>
      </c>
    </row>
    <row r="40" spans="4:11" ht="15" thickBot="1">
      <c r="E40" s="223" t="s">
        <v>150</v>
      </c>
      <c r="F40" s="224"/>
      <c r="G40" s="759">
        <f>+((C6*G27)-K21)/(G27+K21)</f>
        <v>-0.15274588736779524</v>
      </c>
      <c r="H40" s="147"/>
      <c r="I40" s="223" t="s">
        <v>151</v>
      </c>
      <c r="J40" s="225"/>
      <c r="K40" s="230">
        <f>+K27/(K10+K19)</f>
        <v>3.6991640443090636</v>
      </c>
    </row>
    <row r="42" spans="4:11">
      <c r="F42" s="752">
        <v>3</v>
      </c>
      <c r="G42" s="752">
        <v>4</v>
      </c>
      <c r="H42" s="752">
        <v>5</v>
      </c>
      <c r="I42" s="752">
        <v>6</v>
      </c>
      <c r="J42" s="752">
        <v>7</v>
      </c>
      <c r="K42" s="752">
        <v>8</v>
      </c>
    </row>
    <row r="43" spans="4:11">
      <c r="I43" s="19"/>
    </row>
    <row r="44" spans="4:11">
      <c r="D44" s="19"/>
    </row>
    <row r="52" spans="4:4">
      <c r="D52" s="19"/>
    </row>
    <row r="53" spans="4:4">
      <c r="D53" s="19"/>
    </row>
  </sheetData>
  <mergeCells count="3">
    <mergeCell ref="O8:O12"/>
    <mergeCell ref="O17:O21"/>
    <mergeCell ref="B29:C29"/>
  </mergeCells>
  <conditionalFormatting sqref="Q8:U12">
    <cfRule type="colorScale" priority="2">
      <colorScale>
        <cfvo type="min"/>
        <cfvo type="percentile" val="50"/>
        <cfvo type="max"/>
        <color rgb="FFF8696B"/>
        <color rgb="FFFFEB84"/>
        <color rgb="FF63BE7B"/>
      </colorScale>
    </cfRule>
  </conditionalFormatting>
  <conditionalFormatting sqref="Q17:U21">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A3267-6828-4DB7-B926-132EA2AF66A1}">
  <sheetPr codeName="Sheet10"/>
  <dimension ref="B1:U53"/>
  <sheetViews>
    <sheetView showGridLines="0" workbookViewId="0">
      <selection activeCell="C28" sqref="C28"/>
    </sheetView>
  </sheetViews>
  <sheetFormatPr defaultRowHeight="14.5"/>
  <cols>
    <col min="2" max="2" width="36" customWidth="1"/>
    <col min="3" max="3" width="19.54296875" bestFit="1" customWidth="1"/>
    <col min="4" max="4" width="26.54296875" customWidth="1"/>
    <col min="5" max="5" width="34.1796875" customWidth="1"/>
    <col min="6" max="6" width="15.08984375" bestFit="1" customWidth="1"/>
    <col min="7" max="7" width="16.90625" bestFit="1" customWidth="1"/>
    <col min="8" max="10" width="14.7265625" bestFit="1" customWidth="1"/>
    <col min="11" max="11" width="16.90625" bestFit="1" customWidth="1"/>
    <col min="12" max="12" width="2.26953125" customWidth="1"/>
    <col min="13" max="13" width="8.7265625" style="651"/>
    <col min="16" max="16" width="11.6328125" customWidth="1"/>
    <col min="17" max="17" width="16.90625" bestFit="1" customWidth="1"/>
    <col min="18" max="21" width="15.08984375" bestFit="1" customWidth="1"/>
  </cols>
  <sheetData>
    <row r="1" spans="2:21" ht="24" thickBot="1">
      <c r="B1" s="150"/>
      <c r="C1" s="151"/>
      <c r="D1" s="151"/>
      <c r="E1" s="151"/>
      <c r="F1" s="151"/>
      <c r="G1" s="151"/>
      <c r="H1" s="151"/>
      <c r="I1" s="151"/>
      <c r="J1" s="151"/>
      <c r="K1" s="151"/>
      <c r="L1" s="151"/>
      <c r="M1" s="749"/>
      <c r="N1" s="151"/>
      <c r="O1" s="151"/>
      <c r="P1" s="146"/>
      <c r="Q1" s="152"/>
      <c r="R1" s="146"/>
      <c r="S1" s="146"/>
      <c r="T1" s="146"/>
      <c r="U1" s="146"/>
    </row>
    <row r="2" spans="2:21" ht="24" hidden="1" thickBot="1">
      <c r="B2" s="153"/>
      <c r="C2" s="151"/>
      <c r="D2" s="151"/>
      <c r="E2" s="154"/>
      <c r="F2" s="155"/>
      <c r="G2" s="156"/>
      <c r="H2" s="156"/>
      <c r="I2" s="156"/>
      <c r="J2" s="156"/>
      <c r="K2" s="156"/>
      <c r="L2" s="151"/>
      <c r="M2" s="749"/>
      <c r="N2" s="151"/>
      <c r="O2" s="151"/>
      <c r="P2" s="157"/>
      <c r="Q2" s="152"/>
      <c r="R2" s="146"/>
      <c r="S2" s="146"/>
      <c r="T2" s="146"/>
      <c r="U2" s="146"/>
    </row>
    <row r="3" spans="2:21" ht="23.5">
      <c r="B3" s="153"/>
      <c r="C3" s="151"/>
      <c r="D3" s="151"/>
      <c r="E3" s="158" t="s">
        <v>103</v>
      </c>
      <c r="F3" s="395">
        <f ca="1">(F4-(TODAY()))/365</f>
        <v>0.11506849315068493</v>
      </c>
      <c r="G3" s="159">
        <v>1</v>
      </c>
      <c r="H3" s="159">
        <v>1</v>
      </c>
      <c r="I3" s="159">
        <v>1</v>
      </c>
      <c r="J3" s="159">
        <v>1</v>
      </c>
      <c r="K3" s="160">
        <v>1</v>
      </c>
      <c r="L3" s="151"/>
      <c r="M3" s="749"/>
      <c r="N3" s="151"/>
      <c r="O3" s="151"/>
      <c r="P3" s="146"/>
      <c r="Q3" s="152"/>
      <c r="R3" s="146"/>
      <c r="S3" s="146"/>
      <c r="T3" s="146"/>
      <c r="U3" s="146"/>
    </row>
    <row r="4" spans="2:21" ht="15" thickBot="1">
      <c r="B4" s="161" t="str">
        <f>bbg_ticker</f>
        <v>SKIN US Equity</v>
      </c>
      <c r="E4" s="162" t="s">
        <v>104</v>
      </c>
      <c r="F4" s="371">
        <v>45291</v>
      </c>
      <c r="G4" s="371">
        <f>EDATE(F4,12)</f>
        <v>45657</v>
      </c>
      <c r="H4" s="371">
        <f>+EOMONTH(G4,12)</f>
        <v>46022</v>
      </c>
      <c r="I4" s="371">
        <f t="shared" ref="I4:K4" si="0">+EOMONTH(H4,12)</f>
        <v>46387</v>
      </c>
      <c r="J4" s="371">
        <f t="shared" si="0"/>
        <v>46752</v>
      </c>
      <c r="K4" s="163">
        <f t="shared" si="0"/>
        <v>47118</v>
      </c>
    </row>
    <row r="5" spans="2:21">
      <c r="B5" s="164" t="s">
        <v>34</v>
      </c>
      <c r="C5" s="165"/>
      <c r="E5" s="166" t="s">
        <v>105</v>
      </c>
      <c r="F5" s="372"/>
      <c r="G5" s="372"/>
      <c r="H5" s="372"/>
      <c r="I5" s="372"/>
      <c r="J5" s="372"/>
      <c r="K5" s="168"/>
      <c r="O5" s="146"/>
      <c r="P5" s="146"/>
      <c r="Q5" s="167" t="s">
        <v>106</v>
      </c>
      <c r="R5" s="169"/>
      <c r="S5" s="169"/>
      <c r="T5" s="169"/>
      <c r="U5" s="169"/>
    </row>
    <row r="6" spans="2:21">
      <c r="B6" s="170" t="s">
        <v>107</v>
      </c>
      <c r="C6" s="361">
        <f>+C21</f>
        <v>0.10672079798764901</v>
      </c>
      <c r="E6" s="171"/>
      <c r="F6" s="172">
        <v>2023</v>
      </c>
      <c r="G6" s="172">
        <f>+F6+1</f>
        <v>2024</v>
      </c>
      <c r="H6" s="172">
        <f>+G6+1</f>
        <v>2025</v>
      </c>
      <c r="I6" s="172">
        <f>+H6+1</f>
        <v>2026</v>
      </c>
      <c r="J6" s="172">
        <f>+I6+1</f>
        <v>2027</v>
      </c>
      <c r="K6" s="173">
        <f>+J6+1</f>
        <v>2028</v>
      </c>
      <c r="O6" s="146"/>
      <c r="P6" s="146"/>
      <c r="Q6" s="174" t="s">
        <v>107</v>
      </c>
      <c r="R6" s="174"/>
      <c r="S6" s="174"/>
      <c r="T6" s="174"/>
      <c r="U6" s="174"/>
    </row>
    <row r="7" spans="2:21" ht="15" thickBot="1">
      <c r="B7" s="175" t="s">
        <v>108</v>
      </c>
      <c r="C7" s="362">
        <v>-0.02</v>
      </c>
      <c r="E7" s="105" t="s">
        <v>56</v>
      </c>
      <c r="F7" s="747" cm="1">
        <f t="array" ref="F7">_xll.VAData("SKIN_US", "FY-2023", "Total revenue", "Consensus", "CD", "IMPL","","")</f>
        <v>397.16541807705084</v>
      </c>
      <c r="G7" s="756">
        <f t="shared" ref="G7:I7" si="1">(1+G8)*F7</f>
        <v>377.3071471731983</v>
      </c>
      <c r="H7" s="756">
        <f t="shared" si="1"/>
        <v>358.44178981453837</v>
      </c>
      <c r="I7" s="756">
        <f t="shared" si="1"/>
        <v>322.59761083308456</v>
      </c>
      <c r="J7" s="756">
        <f>(1+J8)*I7</f>
        <v>290.33784974977613</v>
      </c>
      <c r="K7" s="746">
        <f>(1+K8)*J7</f>
        <v>284.53109275478062</v>
      </c>
      <c r="O7" s="146"/>
      <c r="P7" s="179">
        <f ca="1">G36</f>
        <v>3.8322085429943216</v>
      </c>
      <c r="Q7" s="180">
        <f>+R7-0.02</f>
        <v>6.6720797987649003E-2</v>
      </c>
      <c r="R7" s="180">
        <f>+S7-0.02</f>
        <v>8.6720797987649006E-2</v>
      </c>
      <c r="S7" s="180">
        <f>C21</f>
        <v>0.10672079798764901</v>
      </c>
      <c r="T7" s="180">
        <f>+S7+0.02</f>
        <v>0.12672079798764901</v>
      </c>
      <c r="U7" s="180">
        <f>+T7+0.02</f>
        <v>0.146720797987649</v>
      </c>
    </row>
    <row r="8" spans="2:21">
      <c r="B8" s="175" t="s">
        <v>109</v>
      </c>
      <c r="C8" s="363">
        <v>6.5109632059921978</v>
      </c>
      <c r="E8" s="181" t="s">
        <v>110</v>
      </c>
      <c r="F8" s="760">
        <f>tower!AD159</f>
        <v>-5.2374358648596409E-2</v>
      </c>
      <c r="G8" s="762">
        <v>-0.05</v>
      </c>
      <c r="H8" s="762">
        <v>-0.05</v>
      </c>
      <c r="I8" s="762">
        <v>-0.1</v>
      </c>
      <c r="J8" s="762">
        <v>-0.1</v>
      </c>
      <c r="K8" s="763">
        <v>-0.02</v>
      </c>
      <c r="L8" s="19"/>
      <c r="O8" s="657" t="s">
        <v>111</v>
      </c>
      <c r="P8" s="305">
        <f>+P9+0.5</f>
        <v>4.3</v>
      </c>
      <c r="Q8" s="185">
        <f t="dataTable" ref="Q8:U12" dt2D="1" dtr="1" r1="C6" r2="C8" ca="1"/>
        <v>3.6677440224155897</v>
      </c>
      <c r="R8" s="186">
        <v>3.4431131777943049</v>
      </c>
      <c r="S8" s="186">
        <v>3.2398948873033246</v>
      </c>
      <c r="T8" s="186">
        <v>3.0556289889223125</v>
      </c>
      <c r="U8" s="187">
        <v>2.8881794273177746</v>
      </c>
    </row>
    <row r="9" spans="2:21" ht="15" thickBot="1">
      <c r="B9" s="175" t="s">
        <v>112</v>
      </c>
      <c r="C9" s="364">
        <f ca="1">+TODAY()</f>
        <v>45249</v>
      </c>
      <c r="E9" s="104"/>
      <c r="F9" s="131"/>
      <c r="G9" s="131"/>
      <c r="H9" s="131"/>
      <c r="I9" s="131"/>
      <c r="J9" s="131"/>
      <c r="K9" s="103"/>
      <c r="O9" s="658"/>
      <c r="P9" s="305">
        <f>+P10+0.5</f>
        <v>3.8</v>
      </c>
      <c r="Q9" s="188">
        <v>3.5060090213674724</v>
      </c>
      <c r="R9" s="189">
        <v>3.2960528774180773</v>
      </c>
      <c r="S9" s="189">
        <v>3.1059456533030265</v>
      </c>
      <c r="T9" s="189">
        <v>2.9334176826531184</v>
      </c>
      <c r="U9" s="190">
        <v>2.7764973863977391</v>
      </c>
    </row>
    <row r="10" spans="2:21" ht="15" thickBot="1">
      <c r="B10" s="175" t="s">
        <v>113</v>
      </c>
      <c r="C10" s="360">
        <v>365</v>
      </c>
      <c r="E10" s="191" t="s">
        <v>58</v>
      </c>
      <c r="F10" s="748" cm="1">
        <f t="array" ref="F10">_xll.VAData("SKIN_US", "FY-2023", "Operating income/(loss) - Operating", "Consensus", "CD", "IMPL","","")</f>
        <v>19.748177723859108</v>
      </c>
      <c r="G10" s="748" cm="1">
        <f t="array" ref="G10">_xll.VAData("SKIN_US", "FY-2024", "Operating income/(loss) - Operating", "Consensus", "CD", "IMPL","","")</f>
        <v>20.11927939548535</v>
      </c>
      <c r="H10" s="311">
        <f>H11*H7</f>
        <v>17.922089490726918</v>
      </c>
      <c r="I10" s="311">
        <f>I11*I7</f>
        <v>15.48468531998806</v>
      </c>
      <c r="J10" s="311">
        <f>J11*J7</f>
        <v>13.355541088489701</v>
      </c>
      <c r="K10" s="750">
        <f>K11*K7</f>
        <v>11.381243710191224</v>
      </c>
      <c r="O10" s="658"/>
      <c r="P10" s="306">
        <v>3.3</v>
      </c>
      <c r="Q10" s="188">
        <v>3.3442740203193546</v>
      </c>
      <c r="R10" s="189">
        <v>3.1489925770418501</v>
      </c>
      <c r="S10" s="389">
        <v>2.9719964193027284</v>
      </c>
      <c r="T10" s="189">
        <v>2.8112063763839248</v>
      </c>
      <c r="U10" s="190">
        <v>2.6648153454777037</v>
      </c>
    </row>
    <row r="11" spans="2:21">
      <c r="B11" s="175" t="s">
        <v>114</v>
      </c>
      <c r="C11" s="754" cm="1">
        <f t="array" ref="C11">_xll.BDP("SKIN US Equity","EQY_SH_OUT")</f>
        <v>131.26679999999999</v>
      </c>
      <c r="E11" s="181" t="s">
        <v>115</v>
      </c>
      <c r="F11" s="193">
        <f>+F10/F7</f>
        <v>4.972280270390491E-2</v>
      </c>
      <c r="G11" s="193">
        <f t="shared" ref="G11:K11" si="2">+G10/G7</f>
        <v>5.3323345571956095E-2</v>
      </c>
      <c r="H11" s="757">
        <v>0.05</v>
      </c>
      <c r="I11" s="757">
        <v>4.8000000000000001E-2</v>
      </c>
      <c r="J11" s="194">
        <v>4.5999999999999999E-2</v>
      </c>
      <c r="K11" s="195">
        <v>0.04</v>
      </c>
      <c r="O11" s="658"/>
      <c r="P11" s="305">
        <f>+P10-0.5</f>
        <v>2.8</v>
      </c>
      <c r="Q11" s="188">
        <v>3.1825390192712373</v>
      </c>
      <c r="R11" s="189">
        <v>3.0019322766656225</v>
      </c>
      <c r="S11" s="189">
        <v>2.8380471853024298</v>
      </c>
      <c r="T11" s="189">
        <v>2.6889950701147307</v>
      </c>
      <c r="U11" s="190">
        <v>2.5531333045576678</v>
      </c>
    </row>
    <row r="12" spans="2:21" ht="15" thickBot="1">
      <c r="B12" s="196" t="s">
        <v>116</v>
      </c>
      <c r="C12" s="755">
        <f>_xll.BDP(B4,"PX_last")</f>
        <v>2.2599999999999998</v>
      </c>
      <c r="E12" s="181" t="s">
        <v>117</v>
      </c>
      <c r="F12" s="197"/>
      <c r="G12" s="761">
        <f>G10/F10-1</f>
        <v>1.8791691912813269E-2</v>
      </c>
      <c r="H12" s="761">
        <f>H10/G10-1</f>
        <v>-0.10920818094764706</v>
      </c>
      <c r="I12" s="761">
        <f t="shared" ref="I12:K12" si="3">I10/H10-1</f>
        <v>-0.1359999999999999</v>
      </c>
      <c r="J12" s="761">
        <f>J10/I10-1</f>
        <v>-0.13750000000000007</v>
      </c>
      <c r="K12" s="764">
        <f t="shared" si="3"/>
        <v>-0.14782608695652166</v>
      </c>
      <c r="O12" s="658"/>
      <c r="P12" s="305">
        <f>+P11-0.5</f>
        <v>2.2999999999999998</v>
      </c>
      <c r="Q12" s="199">
        <v>3.0208040182231199</v>
      </c>
      <c r="R12" s="200">
        <v>2.8548719762893944</v>
      </c>
      <c r="S12" s="200">
        <v>2.7040979513021322</v>
      </c>
      <c r="T12" s="200">
        <v>2.5667837638455366</v>
      </c>
      <c r="U12" s="201">
        <v>2.4414512636376324</v>
      </c>
    </row>
    <row r="13" spans="2:21">
      <c r="B13" s="104"/>
      <c r="C13" s="145"/>
      <c r="E13" s="104"/>
      <c r="F13" s="131"/>
      <c r="G13" s="131"/>
      <c r="H13" s="131"/>
      <c r="I13" s="131"/>
      <c r="J13" s="131"/>
      <c r="K13" s="103"/>
      <c r="P13" s="56"/>
    </row>
    <row r="14" spans="2:21">
      <c r="B14" s="166" t="s">
        <v>107</v>
      </c>
      <c r="C14" s="202"/>
      <c r="E14" s="203" t="s">
        <v>53</v>
      </c>
      <c r="F14" s="374">
        <f t="shared" ref="F14:I14" si="4">F10*$C$20</f>
        <v>3.9496355447718217</v>
      </c>
      <c r="G14" s="374">
        <f t="shared" si="4"/>
        <v>4.02385587909707</v>
      </c>
      <c r="H14" s="374">
        <f t="shared" si="4"/>
        <v>3.584417898145384</v>
      </c>
      <c r="I14" s="374">
        <f t="shared" si="4"/>
        <v>3.0969370639976121</v>
      </c>
      <c r="J14" s="374">
        <f>J10*$C$20</f>
        <v>2.6711082176979404</v>
      </c>
      <c r="K14" s="192">
        <f>K10*$C$20</f>
        <v>2.2762487420382449</v>
      </c>
      <c r="O14" s="146"/>
      <c r="P14" s="3"/>
      <c r="Q14" s="167" t="s">
        <v>106</v>
      </c>
      <c r="R14" s="169"/>
      <c r="S14" s="169"/>
      <c r="T14" s="169"/>
      <c r="U14" s="169"/>
    </row>
    <row r="15" spans="2:21">
      <c r="B15" s="170" t="s">
        <v>118</v>
      </c>
      <c r="C15" s="366">
        <f>+C11*C12</f>
        <v>296.66296799999992</v>
      </c>
      <c r="E15" s="104"/>
      <c r="F15" s="131"/>
      <c r="G15" s="131"/>
      <c r="H15" s="131"/>
      <c r="I15" s="131"/>
      <c r="J15" s="131"/>
      <c r="K15" s="103"/>
      <c r="O15" s="146"/>
      <c r="P15" s="3"/>
      <c r="Q15" s="174" t="s">
        <v>107</v>
      </c>
      <c r="R15" s="174"/>
      <c r="S15" s="174"/>
      <c r="T15" s="174"/>
      <c r="U15" s="174"/>
    </row>
    <row r="16" spans="2:21" ht="15" thickBot="1">
      <c r="B16" s="175" t="s">
        <v>119</v>
      </c>
      <c r="C16" s="382">
        <f>tower!AB472/1000*0.7</f>
        <v>516.12049999999999</v>
      </c>
      <c r="E16" s="204" t="s">
        <v>120</v>
      </c>
      <c r="F16" s="374">
        <f>+F10-F14</f>
        <v>15.798542179087287</v>
      </c>
      <c r="G16" s="374">
        <f>+G10-G14</f>
        <v>16.09542351638828</v>
      </c>
      <c r="H16" s="374">
        <f>+H10-H14</f>
        <v>14.337671592581534</v>
      </c>
      <c r="I16" s="374">
        <f>+I10-I14</f>
        <v>12.387748255990449</v>
      </c>
      <c r="J16" s="374">
        <f t="shared" ref="J16" si="5">+J10-J14</f>
        <v>10.684432870791762</v>
      </c>
      <c r="K16" s="192">
        <f>+K10-K14</f>
        <v>9.1049949681529796</v>
      </c>
      <c r="O16" s="146"/>
      <c r="P16" s="307">
        <f ca="1">+$K$36</f>
        <v>4.1597342319049675</v>
      </c>
      <c r="Q16" s="180">
        <f>+R16-0.02</f>
        <v>6.6720797987649003E-2</v>
      </c>
      <c r="R16" s="180">
        <f>+S16-0.02</f>
        <v>8.6720797987649006E-2</v>
      </c>
      <c r="S16" s="180">
        <f>S7</f>
        <v>0.10672079798764901</v>
      </c>
      <c r="T16" s="180">
        <f>+S16+0.02</f>
        <v>0.12672079798764901</v>
      </c>
      <c r="U16" s="180">
        <f>+T16+0.02</f>
        <v>0.146720797987649</v>
      </c>
    </row>
    <row r="17" spans="2:21">
      <c r="B17" s="170" t="s">
        <v>121</v>
      </c>
      <c r="C17" s="366">
        <f>+SUM(C15:C16)</f>
        <v>812.78346799999986</v>
      </c>
      <c r="E17" s="104"/>
      <c r="F17" s="131"/>
      <c r="G17" s="131"/>
      <c r="H17" s="131"/>
      <c r="I17" s="131"/>
      <c r="J17" s="131"/>
      <c r="K17" s="103"/>
      <c r="O17" s="657" t="s">
        <v>122</v>
      </c>
      <c r="P17" s="308">
        <f>+P18+0.05</f>
        <v>-5.2999999999999992E-2</v>
      </c>
      <c r="Q17" s="185">
        <f t="dataTable" ref="Q17:U21" dt2D="1" dtr="1" r1="C6" r2="C7" ca="1"/>
        <v>4.8354936632310324</v>
      </c>
      <c r="R17" s="186">
        <v>4.1718859925766489</v>
      </c>
      <c r="S17" s="186">
        <v>3.67632730307702</v>
      </c>
      <c r="T17" s="186">
        <v>3.2925440180821099</v>
      </c>
      <c r="U17" s="187">
        <v>2.9868213275779185</v>
      </c>
    </row>
    <row r="18" spans="2:21" ht="15" thickBot="1">
      <c r="B18" s="175" t="s">
        <v>123</v>
      </c>
      <c r="C18" s="367">
        <f>+C27</f>
        <v>0.12609710688972472</v>
      </c>
      <c r="E18" s="203" t="s">
        <v>124</v>
      </c>
      <c r="F18" s="448" cm="1">
        <f t="array" ref="F18">_xll.VAData("SKIN_US", "FY-2023", "Changes in total working capital", "Consensus", "CD", "IMPL","","")</f>
        <v>-2.1065904511506419</v>
      </c>
      <c r="G18" s="448" cm="1">
        <f t="array" ref="G18">_xll.VAData("SKIN_US", "FY-2024", "Changes in total working capital", "Consensus", "CD", "IMPL","","")</f>
        <v>12.688733028826485</v>
      </c>
      <c r="H18" s="448" cm="1">
        <f t="array" ref="H18">_xll.VAData("SKIN_US", "FY-2025", "Changes in total working capital", "Consensus", "CD", "IMPL","","")</f>
        <v>-1.9734834851389001E-2</v>
      </c>
      <c r="I18" s="448" cm="1">
        <f t="array" ref="I18">_xll.VAData("SKIN_US", "FY-202"&amp;I42, "Changes in total working capital", "Consensus", "CD", "IMPL","","")</f>
        <v>-5.4213948402554504</v>
      </c>
      <c r="J18" s="287">
        <v>0</v>
      </c>
      <c r="K18" s="751">
        <v>0</v>
      </c>
      <c r="M18" s="651" t="s">
        <v>698</v>
      </c>
      <c r="O18" s="658"/>
      <c r="P18" s="308">
        <f>+P19+0.05</f>
        <v>-0.10299999999999999</v>
      </c>
      <c r="Q18" s="188">
        <v>3.9864107322942979</v>
      </c>
      <c r="R18" s="189">
        <v>3.5689968989625473</v>
      </c>
      <c r="S18" s="189">
        <v>3.2337640680548598</v>
      </c>
      <c r="T18" s="189">
        <v>2.959018519077087</v>
      </c>
      <c r="U18" s="190">
        <v>2.7300402455961219</v>
      </c>
    </row>
    <row r="19" spans="2:21" ht="15" thickBot="1">
      <c r="B19" s="175" t="s">
        <v>125</v>
      </c>
      <c r="C19" s="367">
        <f>+C30</f>
        <v>1.2500000000000001E-2</v>
      </c>
      <c r="E19" s="203" t="s">
        <v>57</v>
      </c>
      <c r="F19" s="448" cm="1">
        <f t="array" ref="F19">_xll.VAData("SKIN_US", "FY-2023", "Depreciation and amortization expense", "Consensus", "CD", "IMPL","","")</f>
        <v>30.526697116995653</v>
      </c>
      <c r="G19" s="448" cm="1">
        <f t="array" ref="G19">_xll.VAData("SKIN_US", "FY-2024", "Depreciation and amortization expense", "Consensus", "CD", "IMPL","","")</f>
        <v>28.89526435539527</v>
      </c>
      <c r="H19" s="448" cm="1">
        <f t="array" ref="H19">_xll.VAData("SKIN_US", "FY-2025", "Depreciation and amortization expense", "Consensus", "CD", "IMPL","","")</f>
        <v>27.349647367452992</v>
      </c>
      <c r="I19" s="448" cm="1">
        <f t="array" ref="I19">_xll.VAData("SKIN_US", "FY-2026", "Depreciation and amortization expense", "Consensus", "CD", "IMPL","","")</f>
        <v>29.810337705590836</v>
      </c>
      <c r="J19" s="287">
        <v>30</v>
      </c>
      <c r="K19" s="751">
        <v>30</v>
      </c>
      <c r="M19" s="651" t="s">
        <v>698</v>
      </c>
      <c r="O19" s="658"/>
      <c r="P19" s="309">
        <v>-0.153</v>
      </c>
      <c r="Q19" s="188">
        <v>3.5237650156373261</v>
      </c>
      <c r="R19" s="189">
        <v>3.2176041705679386</v>
      </c>
      <c r="S19" s="389">
        <v>2.9616004461754279</v>
      </c>
      <c r="T19" s="189">
        <v>2.7447281650467859</v>
      </c>
      <c r="U19" s="190">
        <v>2.5589325915865744</v>
      </c>
    </row>
    <row r="20" spans="2:21">
      <c r="B20" s="175" t="s">
        <v>126</v>
      </c>
      <c r="C20" s="368">
        <v>0.2</v>
      </c>
      <c r="E20" s="206" t="s">
        <v>127</v>
      </c>
      <c r="F20" s="753" cm="1">
        <f t="array" ref="F20">_xll.VAData("SKIN_US", "FY-202"&amp;F42, "Capital expenditure", "Consensus", "CD", "IMPL","","")</f>
        <v>16.527134179661843</v>
      </c>
      <c r="G20" s="448" cm="1">
        <f t="array" ref="G20">_xll.VAData("SKIN_US", "FY-202"&amp;G42, "Capital expenditure", "Consensus", "CD", "IMPL","","")</f>
        <v>15.888837757316573</v>
      </c>
      <c r="H20" s="448" cm="1">
        <f t="array" ref="H20">_xll.VAData("SKIN_US", "FY-202"&amp;H42, "Capital expenditure", "Consensus", "CD", "IMPL","","")</f>
        <v>15.573710571033457</v>
      </c>
      <c r="I20" s="287">
        <f>H20</f>
        <v>15.573710571033457</v>
      </c>
      <c r="J20" s="287">
        <v>18</v>
      </c>
      <c r="K20" s="751">
        <v>20</v>
      </c>
      <c r="M20" s="651" t="s">
        <v>698</v>
      </c>
      <c r="O20" s="658"/>
      <c r="P20" s="308">
        <f>+P19-0.05</f>
        <v>-0.20300000000000001</v>
      </c>
      <c r="Q20" s="188">
        <v>3.2326469379717513</v>
      </c>
      <c r="R20" s="189">
        <v>2.9874981191517596</v>
      </c>
      <c r="S20" s="189">
        <v>2.7773106847689646</v>
      </c>
      <c r="T20" s="189">
        <v>2.5954292690434451</v>
      </c>
      <c r="U20" s="190">
        <v>2.436751868715846</v>
      </c>
    </row>
    <row r="21" spans="2:21" ht="15" thickBot="1">
      <c r="B21" s="175" t="s">
        <v>699</v>
      </c>
      <c r="C21" s="758" cm="1">
        <f t="array" ref="C21">_xll.BDP("SKIN US Equity","WACC")/100</f>
        <v>0.10672079798764901</v>
      </c>
      <c r="E21" s="204" t="s">
        <v>128</v>
      </c>
      <c r="F21" s="374">
        <f t="shared" ref="F21:K21" si="6">SUM(F16:F20)</f>
        <v>60.745783024594139</v>
      </c>
      <c r="G21" s="177">
        <f t="shared" si="6"/>
        <v>73.568258657926606</v>
      </c>
      <c r="H21" s="177">
        <f t="shared" si="6"/>
        <v>57.241294696216599</v>
      </c>
      <c r="I21" s="177">
        <f t="shared" si="6"/>
        <v>52.350401692359291</v>
      </c>
      <c r="J21" s="177">
        <f t="shared" si="6"/>
        <v>58.68443287079176</v>
      </c>
      <c r="K21" s="178">
        <f>SUM(K16:K20)</f>
        <v>59.10499496815298</v>
      </c>
      <c r="O21" s="658"/>
      <c r="P21" s="308">
        <f>+P20-0.05</f>
        <v>-0.253</v>
      </c>
      <c r="Q21" s="199">
        <v>3.032582704628441</v>
      </c>
      <c r="R21" s="200">
        <v>2.8251259400151771</v>
      </c>
      <c r="S21" s="200">
        <v>2.6442522567848163</v>
      </c>
      <c r="T21" s="200">
        <v>2.4854484448430076</v>
      </c>
      <c r="U21" s="201">
        <v>2.3451376621449533</v>
      </c>
    </row>
    <row r="22" spans="2:21">
      <c r="B22" s="208"/>
      <c r="C22" s="209"/>
      <c r="E22" s="203" t="s">
        <v>129</v>
      </c>
      <c r="F22" s="378">
        <f t="shared" ref="F22:K22" ca="1" si="7">(F4-$C$9)/$C$10</f>
        <v>0.11506849315068493</v>
      </c>
      <c r="G22" s="378">
        <f t="shared" ca="1" si="7"/>
        <v>1.1178082191780823</v>
      </c>
      <c r="H22" s="378">
        <f t="shared" ca="1" si="7"/>
        <v>2.117808219178082</v>
      </c>
      <c r="I22" s="378">
        <f t="shared" ca="1" si="7"/>
        <v>3.117808219178082</v>
      </c>
      <c r="J22" s="378">
        <f t="shared" ca="1" si="7"/>
        <v>4.117808219178082</v>
      </c>
      <c r="K22" s="210">
        <f t="shared" ca="1" si="7"/>
        <v>5.1205479452054794</v>
      </c>
    </row>
    <row r="23" spans="2:21">
      <c r="B23" s="166" t="s">
        <v>123</v>
      </c>
      <c r="C23" s="202"/>
      <c r="E23" s="203" t="s">
        <v>130</v>
      </c>
      <c r="F23" s="377">
        <f t="shared" ref="F23:K23" ca="1" si="8">1/(1+$C$6)^F22</f>
        <v>0.98839970127728105</v>
      </c>
      <c r="G23" s="377">
        <f t="shared" ca="1" si="8"/>
        <v>0.89284049946644295</v>
      </c>
      <c r="H23" s="377">
        <f t="shared" ca="1" si="8"/>
        <v>0.80674412289883357</v>
      </c>
      <c r="I23" s="377">
        <f t="shared" ca="1" si="8"/>
        <v>0.72894999747518685</v>
      </c>
      <c r="J23" s="377">
        <f t="shared" ca="1" si="8"/>
        <v>0.65865753928238913</v>
      </c>
      <c r="K23" s="211">
        <f t="shared" ca="1" si="8"/>
        <v>0.59497804945739297</v>
      </c>
    </row>
    <row r="24" spans="2:21">
      <c r="B24" s="170" t="s">
        <v>131</v>
      </c>
      <c r="C24" s="649">
        <f>+_xll.BDP("USGG10YR Index","px_last")/100</f>
        <v>4.4353999999999998E-2</v>
      </c>
      <c r="E24" s="212" t="s">
        <v>132</v>
      </c>
      <c r="F24" s="177">
        <f t="shared" ref="F24:K24" ca="1" si="9">F3*F21*F23</f>
        <v>6.9088404915212651</v>
      </c>
      <c r="G24" s="177">
        <f t="shared" ca="1" si="9"/>
        <v>65.684720805019651</v>
      </c>
      <c r="H24" s="177">
        <f t="shared" ca="1" si="9"/>
        <v>46.179078083292914</v>
      </c>
      <c r="I24" s="177">
        <f t="shared" ca="1" si="9"/>
        <v>38.160825181470322</v>
      </c>
      <c r="J24" s="177">
        <f t="shared" ca="1" si="9"/>
        <v>38.652944148858253</v>
      </c>
      <c r="K24" s="178">
        <f t="shared" ca="1" si="9"/>
        <v>35.166174619340687</v>
      </c>
    </row>
    <row r="25" spans="2:21" ht="15" thickBot="1">
      <c r="B25" s="175" t="s">
        <v>133</v>
      </c>
      <c r="C25" s="369">
        <v>6.1100000000000002E-2</v>
      </c>
      <c r="E25" s="104"/>
      <c r="F25" s="143"/>
      <c r="G25" s="143"/>
      <c r="H25" s="143"/>
      <c r="I25" s="143"/>
      <c r="J25" s="143"/>
      <c r="K25" s="145"/>
      <c r="P25" s="35" t="s">
        <v>134</v>
      </c>
    </row>
    <row r="26" spans="2:21">
      <c r="B26" s="175" t="s">
        <v>135</v>
      </c>
      <c r="C26" s="650" cm="1">
        <f t="array" ref="C26">+_xll.BDP(bbg_ticker, "EQY_BETA")</f>
        <v>1.337857723236084</v>
      </c>
      <c r="E26" s="164" t="s">
        <v>136</v>
      </c>
      <c r="F26" s="386"/>
      <c r="G26" s="165"/>
      <c r="H26" s="143"/>
      <c r="I26" s="164" t="s">
        <v>137</v>
      </c>
      <c r="J26" s="386"/>
      <c r="K26" s="165"/>
    </row>
    <row r="27" spans="2:21">
      <c r="B27" s="196" t="s">
        <v>123</v>
      </c>
      <c r="C27" s="370">
        <f>+C26*C25+C24</f>
        <v>0.12609710688972472</v>
      </c>
      <c r="E27" s="213" t="s">
        <v>138</v>
      </c>
      <c r="F27" s="214"/>
      <c r="G27" s="226">
        <f>+K21*C8</f>
        <v>384.83044752799805</v>
      </c>
      <c r="H27" s="143"/>
      <c r="I27" s="213" t="s">
        <v>138</v>
      </c>
      <c r="J27" s="215"/>
      <c r="K27" s="226">
        <f>+K21*(1+$C$7)/($C$6-$C$7)</f>
        <v>457.0906748427787</v>
      </c>
    </row>
    <row r="28" spans="2:21">
      <c r="B28" s="104"/>
      <c r="C28" s="103"/>
      <c r="D28" s="19"/>
      <c r="E28" s="216" t="s">
        <v>139</v>
      </c>
      <c r="F28" s="379"/>
      <c r="G28" s="227">
        <f ca="1">+G27*$K$23</f>
        <v>228.9656690420239</v>
      </c>
      <c r="H28" s="143"/>
      <c r="I28" s="216" t="s">
        <v>139</v>
      </c>
      <c r="J28" s="380"/>
      <c r="K28" s="227">
        <f ca="1">+K27*$K$23</f>
        <v>271.95891814311989</v>
      </c>
    </row>
    <row r="29" spans="2:21">
      <c r="B29" s="659" t="s">
        <v>125</v>
      </c>
      <c r="C29" s="660"/>
      <c r="E29" s="216" t="s">
        <v>140</v>
      </c>
      <c r="F29" s="379"/>
      <c r="G29" s="227">
        <f ca="1">+SUM($F$24:$K$24)</f>
        <v>230.7525833295031</v>
      </c>
      <c r="H29" s="143"/>
      <c r="I29" s="216" t="s">
        <v>140</v>
      </c>
      <c r="J29" s="380"/>
      <c r="K29" s="227">
        <f ca="1">+SUM($F$24:$K$24)</f>
        <v>230.7525833295031</v>
      </c>
    </row>
    <row r="30" spans="2:21" ht="15" thickBot="1">
      <c r="B30" s="217" t="s">
        <v>141</v>
      </c>
      <c r="C30" s="501">
        <v>1.2500000000000001E-2</v>
      </c>
      <c r="E30" s="213" t="s">
        <v>142</v>
      </c>
      <c r="F30" s="218"/>
      <c r="G30" s="226">
        <f ca="1">SUM(G28:G29)</f>
        <v>459.718252371527</v>
      </c>
      <c r="H30" s="143"/>
      <c r="I30" s="213" t="s">
        <v>142</v>
      </c>
      <c r="J30" s="219"/>
      <c r="K30" s="226">
        <f ca="1">SUM(K28:K29)</f>
        <v>502.71150147262301</v>
      </c>
    </row>
    <row r="31" spans="2:21">
      <c r="D31" s="19"/>
      <c r="E31" s="216" t="s">
        <v>143</v>
      </c>
      <c r="F31" s="381"/>
      <c r="G31" s="227">
        <f>-$C$16</f>
        <v>-516.12049999999999</v>
      </c>
      <c r="H31" s="143"/>
      <c r="I31" s="216" t="s">
        <v>143</v>
      </c>
      <c r="J31" s="380"/>
      <c r="K31" s="227">
        <f>-$C$16</f>
        <v>-516.12049999999999</v>
      </c>
    </row>
    <row r="32" spans="2:21">
      <c r="D32" s="19"/>
      <c r="E32" s="216" t="s">
        <v>144</v>
      </c>
      <c r="F32" s="381"/>
      <c r="G32" s="382">
        <v>0</v>
      </c>
      <c r="H32" s="143"/>
      <c r="I32" s="216" t="s">
        <v>144</v>
      </c>
      <c r="J32" s="380"/>
      <c r="K32" s="382">
        <f>G32</f>
        <v>0</v>
      </c>
    </row>
    <row r="33" spans="4:11">
      <c r="E33" s="216" t="s">
        <v>145</v>
      </c>
      <c r="F33" s="381"/>
      <c r="G33" s="382">
        <f>tower!AB439/1000</f>
        <v>559.44399999999996</v>
      </c>
      <c r="H33" s="143"/>
      <c r="I33" s="216" t="s">
        <v>145</v>
      </c>
      <c r="J33" s="380"/>
      <c r="K33" s="382">
        <f>G33</f>
        <v>559.44399999999996</v>
      </c>
    </row>
    <row r="34" spans="4:11">
      <c r="E34" s="213" t="s">
        <v>146</v>
      </c>
      <c r="F34" s="218"/>
      <c r="G34" s="226">
        <f ca="1">+SUM(G30:G33)</f>
        <v>503.04175237152697</v>
      </c>
      <c r="H34" s="143"/>
      <c r="I34" s="213" t="s">
        <v>146</v>
      </c>
      <c r="J34" s="220"/>
      <c r="K34" s="226">
        <f ca="1">+SUM(K30:K33)</f>
        <v>546.03500147262298</v>
      </c>
    </row>
    <row r="35" spans="4:11">
      <c r="E35" s="216" t="s">
        <v>147</v>
      </c>
      <c r="F35" s="381"/>
      <c r="G35" s="227">
        <f>C11</f>
        <v>131.26679999999999</v>
      </c>
      <c r="H35" s="143"/>
      <c r="I35" s="216" t="s">
        <v>147</v>
      </c>
      <c r="J35" s="383"/>
      <c r="K35" s="227">
        <f>C11</f>
        <v>131.26679999999999</v>
      </c>
    </row>
    <row r="36" spans="4:11">
      <c r="E36" s="221" t="s">
        <v>106</v>
      </c>
      <c r="F36" s="384"/>
      <c r="G36" s="231">
        <f ca="1">+G34/G35</f>
        <v>3.8322085429943216</v>
      </c>
      <c r="H36" s="143"/>
      <c r="I36" s="221" t="s">
        <v>106</v>
      </c>
      <c r="J36" s="385"/>
      <c r="K36" s="231">
        <f ca="1">+K34/K35</f>
        <v>4.1597342319049675</v>
      </c>
    </row>
    <row r="37" spans="4:11">
      <c r="E37" s="222" t="s">
        <v>148</v>
      </c>
      <c r="F37" s="381"/>
      <c r="G37" s="228">
        <f ca="1">+G36/C12-1</f>
        <v>0.6956674969001424</v>
      </c>
      <c r="H37" s="143"/>
      <c r="I37" s="222" t="s">
        <v>148</v>
      </c>
      <c r="J37" s="383"/>
      <c r="K37" s="228">
        <f ca="1">K36/C12-1</f>
        <v>0.84059036809954324</v>
      </c>
    </row>
    <row r="38" spans="4:11">
      <c r="E38" s="216"/>
      <c r="F38" s="381"/>
      <c r="G38" s="227"/>
      <c r="H38" s="143"/>
      <c r="I38" s="216"/>
      <c r="J38" s="383"/>
      <c r="K38" s="227"/>
    </row>
    <row r="39" spans="4:11">
      <c r="E39" s="222" t="s">
        <v>149</v>
      </c>
      <c r="F39" s="381"/>
      <c r="G39" s="229">
        <f ca="1">+G28/G30</f>
        <v>0.49805651148473973</v>
      </c>
      <c r="H39" s="143"/>
      <c r="I39" s="222" t="s">
        <v>149</v>
      </c>
      <c r="J39" s="381"/>
      <c r="K39" s="229">
        <f ca="1">+K28/K30</f>
        <v>0.54098407803771009</v>
      </c>
    </row>
    <row r="40" spans="4:11" ht="15" thickBot="1">
      <c r="E40" s="223" t="s">
        <v>150</v>
      </c>
      <c r="F40" s="224"/>
      <c r="G40" s="759">
        <f>+((C6*G27)-K21)/(G27+K21)</f>
        <v>-4.0626588444055825E-2</v>
      </c>
      <c r="H40" s="147"/>
      <c r="I40" s="223" t="s">
        <v>151</v>
      </c>
      <c r="J40" s="225"/>
      <c r="K40" s="230">
        <f>+K27/(K10+K19)</f>
        <v>11.045841880537969</v>
      </c>
    </row>
    <row r="42" spans="4:11">
      <c r="F42" s="752">
        <v>3</v>
      </c>
      <c r="G42" s="752">
        <v>4</v>
      </c>
      <c r="H42" s="752">
        <v>5</v>
      </c>
      <c r="I42" s="752">
        <v>6</v>
      </c>
      <c r="J42" s="752">
        <v>7</v>
      </c>
      <c r="K42" s="752">
        <v>8</v>
      </c>
    </row>
    <row r="43" spans="4:11">
      <c r="I43" s="19"/>
    </row>
    <row r="44" spans="4:11">
      <c r="D44" s="19"/>
    </row>
    <row r="52" spans="4:4">
      <c r="D52" s="19"/>
    </row>
    <row r="53" spans="4:4">
      <c r="D53" s="19"/>
    </row>
  </sheetData>
  <mergeCells count="3">
    <mergeCell ref="O8:O12"/>
    <mergeCell ref="O17:O21"/>
    <mergeCell ref="B29:C29"/>
  </mergeCells>
  <conditionalFormatting sqref="Q8:U12">
    <cfRule type="colorScale" priority="2">
      <colorScale>
        <cfvo type="min"/>
        <cfvo type="percentile" val="50"/>
        <cfvo type="max"/>
        <color rgb="FFF8696B"/>
        <color rgb="FFFFEB84"/>
        <color rgb="FF63BE7B"/>
      </colorScale>
    </cfRule>
  </conditionalFormatting>
  <conditionalFormatting sqref="Q17:U21">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verticalDpi="0"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2EF1F-22A7-4E97-A714-B5D13069EE62}">
  <sheetPr codeName="Sheet6">
    <tabColor rgb="FF0070C0"/>
  </sheetPr>
  <dimension ref="A1"/>
  <sheetViews>
    <sheetView workbookViewId="0"/>
  </sheetViews>
  <sheetFormatPr defaultRowHeight="14.5"/>
  <sheetData/>
  <pageMargins left="0.7" right="0.7" top="0.75" bottom="0.75" header="0.3" footer="0.3"/>
  <customProperties>
    <customPr name="UniqueWorksheetId"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9E4DE-41C7-4D92-BC9F-7C6DF5C44880}">
  <dimension ref="B1:AQ728"/>
  <sheetViews>
    <sheetView showGridLines="0" topLeftCell="A28" zoomScaleNormal="100" workbookViewId="0">
      <selection activeCell="T12" sqref="T12"/>
    </sheetView>
  </sheetViews>
  <sheetFormatPr defaultRowHeight="14.5" outlineLevelCol="1"/>
  <cols>
    <col min="1" max="1" width="4" customWidth="1"/>
    <col min="2" max="2" width="35.1796875" customWidth="1"/>
    <col min="3" max="3" width="14.90625" hidden="1" customWidth="1" outlineLevel="1"/>
    <col min="4" max="7" width="11.54296875" hidden="1" customWidth="1" outlineLevel="1"/>
    <col min="8" max="8" width="11.54296875" customWidth="1" collapsed="1"/>
    <col min="9" max="41" width="11.54296875" customWidth="1"/>
  </cols>
  <sheetData>
    <row r="1" spans="2:43">
      <c r="B1" s="828"/>
      <c r="C1" s="829">
        <v>-14</v>
      </c>
      <c r="D1" s="829">
        <v>-13</v>
      </c>
      <c r="E1" s="829">
        <f>D1+1</f>
        <v>-12</v>
      </c>
      <c r="F1" s="829">
        <f t="shared" ref="F1:AE1" si="0">E1+1</f>
        <v>-11</v>
      </c>
      <c r="G1" s="829"/>
      <c r="H1" s="829">
        <f>F1+1</f>
        <v>-10</v>
      </c>
      <c r="I1" s="829">
        <f t="shared" si="0"/>
        <v>-9</v>
      </c>
      <c r="J1" s="829">
        <f t="shared" si="0"/>
        <v>-8</v>
      </c>
      <c r="K1" s="829">
        <f t="shared" si="0"/>
        <v>-7</v>
      </c>
      <c r="L1" s="829"/>
      <c r="M1" s="829">
        <f>K1+1</f>
        <v>-6</v>
      </c>
      <c r="N1" s="829">
        <f t="shared" si="0"/>
        <v>-5</v>
      </c>
      <c r="O1" s="829">
        <f t="shared" si="0"/>
        <v>-4</v>
      </c>
      <c r="P1" s="829">
        <f t="shared" si="0"/>
        <v>-3</v>
      </c>
      <c r="Q1" s="829"/>
      <c r="R1" s="829">
        <f>P1+1</f>
        <v>-2</v>
      </c>
      <c r="S1" s="829">
        <f t="shared" si="0"/>
        <v>-1</v>
      </c>
      <c r="T1" s="829">
        <f t="shared" si="0"/>
        <v>0</v>
      </c>
      <c r="U1" s="829">
        <f t="shared" si="0"/>
        <v>1</v>
      </c>
      <c r="V1" s="829"/>
      <c r="W1" s="829">
        <f>U1+1</f>
        <v>2</v>
      </c>
      <c r="X1" s="829">
        <f t="shared" si="0"/>
        <v>3</v>
      </c>
      <c r="Y1" s="829">
        <f t="shared" si="0"/>
        <v>4</v>
      </c>
      <c r="Z1" s="829">
        <f t="shared" si="0"/>
        <v>5</v>
      </c>
      <c r="AA1" s="829"/>
      <c r="AB1" s="829">
        <f>Z1+1</f>
        <v>6</v>
      </c>
      <c r="AC1" s="829">
        <f t="shared" si="0"/>
        <v>7</v>
      </c>
      <c r="AD1" s="829">
        <f t="shared" si="0"/>
        <v>8</v>
      </c>
      <c r="AE1" s="829">
        <f t="shared" si="0"/>
        <v>9</v>
      </c>
      <c r="AF1" s="829"/>
      <c r="AG1" s="829">
        <f>AE1+1</f>
        <v>10</v>
      </c>
      <c r="AH1" s="829">
        <f t="shared" ref="AH1:AJ1" si="1">AG1+1</f>
        <v>11</v>
      </c>
      <c r="AI1" s="829">
        <f t="shared" si="1"/>
        <v>12</v>
      </c>
      <c r="AJ1" s="829">
        <f t="shared" si="1"/>
        <v>13</v>
      </c>
      <c r="AK1" s="829"/>
      <c r="AL1" s="829">
        <f>AJ1+1</f>
        <v>14</v>
      </c>
      <c r="AM1" s="829">
        <f t="shared" ref="AM1:AO1" si="2">AL1+1</f>
        <v>15</v>
      </c>
      <c r="AN1" s="829">
        <f t="shared" si="2"/>
        <v>16</v>
      </c>
      <c r="AO1" s="829">
        <f t="shared" si="2"/>
        <v>17</v>
      </c>
      <c r="AP1" s="828"/>
    </row>
    <row r="2" spans="2:43">
      <c r="B2" s="828"/>
      <c r="C2" s="829" t="s">
        <v>461</v>
      </c>
      <c r="D2" s="829" t="s">
        <v>461</v>
      </c>
      <c r="E2" s="829" t="s">
        <v>462</v>
      </c>
      <c r="F2" s="829" t="s">
        <v>463</v>
      </c>
      <c r="G2" s="829"/>
      <c r="H2" s="830" t="s">
        <v>464</v>
      </c>
      <c r="I2" s="829" t="s">
        <v>461</v>
      </c>
      <c r="J2" s="829" t="s">
        <v>462</v>
      </c>
      <c r="K2" s="829" t="s">
        <v>463</v>
      </c>
      <c r="L2" s="829"/>
      <c r="M2" s="830" t="s">
        <v>464</v>
      </c>
      <c r="N2" s="829" t="s">
        <v>461</v>
      </c>
      <c r="O2" s="829" t="s">
        <v>462</v>
      </c>
      <c r="P2" s="829" t="s">
        <v>463</v>
      </c>
      <c r="Q2" s="829"/>
      <c r="R2" s="830" t="s">
        <v>464</v>
      </c>
      <c r="S2" s="829" t="s">
        <v>461</v>
      </c>
      <c r="T2" s="829" t="s">
        <v>462</v>
      </c>
      <c r="U2" s="829" t="s">
        <v>463</v>
      </c>
      <c r="V2" s="829"/>
      <c r="W2" s="830" t="s">
        <v>464</v>
      </c>
      <c r="X2" s="829" t="s">
        <v>461</v>
      </c>
      <c r="Y2" s="829" t="s">
        <v>462</v>
      </c>
      <c r="Z2" s="829" t="s">
        <v>463</v>
      </c>
      <c r="AA2" s="829"/>
      <c r="AB2" s="830" t="s">
        <v>464</v>
      </c>
      <c r="AC2" s="829" t="s">
        <v>461</v>
      </c>
      <c r="AD2" s="829" t="s">
        <v>462</v>
      </c>
      <c r="AE2" s="829" t="s">
        <v>463</v>
      </c>
      <c r="AF2" s="829"/>
      <c r="AG2" s="830" t="s">
        <v>464</v>
      </c>
      <c r="AH2" s="829" t="s">
        <v>461</v>
      </c>
      <c r="AI2" s="829" t="s">
        <v>462</v>
      </c>
      <c r="AJ2" s="752" t="s">
        <v>463</v>
      </c>
      <c r="AK2" s="752"/>
      <c r="AL2" s="830" t="s">
        <v>464</v>
      </c>
      <c r="AM2" s="829" t="s">
        <v>461</v>
      </c>
      <c r="AN2" s="829" t="s">
        <v>462</v>
      </c>
      <c r="AO2" s="752" t="s">
        <v>463</v>
      </c>
      <c r="AP2" s="828"/>
    </row>
    <row r="3" spans="2:43">
      <c r="B3" s="828"/>
      <c r="C3" s="829">
        <v>2020</v>
      </c>
      <c r="D3" s="829">
        <v>2020</v>
      </c>
      <c r="E3" s="829">
        <v>2020</v>
      </c>
      <c r="F3" s="829">
        <v>2020</v>
      </c>
      <c r="G3" s="829"/>
      <c r="H3" s="829">
        <v>2021</v>
      </c>
      <c r="I3" s="829">
        <f>D3+1</f>
        <v>2021</v>
      </c>
      <c r="J3" s="829">
        <f>E3+1</f>
        <v>2021</v>
      </c>
      <c r="K3" s="829">
        <f>F3+1</f>
        <v>2021</v>
      </c>
      <c r="L3" s="829"/>
      <c r="M3" s="829">
        <f>H3+1</f>
        <v>2022</v>
      </c>
      <c r="N3" s="829">
        <f>I3+1</f>
        <v>2022</v>
      </c>
      <c r="O3" s="829">
        <f t="shared" ref="O3" si="3">J3+1</f>
        <v>2022</v>
      </c>
      <c r="P3" s="829">
        <f t="shared" ref="P3" si="4">K3+1</f>
        <v>2022</v>
      </c>
      <c r="Q3" s="829"/>
      <c r="R3" s="829">
        <f>M3+1</f>
        <v>2023</v>
      </c>
      <c r="S3" s="829">
        <f>N3+1</f>
        <v>2023</v>
      </c>
      <c r="T3" s="829">
        <f t="shared" ref="T3" si="5">O3+1</f>
        <v>2023</v>
      </c>
      <c r="U3" s="829">
        <f t="shared" ref="U3" si="6">P3+1</f>
        <v>2023</v>
      </c>
      <c r="V3" s="829"/>
      <c r="W3" s="829">
        <f>R3+1</f>
        <v>2024</v>
      </c>
      <c r="X3" s="829">
        <f>S3+1</f>
        <v>2024</v>
      </c>
      <c r="Y3" s="829">
        <f t="shared" ref="Y3" si="7">T3+1</f>
        <v>2024</v>
      </c>
      <c r="Z3" s="829">
        <f t="shared" ref="Z3" si="8">U3+1</f>
        <v>2024</v>
      </c>
      <c r="AA3" s="829"/>
      <c r="AB3" s="829">
        <f>W3+1</f>
        <v>2025</v>
      </c>
      <c r="AC3" s="829">
        <f>X3+1</f>
        <v>2025</v>
      </c>
      <c r="AD3" s="829">
        <f t="shared" ref="AD3" si="9">Y3+1</f>
        <v>2025</v>
      </c>
      <c r="AE3" s="829">
        <f t="shared" ref="AE3" si="10">Z3+1</f>
        <v>2025</v>
      </c>
      <c r="AF3" s="829"/>
      <c r="AG3" s="829">
        <f>AB3+1</f>
        <v>2026</v>
      </c>
      <c r="AH3" s="829">
        <f>AC3+1</f>
        <v>2026</v>
      </c>
      <c r="AI3" s="829">
        <f>AD3+1</f>
        <v>2026</v>
      </c>
      <c r="AJ3" s="829">
        <f>AE3+1</f>
        <v>2026</v>
      </c>
      <c r="AK3" s="829"/>
      <c r="AL3" s="829">
        <f>AG3+1</f>
        <v>2027</v>
      </c>
      <c r="AM3" s="829">
        <f>AH3+1</f>
        <v>2027</v>
      </c>
      <c r="AN3" s="829">
        <f t="shared" ref="AN3" si="11">AI3+1</f>
        <v>2027</v>
      </c>
      <c r="AO3" s="829">
        <f t="shared" ref="AO3" si="12">AJ3+1</f>
        <v>2027</v>
      </c>
      <c r="AP3" s="828"/>
    </row>
    <row r="4" spans="2:43">
      <c r="C4" s="566" t="str">
        <f>C2&amp;"FY"&amp;C3</f>
        <v>Q2FY2020</v>
      </c>
      <c r="D4" s="566" t="str">
        <f>D2&amp;"FY"&amp;D3</f>
        <v>Q2FY2020</v>
      </c>
      <c r="E4" s="566" t="str">
        <f t="shared" ref="E4:T4" si="13">E2&amp;"FY"&amp;E3</f>
        <v>Q3FY2020</v>
      </c>
      <c r="F4" s="566" t="str">
        <f t="shared" si="13"/>
        <v>Q4FY2020</v>
      </c>
      <c r="G4" s="566" t="s">
        <v>820</v>
      </c>
      <c r="H4" s="566" t="str">
        <f t="shared" si="13"/>
        <v>Q1FY2021</v>
      </c>
      <c r="I4" s="566" t="str">
        <f t="shared" si="13"/>
        <v>Q2FY2021</v>
      </c>
      <c r="J4" s="566" t="str">
        <f t="shared" si="13"/>
        <v>Q3FY2021</v>
      </c>
      <c r="K4" s="566" t="str">
        <f t="shared" si="13"/>
        <v>Q4FY2021</v>
      </c>
      <c r="L4" s="566" t="s">
        <v>821</v>
      </c>
      <c r="M4" s="566" t="str">
        <f t="shared" si="13"/>
        <v>Q1FY2022</v>
      </c>
      <c r="N4" s="566" t="str">
        <f t="shared" si="13"/>
        <v>Q2FY2022</v>
      </c>
      <c r="O4" s="566" t="str">
        <f t="shared" si="13"/>
        <v>Q3FY2022</v>
      </c>
      <c r="P4" s="566" t="str">
        <f t="shared" si="13"/>
        <v>Q4FY2022</v>
      </c>
      <c r="Q4" s="566" t="s">
        <v>822</v>
      </c>
      <c r="R4" s="566" t="str">
        <f t="shared" si="13"/>
        <v>Q1FY2023</v>
      </c>
      <c r="S4" s="566" t="str">
        <f t="shared" si="13"/>
        <v>Q2FY2023</v>
      </c>
      <c r="T4" s="566" t="str">
        <f t="shared" si="13"/>
        <v>Q3FY2023</v>
      </c>
      <c r="U4" s="566" t="str">
        <f t="shared" ref="U4:AO4" si="14">U2&amp;"FY"&amp;U3&amp;"E"</f>
        <v>Q4FY2023E</v>
      </c>
      <c r="V4" s="566" t="s">
        <v>827</v>
      </c>
      <c r="W4" s="566" t="str">
        <f t="shared" si="14"/>
        <v>Q1FY2024E</v>
      </c>
      <c r="X4" s="566" t="str">
        <f t="shared" si="14"/>
        <v>Q2FY2024E</v>
      </c>
      <c r="Y4" s="566" t="str">
        <f t="shared" si="14"/>
        <v>Q3FY2024E</v>
      </c>
      <c r="Z4" s="566" t="str">
        <f t="shared" si="14"/>
        <v>Q4FY2024E</v>
      </c>
      <c r="AA4" s="566" t="s">
        <v>826</v>
      </c>
      <c r="AB4" s="566" t="str">
        <f t="shared" si="14"/>
        <v>Q1FY2025E</v>
      </c>
      <c r="AC4" s="566" t="str">
        <f t="shared" si="14"/>
        <v>Q2FY2025E</v>
      </c>
      <c r="AD4" s="566" t="str">
        <f t="shared" si="14"/>
        <v>Q3FY2025E</v>
      </c>
      <c r="AE4" s="566" t="str">
        <f t="shared" si="14"/>
        <v>Q4FY2025E</v>
      </c>
      <c r="AF4" s="566" t="s">
        <v>825</v>
      </c>
      <c r="AG4" s="566" t="str">
        <f t="shared" si="14"/>
        <v>Q1FY2026E</v>
      </c>
      <c r="AH4" s="566" t="str">
        <f t="shared" si="14"/>
        <v>Q2FY2026E</v>
      </c>
      <c r="AI4" s="566" t="str">
        <f t="shared" si="14"/>
        <v>Q3FY2026E</v>
      </c>
      <c r="AJ4" s="566" t="str">
        <f t="shared" si="14"/>
        <v>Q4FY2026E</v>
      </c>
      <c r="AK4" s="566" t="s">
        <v>824</v>
      </c>
      <c r="AL4" s="566" t="str">
        <f t="shared" si="14"/>
        <v>Q1FY2027E</v>
      </c>
      <c r="AM4" s="566" t="str">
        <f t="shared" si="14"/>
        <v>Q2FY2027E</v>
      </c>
      <c r="AN4" s="566" t="str">
        <f t="shared" si="14"/>
        <v>Q3FY2027E</v>
      </c>
      <c r="AO4" s="566" t="str">
        <f t="shared" si="14"/>
        <v>Q4FY2027E</v>
      </c>
      <c r="AP4" s="566" t="s">
        <v>823</v>
      </c>
    </row>
    <row r="5" spans="2:43">
      <c r="L5" s="154"/>
      <c r="V5" s="154"/>
    </row>
    <row r="6" spans="2:43">
      <c r="B6" t="s">
        <v>465</v>
      </c>
      <c r="C6" s="445" cm="1">
        <f t="array" ref="C6">_xll.BQL("SEG0000396897 Segment", "SALES_REV_TURN/1M", "FPT=Q", "FPO="&amp;C1&amp;"Q", "ACT_EST_MAPPING=PRECISE", "FS=MRC", "CURRENCY=USD", "XLFILL=b")</f>
        <v>0</v>
      </c>
      <c r="D6" s="445" cm="1">
        <f t="array" ref="D6">_xll.BQL("SEG0000396897 Segment", "SALES_REV_TURN/1M", "FPT=Q", "FPO="&amp;D1&amp;"Q", "ACT_EST_MAPPING=PRECISE", "FS=MRC", "CURRENCY=USD", "XLFILL=b")</f>
        <v>226</v>
      </c>
      <c r="E6" s="445" cm="1">
        <f t="array" ref="E6">_xll.BQL("SEG0000396897 Segment", "SALES_REV_TURN/1M", "FPT=Q", "FPO="&amp;E1&amp;"Q", "ACT_EST_MAPPING=PRECISE", "FS=MRC", "CURRENCY=USD", "XLFILL=b")</f>
        <v>393</v>
      </c>
      <c r="F6" s="445" cm="1">
        <f t="array" ref="F6">_xll.BQL("SEG0000396897 Segment", "SALES_REV_TURN/1M", "FPT=Q", "FPO="&amp;F1&amp;"Q", "ACT_EST_MAPPING=PRECISE", "FS=MRC", "CURRENCY=USD", "XLFILL=b")</f>
        <v>493</v>
      </c>
      <c r="G6" s="445"/>
      <c r="H6" s="445" cm="1">
        <f t="array" ref="H6">_xll.BQL("SEG0000396897 Segment", "SALES_REV_TURN/1M", "FPT=Q", "FPO="&amp;H1&amp;"Q", "ACT_EST_MAPPING=PRECISE", "FS=MRC", "CURRENCY=USD", "XLFILL=b")</f>
        <v>477</v>
      </c>
      <c r="I6" s="445" cm="1">
        <f t="array" ref="I6">_xll.BQL("SEG0000396897 Segment", "SALES_REV_TURN/1M", "FPT=Q", "FPO="&amp;I1&amp;"Q", "ACT_EST_MAPPING=PRECISE", "FS=MRC", "CURRENCY=USD", "XLFILL=b")</f>
        <v>584</v>
      </c>
      <c r="J6" s="445" cm="1">
        <f t="array" ref="J6">_xll.BQL("SEG0000396897 Segment", "SALES_REV_TURN/1M", "FPT=Q", "FPO="&amp;J1&amp;"Q", "ACT_EST_MAPPING=PRECISE", "FS=MRC", "CURRENCY=USD", "XLFILL=b")</f>
        <v>545</v>
      </c>
      <c r="K6" s="445" cm="1">
        <f t="array" ref="K6">_xll.BQL("SEG0000396897 Segment", "SALES_REV_TURN/1M", "FPT=Q", "FPO="&amp;K1&amp;"Q", "ACT_EST_MAPPING=PRECISE", "FS=MRC", "CURRENCY=USD", "XLFILL=b")</f>
        <v>626</v>
      </c>
      <c r="L6" s="71">
        <f>SUM(H6:K6)</f>
        <v>2232</v>
      </c>
      <c r="M6" s="445" cm="1">
        <f t="array" ref="M6">_xll.BQL("SEG0000396897 Segment", "SALES_REV_TURN/1M", "FPT=Q", "FPO="&amp;M1&amp;"Q", "ACT_EST_MAPPING=PRECISE", "FS=MRC", "CURRENCY=USD", "XLFILL=b")</f>
        <v>641</v>
      </c>
      <c r="N6" s="445" cm="1">
        <f t="array" ref="N6">_xll.BQL("SEG0000396897 Segment", "SALES_REV_TURN/1M", "FPT=Q", "FPO="&amp;N1&amp;"Q", "ACT_EST_MAPPING=PRECISE", "FS=MRC", "CURRENCY=USD", "XLFILL=b")</f>
        <v>695</v>
      </c>
      <c r="O6" s="445" cm="1">
        <f t="array" ref="O6">_xll.BQL("SEG0000396897 Segment", "SALES_REV_TURN/1M", "FPT=Q", "FPO="&amp;O1&amp;"Q", "ACT_EST_MAPPING=PRECISE", "FS=MRC", "CURRENCY=USD", "XLFILL=b")</f>
        <v>637</v>
      </c>
      <c r="P6" s="445" cm="1">
        <f t="array" ref="P6">_xll.BQL("SEG0000396897 Segment", "SALES_REV_TURN/1M", "FPT=Q", "FPO="&amp;P1&amp;"Q", "ACT_EST_MAPPING=PRECISE", "FS=MRC", "CURRENCY=USD", "XLFILL=b")</f>
        <v>642</v>
      </c>
      <c r="Q6" s="71">
        <f>SUM(M6:P6)</f>
        <v>2615</v>
      </c>
      <c r="R6" s="445" cm="1">
        <f t="array" ref="R6">_xll.BQL("SEG0000396897 Segment", "SALES_REV_TURN/1M", "FPT=Q", "FPO="&amp;R1&amp;"Q", "ACT_EST_MAPPING=PRECISE", "FS=MRC", "CURRENCY=USD", "XLFILL=b")</f>
        <v>659</v>
      </c>
      <c r="S6" s="445" cm="1">
        <f t="array" ref="S6">_xll.BQL("SEG0000396897 Segment", "SALES_REV_TURN/1M", "FPT=Q", "FPO="&amp;S1&amp;"Q", "ACT_EST_MAPPING=PRECISE", "FS=MRC", "CURRENCY=USD", "XLFILL=b")</f>
        <v>685</v>
      </c>
      <c r="T6" s="445" cm="1">
        <f t="array" ref="T6">_xll.BQL("SEG0000396897 Segment", "SALES_REV_TURN/1M", "FPT=Q", "FPO="&amp;T1&amp;"Q", "ACT_EST_MAPPING=PRECISE", "FS=MRC", "CURRENCY=USD", "XLFILL=b")</f>
        <v>620</v>
      </c>
      <c r="U6" s="445" cm="1">
        <f t="array" ref="U6">_xll.BQL("SEG0000396897 Segment", "SALES_REV_TURN/1M", "FPT=Q", "FPO="&amp;U1&amp;"Q", "ACT_EST_MAPPING=PRECISE", "FS=MRC", "CURRENCY=USD", "XLFILL=b")</f>
        <v>668.16978371936227</v>
      </c>
      <c r="V6" s="71">
        <f>SUM(R6:U6)</f>
        <v>2632.1697837193624</v>
      </c>
      <c r="W6" s="445" cm="1">
        <f t="array" ref="W6">_xll.BQL("SEG0000396897 Segment", "SALES_REV_TURN/1M", "FPT=Q", "FPO="&amp;W1&amp;"Q", "ACT_EST_MAPPING=PRECISE", "FS=MRC", "CURRENCY=USD", "XLFILL=b")</f>
        <v>701.90428571428572</v>
      </c>
      <c r="X6" s="445" cm="1">
        <f t="array" ref="X6">_xll.BQL("SEG0000396897 Segment", "SALES_REV_TURN/1M", "FPT=Q", "FPO="&amp;X1&amp;"Q", "ACT_EST_MAPPING=PRECISE", "FS=MRC", "CURRENCY=USD", "XLFILL=b")</f>
        <v>742.95</v>
      </c>
      <c r="Y6" s="445" cm="1">
        <f t="array" ref="Y6">_xll.BQL("SEG0000396897 Segment", "SALES_REV_TURN/1M", "FPT=Q", "FPO="&amp;Y1&amp;"Q", "ACT_EST_MAPPING=PRECISE", "FS=MRC", "CURRENCY=USD", "XLFILL=b")</f>
        <v>680.4457142857143</v>
      </c>
      <c r="Z6" s="445" cm="1">
        <f t="array" ref="Z6">_xll.BQL("SEG0000396897 Segment", "SALES_REV_TURN/1M", "FPT=Q", "FPO="&amp;Z1&amp;"Q", "ACT_EST_MAPPING=PRECISE", "FS=MRC", "CURRENCY=USD", "XLFILL=b")</f>
        <v>738.93548333069714</v>
      </c>
      <c r="AA6" s="71">
        <f>SUM(W6:Z6)</f>
        <v>2864.2354833306972</v>
      </c>
      <c r="AB6" s="445" cm="1">
        <f t="array" ref="AB6">_xll.BQL("SEG0000396897 Segment", "SALES_REV_TURN/1M", "FPT=Q", "FPO="&amp;AB1&amp;"Q", "ACT_EST_MAPPING=PRECISE", "FS=MRC", "CURRENCY=USD", "XLFILL=b")</f>
        <v>783.39099999999996</v>
      </c>
      <c r="AC6" s="445" cm="1">
        <f t="array" ref="AC6">_xll.BQL("SEG0000396897 Segment", "SALES_REV_TURN/1M", "FPT=Q", "FPO="&amp;AC1&amp;"Q", "ACT_EST_MAPPING=PRECISE", "FS=MRC", "CURRENCY=USD", "XLFILL=b")</f>
        <v>825.71</v>
      </c>
      <c r="AD6" s="445" cm="1">
        <f t="array" ref="AD6">_xll.BQL("SEG0000396897 Segment", "SALES_REV_TURN/1M", "FPT=Q", "FPO="&amp;AD1&amp;"Q", "ACT_EST_MAPPING=PRECISE", "FS=MRC", "CURRENCY=USD", "XLFILL=b")</f>
        <v>737.11599999999999</v>
      </c>
      <c r="AE6" s="445" cm="1">
        <f t="array" ref="AE6">_xll.BQL("SEG0000396897 Segment", "SALES_REV_TURN/1M", "FPT=Q", "FPO="&amp;AE1&amp;"Q", "ACT_EST_MAPPING=PRECISE", "FS=MRC", "CURRENCY=USD", "XLFILL=b")</f>
        <v>829.27014924031187</v>
      </c>
      <c r="AF6" s="71">
        <f>SUM(AB6:AE6)</f>
        <v>3175.4871492403117</v>
      </c>
      <c r="AG6" s="445" cm="1">
        <f t="array" ref="AG6">_xll.BQL("SEG0000396897 Segment", "SALES_REV_TURN/1M", "FPT=Q", "FPO="&amp;AG1&amp;"Q", "ACT_EST_MAPPING=PRECISE", "FS=MRC", "CURRENCY=USD", "XLFILL=b")</f>
        <v>842.49530000000016</v>
      </c>
      <c r="AH6" s="445" cm="1">
        <f t="array" ref="AH6">_xll.BQL("SEG0000396897 Segment", "SALES_REV_TURN/1M", "FPT=Q", "FPO="&amp;AH1&amp;"Q", "ACT_EST_MAPPING=PRECISE", "FS=MRC", "CURRENCY=USD", "XLFILL=b")</f>
        <v>888.29425000000015</v>
      </c>
      <c r="AI6" s="445" cm="1">
        <f t="array" ref="AI6">_xll.BQL("SEG0000396897 Segment", "SALES_REV_TURN/1M", "FPT=Q", "FPO="&amp;AI1&amp;"Q", "ACT_EST_MAPPING=PRECISE", "FS=MRC", "CURRENCY=USD", "XLFILL=b")</f>
        <v>792.72680000000003</v>
      </c>
      <c r="AJ6" s="445" cm="1">
        <f t="array" ref="AJ6">_xll.BQL("SEG0000396897 Segment", "SALES_REV_TURN/1M", "FPT=Q", "FPO="&amp;AJ1&amp;"Q", "ACT_EST_MAPPING=PRECISE", "FS=MRC", "CURRENCY=USD", "XLFILL=b")</f>
        <v>892.20065170232726</v>
      </c>
      <c r="AK6" s="71">
        <f>SUM(AG6:AJ6)</f>
        <v>3415.7170017023277</v>
      </c>
      <c r="AL6" s="445" cm="1">
        <f t="array" ref="AL6">_xll.BQL("SEG0000396897 Segment", "SALES_REV_TURN/1M", "FPT=Q", "FPO="&amp;AL1&amp;"Q", "ACT_EST_MAPPING=PRECISE", "FS=MRC", "CURRENCY=USD", "XLFILL=b")</f>
        <v>906.54829000000007</v>
      </c>
      <c r="AM6" s="445" cm="1">
        <f t="array" ref="AM6">_xll.BQL("SEG0000396897 Segment", "SALES_REV_TURN/1M", "FPT=Q", "FPO="&amp;AM1&amp;"Q", "ACT_EST_MAPPING=PRECISE", "FS=MRC", "CURRENCY=USD", "XLFILL=b")</f>
        <v>956.13758750000022</v>
      </c>
      <c r="AN6" s="445" cm="1">
        <f t="array" ref="AN6">_xll.BQL("SEG0000396897 Segment", "SALES_REV_TURN/1M", "FPT=Q", "FPO="&amp;AN1&amp;"Q", "ACT_EST_MAPPING=PRECISE", "FS=MRC", "CURRENCY=USD", "XLFILL=b")</f>
        <v>852.99364000000025</v>
      </c>
      <c r="AO6" s="445" cm="1">
        <f t="array" ref="AO6">_xll.BQL("SEG0000396897 Segment", "SALES_REV_TURN/1M", "FPT=Q", "FPO="&amp;AO1&amp;"Q", "ACT_EST_MAPPING=PRECISE", "FS=MRC", "CURRENCY=USD", "XLFILL=b")</f>
        <v>960.42437878744386</v>
      </c>
      <c r="AP6" s="71">
        <f>SUM(AL6:AO6)</f>
        <v>3676.1038962874445</v>
      </c>
      <c r="AQ6" s="557" t="str" cm="1">
        <f t="array" ref="AQ6">_xll.BQL("SEG0000396897 Segment", "SALES_REV_TURN/1M", "FPT=Q", "FPO="&amp;AQ1&amp;"Q", "ACT_EST_MAPPING=PRECISE", "FS=MRC", "CURRENCY=USD", "XLFILL=b")</f>
        <v/>
      </c>
    </row>
    <row r="7" spans="2:43">
      <c r="B7" s="58" t="s">
        <v>467</v>
      </c>
      <c r="C7" s="75"/>
      <c r="D7" s="75"/>
      <c r="E7" s="75"/>
      <c r="F7" s="75"/>
      <c r="G7" s="75"/>
      <c r="H7" s="75"/>
      <c r="I7" s="75">
        <f>I6/D6-1</f>
        <v>1.584070796460177</v>
      </c>
      <c r="J7" s="75">
        <f>J6/E6-1</f>
        <v>0.38676844783715003</v>
      </c>
      <c r="K7" s="75">
        <f>K6/F6-1</f>
        <v>0.26977687626774838</v>
      </c>
      <c r="L7" s="585" t="e">
        <f>L6/G6-1</f>
        <v>#DIV/0!</v>
      </c>
      <c r="M7" s="75">
        <f>M6/H6-1</f>
        <v>0.34381551362683438</v>
      </c>
      <c r="N7" s="75">
        <f>N6/I6-1</f>
        <v>0.19006849315068486</v>
      </c>
      <c r="O7" s="75">
        <f>O6/J6-1</f>
        <v>0.16880733944954129</v>
      </c>
      <c r="P7" s="75">
        <f>P6/K6-1</f>
        <v>2.5559105431310014E-2</v>
      </c>
      <c r="Q7" s="585">
        <f>Q6/L6-1</f>
        <v>0.17159498207885315</v>
      </c>
      <c r="R7" s="75">
        <f>R6/M6-1</f>
        <v>2.808112324492984E-2</v>
      </c>
      <c r="S7" s="75">
        <f>S6/N6-1</f>
        <v>-1.4388489208633115E-2</v>
      </c>
      <c r="T7" s="75">
        <f>T6/O6-1</f>
        <v>-2.6687598116169498E-2</v>
      </c>
      <c r="U7" s="75">
        <f>U6/P6-1</f>
        <v>4.0762902989660788E-2</v>
      </c>
      <c r="V7" s="585">
        <f>V6/Q6-1</f>
        <v>6.5658828754731058E-3</v>
      </c>
      <c r="W7" s="75">
        <f>W6/R6-1</f>
        <v>6.5105137654454914E-2</v>
      </c>
      <c r="X7" s="75">
        <f>X6/S6-1</f>
        <v>8.4598540145985446E-2</v>
      </c>
      <c r="Y7" s="75">
        <f>Y6/T6-1</f>
        <v>9.7493087557603664E-2</v>
      </c>
      <c r="Z7" s="75">
        <f>Z6/U6-1</f>
        <v>0.10590975727369489</v>
      </c>
      <c r="AA7" s="585">
        <f>AA6/V6-1</f>
        <v>8.8165171200854875E-2</v>
      </c>
      <c r="AB7" s="75">
        <f>AB6/W6-1</f>
        <v>0.11609376939875804</v>
      </c>
      <c r="AC7" s="75">
        <f>AC6/X6-1</f>
        <v>0.11139376808668144</v>
      </c>
      <c r="AD7" s="75">
        <f>AD6/Y6-1</f>
        <v>8.3284065906380711E-2</v>
      </c>
      <c r="AE7" s="75">
        <f>AE6/Z6-1</f>
        <v>0.12224973349829926</v>
      </c>
      <c r="AF7" s="585">
        <f>AF6/AA6-1</f>
        <v>0.1086683227412828</v>
      </c>
      <c r="AG7" s="75">
        <f>AG6/AB6-1</f>
        <v>7.5446743707803909E-2</v>
      </c>
      <c r="AH7" s="75">
        <f>AH6/AC6-1</f>
        <v>7.5794467791355347E-2</v>
      </c>
      <c r="AI7" s="75">
        <f>AI6/AD6-1</f>
        <v>7.544375647794932E-2</v>
      </c>
      <c r="AJ7" s="75">
        <f>AJ6/AE6-1</f>
        <v>7.5886612486492533E-2</v>
      </c>
      <c r="AK7" s="585">
        <f>AK6/AF6-1</f>
        <v>7.5651338258285072E-2</v>
      </c>
      <c r="AL7" s="75">
        <f>AL6/AG6-1</f>
        <v>7.6027711964683942E-2</v>
      </c>
      <c r="AM7" s="75">
        <f>AM6/AH6-1</f>
        <v>7.6374847073478191E-2</v>
      </c>
      <c r="AN7" s="75">
        <f>AN6/AI6-1</f>
        <v>7.6024728822086329E-2</v>
      </c>
      <c r="AO7" s="75">
        <f>AO6/AJ6-1</f>
        <v>7.6466798085100152E-2</v>
      </c>
      <c r="AP7" s="585">
        <f>AP6/AK6-1</f>
        <v>7.6231987150968683E-2</v>
      </c>
    </row>
    <row r="8" spans="2:43">
      <c r="B8" t="s">
        <v>466</v>
      </c>
      <c r="C8" s="445" cm="1">
        <f t="array" ref="C8">_xll.BQL("SEG0000396898 Segment", "SALES_REV_TURN/1M", "FPT=Q", "FPO="&amp;C1&amp;"Q", "ACT_EST_MAPPING=PRECISE", "FS=MRC", "CURRENCY=USD", "XLFILL=b")</f>
        <v>0</v>
      </c>
      <c r="D8" s="445" cm="1">
        <f t="array" ref="D8">_xll.BQL("SEG0000396898 Segment", "SALES_REV_TURN/1M", "FPT=Q", "FPO="&amp;D1&amp;"Q", "ACT_EST_MAPPING=PRECISE", "FS=MRC", "CURRENCY=USD", "XLFILL=b")</f>
        <v>113</v>
      </c>
      <c r="E8" s="445" cm="1">
        <f t="array" ref="E8">_xll.BQL("SEG0000396898 Segment", "SALES_REV_TURN/1M", "FPT=Q", "FPO="&amp;E1&amp;"Q", "ACT_EST_MAPPING=PRECISE", "FS=MRC", "CURRENCY=USD", "XLFILL=b")</f>
        <v>274</v>
      </c>
      <c r="F8" s="445" cm="1">
        <f t="array" ref="F8">_xll.BQL("SEG0000396898 Segment", "SALES_REV_TURN/1M", "FPT=Q", "FPO="&amp;F1&amp;"Q", "ACT_EST_MAPPING=PRECISE", "FS=MRC", "CURRENCY=USD", "XLFILL=b")</f>
        <v>331</v>
      </c>
      <c r="G8" s="445"/>
      <c r="H8" s="445" cm="1">
        <f t="array" ref="H8">_xll.BQL("SEG0000396898 Segment", "SALES_REV_TURN/1M", "FPT=Q", "FPO="&amp;H1&amp;"Q", "ACT_EST_MAPPING=PRECISE", "FS=MRC", "CURRENCY=USD", "XLFILL=b")</f>
        <v>321</v>
      </c>
      <c r="I8" s="445" cm="1">
        <f t="array" ref="I8">_xll.BQL("SEG0000396898 Segment", "SALES_REV_TURN/1M", "FPT=Q", "FPO="&amp;I1&amp;"Q", "ACT_EST_MAPPING=PRECISE", "FS=MRC", "CURRENCY=USD", "XLFILL=b")</f>
        <v>428</v>
      </c>
      <c r="J8" s="445" cm="1">
        <f t="array" ref="J8">_xll.BQL("SEG0000396898 Segment", "SALES_REV_TURN/1M", "FPT=Q", "FPO="&amp;J1&amp;"Q", "ACT_EST_MAPPING=PRECISE", "FS=MRC", "CURRENCY=USD", "XLFILL=b")</f>
        <v>354</v>
      </c>
      <c r="K8" s="445" cm="1">
        <f t="array" ref="K8">_xll.BQL("SEG0000396898 Segment", "SALES_REV_TURN/1M", "FPT=Q", "FPO="&amp;K1&amp;"Q", "ACT_EST_MAPPING=PRECISE", "FS=MRC", "CURRENCY=USD", "XLFILL=b")</f>
        <v>432</v>
      </c>
      <c r="L8" s="71">
        <f>SUM(H8:K8)</f>
        <v>1535</v>
      </c>
      <c r="M8" s="445" cm="1">
        <f t="array" ref="M8">_xll.BQL("SEG0000396898 Segment", "SALES_REV_TURN/1M", "FPT=Q", "FPO="&amp;M1&amp;"Q", "ACT_EST_MAPPING=PRECISE", "FS=MRC", "CURRENCY=USD", "XLFILL=b")</f>
        <v>410</v>
      </c>
      <c r="N8" s="445" cm="1">
        <f t="array" ref="N8">_xll.BQL("SEG0000396898 Segment", "SALES_REV_TURN/1M", "FPT=Q", "FPO="&amp;N1&amp;"Q", "ACT_EST_MAPPING=PRECISE", "FS=MRC", "CURRENCY=USD", "XLFILL=b")</f>
        <v>344</v>
      </c>
      <c r="O8" s="445" cm="1">
        <f t="array" ref="O8">_xll.BQL("SEG0000396898 Segment", "SALES_REV_TURN/1M", "FPT=Q", "FPO="&amp;O1&amp;"Q", "ACT_EST_MAPPING=PRECISE", "FS=MRC", "CURRENCY=USD", "XLFILL=b")</f>
        <v>352</v>
      </c>
      <c r="P8" s="445" cm="1">
        <f t="array" ref="P8">_xll.BQL("SEG0000396898 Segment", "SALES_REV_TURN/1M", "FPT=Q", "FPO="&amp;P1&amp;"Q", "ACT_EST_MAPPING=PRECISE", "FS=MRC", "CURRENCY=USD", "XLFILL=b")</f>
        <v>322</v>
      </c>
      <c r="Q8" s="71">
        <f>SUM(M8:P8)</f>
        <v>1428</v>
      </c>
      <c r="R8" s="445" cm="1">
        <f t="array" ref="R8">_xll.BQL("SEG0000396898 Segment", "SALES_REV_TURN/1M", "FPT=Q", "FPO="&amp;R1&amp;"Q", "ACT_EST_MAPPING=PRECISE", "FS=MRC", "CURRENCY=USD", "XLFILL=b")</f>
        <v>355</v>
      </c>
      <c r="S8" s="445" cm="1">
        <f t="array" ref="S8">_xll.BQL("SEG0000396898 Segment", "SALES_REV_TURN/1M", "FPT=Q", "FPO="&amp;S1&amp;"Q", "ACT_EST_MAPPING=PRECISE", "FS=MRC", "CURRENCY=USD", "XLFILL=b")</f>
        <v>368</v>
      </c>
      <c r="T8" s="445" cm="1">
        <f t="array" ref="T8">_xll.BQL("SEG0000396898 Segment", "SALES_REV_TURN/1M", "FPT=Q", "FPO="&amp;T1&amp;"Q", "ACT_EST_MAPPING=PRECISE", "FS=MRC", "CURRENCY=USD", "XLFILL=b")</f>
        <v>321</v>
      </c>
      <c r="U8" s="445" cm="1">
        <f t="array" ref="U8">_xll.BQL("SEG0000396898 Segment", "SALES_REV_TURN/1M", "FPT=Q", "FPO="&amp;U1&amp;"Q", "ACT_EST_MAPPING=PRECISE", "FS=MRC", "CURRENCY=USD", "XLFILL=b")</f>
        <v>357.20221088434369</v>
      </c>
      <c r="V8" s="71">
        <f>SUM(R8:U8)</f>
        <v>1401.2022108843437</v>
      </c>
      <c r="W8" s="445" cm="1">
        <f t="array" ref="W8">_xll.BQL("SEG0000396898 Segment", "SALES_REV_TURN/1M", "FPT=Q", "FPO="&amp;W1&amp;"Q", "ACT_EST_MAPPING=PRECISE", "FS=MRC", "CURRENCY=USD", "XLFILL=b")</f>
        <v>374.05739584246095</v>
      </c>
      <c r="X8" s="445" cm="1">
        <f t="array" ref="X8">_xll.BQL("SEG0000396898 Segment", "SALES_REV_TURN/1M", "FPT=Q", "FPO="&amp;X1&amp;"Q", "ACT_EST_MAPPING=PRECISE", "FS=MRC", "CURRENCY=USD", "XLFILL=b")</f>
        <v>396.66254540603825</v>
      </c>
      <c r="Y8" s="445" cm="1">
        <f t="array" ref="Y8">_xll.BQL("SEG0000396898 Segment", "SALES_REV_TURN/1M", "FPT=Q", "FPO="&amp;Y1&amp;"Q", "ACT_EST_MAPPING=PRECISE", "FS=MRC", "CURRENCY=USD", "XLFILL=b")</f>
        <v>353.40161829863297</v>
      </c>
      <c r="Z8" s="445" cm="1">
        <f t="array" ref="Z8">_xll.BQL("SEG0000396898 Segment", "SALES_REV_TURN/1M", "FPT=Q", "FPO="&amp;Z1&amp;"Q", "ACT_EST_MAPPING=PRECISE", "FS=MRC", "CURRENCY=USD", "XLFILL=b")</f>
        <v>388.44595723505722</v>
      </c>
      <c r="AA8" s="71">
        <f>SUM(W8:Z8)</f>
        <v>1512.5675167821894</v>
      </c>
      <c r="AB8" s="445" cm="1">
        <f t="array" ref="AB8">_xll.BQL("SEG0000396898 Segment", "SALES_REV_TURN/1M", "FPT=Q", "FPO="&amp;AB1&amp;"Q", "ACT_EST_MAPPING=PRECISE", "FS=MRC", "CURRENCY=USD", "XLFILL=b")</f>
        <v>419.3856797210438</v>
      </c>
      <c r="AC8" s="445" cm="1">
        <f t="array" ref="AC8">_xll.BQL("SEG0000396898 Segment", "SALES_REV_TURN/1M", "FPT=Q", "FPO="&amp;AC1&amp;"Q", "ACT_EST_MAPPING=PRECISE", "FS=MRC", "CURRENCY=USD", "XLFILL=b")</f>
        <v>447.69835436719046</v>
      </c>
      <c r="AD8" s="445" cm="1">
        <f t="array" ref="AD8">_xll.BQL("SEG0000396898 Segment", "SALES_REV_TURN/1M", "FPT=Q", "FPO="&amp;AD1&amp;"Q", "ACT_EST_MAPPING=PRECISE", "FS=MRC", "CURRENCY=USD", "XLFILL=b")</f>
        <v>378.70944724747608</v>
      </c>
      <c r="AE8" s="445" cm="1">
        <f t="array" ref="AE8">_xll.BQL("SEG0000396898 Segment", "SALES_REV_TURN/1M", "FPT=Q", "FPO="&amp;AE1&amp;"Q", "ACT_EST_MAPPING=PRECISE", "FS=MRC", "CURRENCY=USD", "XLFILL=b")</f>
        <v>424.62160283883543</v>
      </c>
      <c r="AF8" s="71">
        <f>SUM(AB8:AE8)</f>
        <v>1670.4150841745459</v>
      </c>
      <c r="AG8" s="445" cm="1">
        <f t="array" ref="AG8">_xll.BQL("SEG0000396898 Segment", "SALES_REV_TURN/1M", "FPT=Q", "FPO="&amp;AG1&amp;"Q", "ACT_EST_MAPPING=PRECISE", "FS=MRC", "CURRENCY=USD", "XLFILL=b")</f>
        <v>451.13331370709597</v>
      </c>
      <c r="AH8" s="445" cm="1">
        <f t="array" ref="AH8">_xll.BQL("SEG0000396898 Segment", "SALES_REV_TURN/1M", "FPT=Q", "FPO="&amp;AH1&amp;"Q", "ACT_EST_MAPPING=PRECISE", "FS=MRC", "CURRENCY=USD", "XLFILL=b")</f>
        <v>481.95227208555002</v>
      </c>
      <c r="AI8" s="445" cm="1">
        <f t="array" ref="AI8">_xll.BQL("SEG0000396898 Segment", "SALES_REV_TURN/1M", "FPT=Q", "FPO="&amp;AI1&amp;"Q", "ACT_EST_MAPPING=PRECISE", "FS=MRC", "CURRENCY=USD", "XLFILL=b")</f>
        <v>407.35516960984995</v>
      </c>
      <c r="AJ8" s="445" cm="1">
        <f t="array" ref="AJ8">_xll.BQL("SEG0000396898 Segment", "SALES_REV_TURN/1M", "FPT=Q", "FPO="&amp;AJ1&amp;"Q", "ACT_EST_MAPPING=PRECISE", "FS=MRC", "CURRENCY=USD", "XLFILL=b")</f>
        <v>456.37363298077724</v>
      </c>
      <c r="AK8" s="71">
        <f>SUM(AG8:AJ8)</f>
        <v>1796.8143883832734</v>
      </c>
      <c r="AL8" s="445" cm="1">
        <f t="array" ref="AL8">_xll.BQL("SEG0000396898 Segment", "SALES_REV_TURN/1M", "FPT=Q", "FPO="&amp;AL1&amp;"Q", "ACT_EST_MAPPING=PRECISE", "FS=MRC", "CURRENCY=USD", "XLFILL=b")</f>
        <v>485.54616439245086</v>
      </c>
      <c r="AM8" s="445" cm="1">
        <f t="array" ref="AM8">_xll.BQL("SEG0000396898 Segment", "SALES_REV_TURN/1M", "FPT=Q", "FPO="&amp;AM1&amp;"Q", "ACT_EST_MAPPING=PRECISE", "FS=MRC", "CURRENCY=USD", "XLFILL=b")</f>
        <v>519.1057856898276</v>
      </c>
      <c r="AN8" s="445" cm="1">
        <f t="array" ref="AN8">_xll.BQL("SEG0000396898 Segment", "SALES_REV_TURN/1M", "FPT=Q", "FPO="&amp;AN1&amp;"Q", "ACT_EST_MAPPING=PRECISE", "FS=MRC", "CURRENCY=USD", "XLFILL=b")</f>
        <v>438.40420309034238</v>
      </c>
      <c r="AO8" s="445" cm="1">
        <f t="array" ref="AO8">_xll.BQL("SEG0000396898 Segment", "SALES_REV_TURN/1M", "FPT=Q", "FPO="&amp;AO1&amp;"Q", "ACT_EST_MAPPING=PRECISE", "FS=MRC", "CURRENCY=USD", "XLFILL=b")</f>
        <v>490.7653596298162</v>
      </c>
      <c r="AP8" s="71">
        <f>SUM(AL8:AO8)</f>
        <v>1933.8215128024372</v>
      </c>
      <c r="AQ8" s="557" t="str" cm="1">
        <f t="array" ref="AQ8">_xll.BQL("SEG0000396898 Segment", "SALES_REV_TURN/1M", "FPT=Q", "FPO="&amp;AQ1&amp;"Q", "ACT_EST_MAPPING=PRECISE", "FS=MRC", "CURRENCY=USD", "XLFILL=b")</f>
        <v/>
      </c>
    </row>
    <row r="9" spans="2:43">
      <c r="B9" s="58" t="s">
        <v>468</v>
      </c>
      <c r="C9" s="75"/>
      <c r="D9" s="75"/>
      <c r="E9" s="75"/>
      <c r="F9" s="75"/>
      <c r="G9" s="75"/>
      <c r="H9" s="75"/>
      <c r="I9" s="75">
        <f>I8/D8-1</f>
        <v>2.7876106194690267</v>
      </c>
      <c r="J9" s="75">
        <f>J8/E8-1</f>
        <v>0.29197080291970812</v>
      </c>
      <c r="K9" s="75">
        <f>K8/F8-1</f>
        <v>0.30513595166163143</v>
      </c>
      <c r="L9" s="585" t="e">
        <f>L8/G8-1</f>
        <v>#DIV/0!</v>
      </c>
      <c r="M9" s="75">
        <f>M8/H8-1</f>
        <v>0.27725856697819307</v>
      </c>
      <c r="N9" s="75">
        <f>N8/I8-1</f>
        <v>-0.19626168224299068</v>
      </c>
      <c r="O9" s="75">
        <f>O8/J8-1</f>
        <v>-5.6497175141242417E-3</v>
      </c>
      <c r="P9" s="75">
        <f>P8/K8-1</f>
        <v>-0.25462962962962965</v>
      </c>
      <c r="Q9" s="585">
        <f>Q8/L8-1</f>
        <v>-6.9706840390879488E-2</v>
      </c>
      <c r="R9" s="75">
        <f>R8/M8-1</f>
        <v>-0.13414634146341464</v>
      </c>
      <c r="S9" s="75">
        <f>S8/N8-1</f>
        <v>6.9767441860465018E-2</v>
      </c>
      <c r="T9" s="75">
        <f>T8/O8-1</f>
        <v>-8.8068181818181768E-2</v>
      </c>
      <c r="U9" s="75">
        <f>U8/P8-1</f>
        <v>0.10932363628678154</v>
      </c>
      <c r="V9" s="585">
        <f>V8/Q8-1</f>
        <v>-1.8765958764465185E-2</v>
      </c>
      <c r="W9" s="75">
        <f>W8/R8-1</f>
        <v>5.368280519003088E-2</v>
      </c>
      <c r="X9" s="75">
        <f>X8/S8-1</f>
        <v>7.7887351646843017E-2</v>
      </c>
      <c r="Y9" s="75">
        <f>Y8/T8-1</f>
        <v>0.10093962086801556</v>
      </c>
      <c r="Z9" s="75">
        <f>Z8/U8-1</f>
        <v>8.7467953441166646E-2</v>
      </c>
      <c r="AA9" s="585">
        <f>AA8/V8-1</f>
        <v>7.9478397216886654E-2</v>
      </c>
      <c r="AB9" s="75">
        <f>AB8/W8-1</f>
        <v>0.1211800231258453</v>
      </c>
      <c r="AC9" s="75">
        <f>AC8/X8-1</f>
        <v>0.12866304003800022</v>
      </c>
      <c r="AD9" s="75">
        <f>AD8/Y8-1</f>
        <v>7.1612091282098778E-2</v>
      </c>
      <c r="AE9" s="75">
        <f>AE8/Z8-1</f>
        <v>9.3129159745347856E-2</v>
      </c>
      <c r="AF9" s="585">
        <f>AF8/AA8-1</f>
        <v>0.10435736959905029</v>
      </c>
      <c r="AG9" s="75">
        <f>AG8/AB8-1</f>
        <v>7.5700329127044164E-2</v>
      </c>
      <c r="AH9" s="75">
        <f>AH8/AC8-1</f>
        <v>7.6511153959403222E-2</v>
      </c>
      <c r="AI9" s="75">
        <f>AI8/AD8-1</f>
        <v>7.5640369076018121E-2</v>
      </c>
      <c r="AJ9" s="75">
        <f>AJ8/AE8-1</f>
        <v>7.477723679073689E-2</v>
      </c>
      <c r="AK9" s="585">
        <f>AK8/AF8-1</f>
        <v>7.5669398226961615E-2</v>
      </c>
      <c r="AL9" s="75">
        <f>AL8/AG8-1</f>
        <v>7.6280890015801184E-2</v>
      </c>
      <c r="AM9" s="75">
        <f>AM8/AH8-1</f>
        <v>7.7089611889375131E-2</v>
      </c>
      <c r="AN9" s="75">
        <f>AN8/AI8-1</f>
        <v>7.6221037062645047E-2</v>
      </c>
      <c r="AO9" s="75">
        <f>AO8/AJ8-1</f>
        <v>7.5358706471299497E-2</v>
      </c>
      <c r="AP9" s="585">
        <f>AP8/AK8-1</f>
        <v>7.625001519630481E-2</v>
      </c>
    </row>
    <row r="10" spans="2:43">
      <c r="E10" s="41"/>
      <c r="L10" s="154"/>
      <c r="Q10" s="154"/>
      <c r="V10" s="154"/>
      <c r="AA10" s="154"/>
      <c r="AF10" s="154"/>
      <c r="AK10" s="154"/>
      <c r="AP10" s="154"/>
    </row>
    <row r="11" spans="2:43">
      <c r="B11" t="s">
        <v>828</v>
      </c>
      <c r="C11" s="445" cm="1">
        <f t="array" ref="C11">_xll.BQL("SEG0000396899 Segment", "SALES_REV_TURN/1M", "FPT=Q", "FPO="&amp;C1&amp;"Q", "ACT_EST_MAPPING=PRECISE", "FS=MRC", "CURRENCY=USD", "XLFILL=b")</f>
        <v>0</v>
      </c>
      <c r="D11" s="445" cm="1">
        <f t="array" ref="D11">_xll.BQL("SEG0000396899 Segment", "SALES_REV_TURN/1M", "FPT=Q", "FPO="&amp;D1&amp;"Q", "ACT_EST_MAPPING=PRECISE", "FS=MRC", "CURRENCY=USD", "XLFILL=b")</f>
        <v>142</v>
      </c>
      <c r="E11" s="445" cm="1">
        <f t="array" ref="E11">_xll.BQL("SEG0000396899 Segment", "SALES_REV_TURN/1M", "FPT=Q", "FPO="&amp;E1&amp;"Q", "ACT_EST_MAPPING=PRECISE", "FS=MRC", "CURRENCY=USD", "XLFILL=b")</f>
        <v>300</v>
      </c>
      <c r="F11" s="445" cm="1">
        <f t="array" ref="F11">_xll.BQL("SEG0000396899 Segment", "SALES_REV_TURN/1M", "FPT=Q", "FPO="&amp;F1&amp;"Q", "ACT_EST_MAPPING=PRECISE", "FS=MRC", "CURRENCY=USD", "XLFILL=b")</f>
        <v>318</v>
      </c>
      <c r="G11" s="445"/>
      <c r="H11" s="445" cm="1">
        <f t="array" ref="H11">_xll.BQL("SEG0000396899 Segment", "SALES_REV_TURN/1M", "FPT=Q", "FPO="&amp;H1&amp;"Q", "ACT_EST_MAPPING=PRECISE", "FS=MRC", "CURRENCY=USD", "XLFILL=b")</f>
        <v>343</v>
      </c>
      <c r="I11" s="445" cm="1">
        <f t="array" ref="I11">_xll.BQL("SEG0000396899 Segment", "SALES_REV_TURN/1M", "FPT=Q", "FPO="&amp;I1&amp;"Q", "ACT_EST_MAPPING=PRECISE", "FS=MRC", "CURRENCY=USD", "XLFILL=b")</f>
        <v>422</v>
      </c>
      <c r="J11" s="445" cm="1">
        <f t="array" ref="J11">_xll.BQL("SEG0000396899 Segment", "SALES_REV_TURN/1M", "FPT=Q", "FPO="&amp;J1&amp;"Q", "ACT_EST_MAPPING=PRECISE", "FS=MRC", "CURRENCY=USD", "XLFILL=b")</f>
        <v>352</v>
      </c>
      <c r="K11" s="445" cm="1">
        <f t="array" ref="K11">_xll.BQL("SEG0000396899 Segment", "SALES_REV_TURN/1M", "FPT=Q", "FPO="&amp;K1&amp;"Q", "ACT_EST_MAPPING=PRECISE", "FS=MRC", "CURRENCY=USD", "XLFILL=b")</f>
        <v>349</v>
      </c>
      <c r="L11" s="71">
        <f>SUM(H11:K11)</f>
        <v>1466</v>
      </c>
      <c r="M11" s="445" cm="1">
        <f t="array" ref="M11">_xll.BQL("SEG0000396899 Segment", "SALES_REV_TURN/1M", "FPT=Q", "FPO="&amp;M1&amp;"Q", "ACT_EST_MAPPING=PRECISE", "FS=MRC", "CURRENCY=USD", "XLFILL=b")</f>
        <v>323</v>
      </c>
      <c r="N11" s="445" cm="1">
        <f t="array" ref="N11">_xll.BQL("SEG0000396899 Segment", "SALES_REV_TURN/1M", "FPT=Q", "FPO="&amp;N1&amp;"Q", "ACT_EST_MAPPING=PRECISE", "FS=MRC", "CURRENCY=USD", "XLFILL=b")</f>
        <v>332</v>
      </c>
      <c r="O11" s="445" cm="1">
        <f t="array" ref="O11">_xll.BQL("SEG0000396899 Segment", "SALES_REV_TURN/1M", "FPT=Q", "FPO="&amp;O1&amp;"Q", "ACT_EST_MAPPING=PRECISE", "FS=MRC", "CURRENCY=USD", "XLFILL=b")</f>
        <v>312</v>
      </c>
      <c r="P11" s="445" cm="1">
        <f t="array" ref="P11">_xll.BQL("SEG0000396899 Segment", "SALES_REV_TURN/1M", "FPT=Q", "FPO="&amp;P1&amp;"Q", "ACT_EST_MAPPING=PRECISE", "FS=MRC", "CURRENCY=USD", "XLFILL=b")</f>
        <v>323</v>
      </c>
      <c r="Q11" s="71">
        <f>SUM(M11:P11)</f>
        <v>1290</v>
      </c>
      <c r="R11" s="445" cm="1">
        <f t="array" ref="R11">_xll.BQL("SEG0000396899 Segment", "SALES_REV_TURN/1M", "FPT=Q", "FPO="&amp;R1&amp;"Q", "ACT_EST_MAPPING=PRECISE", "FS=MRC", "CURRENCY=USD", "XLFILL=b")</f>
        <v>286</v>
      </c>
      <c r="S11" s="445" cm="1">
        <f t="array" ref="S11">_xll.BQL("SEG0000396899 Segment", "SALES_REV_TURN/1M", "FPT=Q", "FPO="&amp;S1&amp;"Q", "ACT_EST_MAPPING=PRECISE", "FS=MRC", "CURRENCY=USD", "XLFILL=b")</f>
        <v>331</v>
      </c>
      <c r="T11" s="445" cm="1">
        <f t="array" ref="T11">_xll.BQL("SEG0000396899 Segment", "SALES_REV_TURN/1M", "FPT=Q", "FPO="&amp;T1&amp;"Q", "ACT_EST_MAPPING=PRECISE", "FS=MRC", "CURRENCY=USD", "XLFILL=b")</f>
        <v>298</v>
      </c>
      <c r="U11" s="445" cm="1">
        <f t="array" ref="U11">_xll.BQL("SEG0000396899 Segment", "SALES_REV_TURN/1M", "FPT=Q", "FPO="&amp;U1&amp;"Q", "ACT_EST_MAPPING=PRECISE", "FS=MRC", "CURRENCY=USD", "XLFILL=b")</f>
        <v>336.22756254546056</v>
      </c>
      <c r="V11" s="71">
        <f>SUM(R11:U11)</f>
        <v>1251.2275625454606</v>
      </c>
      <c r="W11" s="445" cm="1">
        <f t="array" ref="W11">_xll.BQL("SEG0000396899 Segment", "SALES_REV_TURN/1M", "FPT=Q", "FPO="&amp;W1&amp;"Q", "ACT_EST_MAPPING=PRECISE", "FS=MRC", "CURRENCY=USD", "XLFILL=b")</f>
        <v>293.31550678597699</v>
      </c>
      <c r="X11" s="445" cm="1">
        <f t="array" ref="X11">_xll.BQL("SEG0000396899 Segment", "SALES_REV_TURN/1M", "FPT=Q", "FPO="&amp;X1&amp;"Q", "ACT_EST_MAPPING=PRECISE", "FS=MRC", "CURRENCY=USD", "XLFILL=b")</f>
        <v>349.04600735714337</v>
      </c>
      <c r="Y11" s="445" cm="1">
        <f t="array" ref="Y11">_xll.BQL("SEG0000396899 Segment", "SALES_REV_TURN/1M", "FPT=Q", "FPO="&amp;Y1&amp;"Q", "ACT_EST_MAPPING=PRECISE", "FS=MRC", "CURRENCY=USD", "XLFILL=b")</f>
        <v>324.47045358903449</v>
      </c>
      <c r="Z11" s="445" cm="1">
        <f t="array" ref="Z11">_xll.BQL("SEG0000396899 Segment", "SALES_REV_TURN/1M", "FPT=Q", "FPO="&amp;Z1&amp;"Q", "ACT_EST_MAPPING=PRECISE", "FS=MRC", "CURRENCY=USD", "XLFILL=b")</f>
        <v>353.58248393378818</v>
      </c>
      <c r="AA11" s="71">
        <f>SUM(W11:Z11)</f>
        <v>1320.414451665943</v>
      </c>
      <c r="AB11" s="445" cm="1">
        <f t="array" ref="AB11">_xll.BQL("SEG0000396899 Segment", "SALES_REV_TURN/1M", "FPT=Q", "FPO="&amp;AB1&amp;"Q", "ACT_EST_MAPPING=PRECISE", "FS=MRC", "CURRENCY=USD", "XLFILL=b")</f>
        <v>333.9114874384656</v>
      </c>
      <c r="AC11" s="445" cm="1">
        <f t="array" ref="AC11">_xll.BQL("SEG0000396899 Segment", "SALES_REV_TURN/1M", "FPT=Q", "FPO="&amp;AC1&amp;"Q", "ACT_EST_MAPPING=PRECISE", "FS=MRC", "CURRENCY=USD", "XLFILL=b")</f>
        <v>386.27682703750185</v>
      </c>
      <c r="AD11" s="445" cm="1">
        <f t="array" ref="AD11">_xll.BQL("SEG0000396899 Segment", "SALES_REV_TURN/1M", "FPT=Q", "FPO="&amp;AD1&amp;"Q", "ACT_EST_MAPPING=PRECISE", "FS=MRC", "CURRENCY=USD", "XLFILL=b")</f>
        <v>347.93141693970153</v>
      </c>
      <c r="AE11" s="445" cm="1">
        <f t="array" ref="AE11">_xll.BQL("SEG0000396899 Segment", "SALES_REV_TURN/1M", "FPT=Q", "FPO="&amp;AE1&amp;"Q", "ACT_EST_MAPPING=PRECISE", "FS=MRC", "CURRENCY=USD", "XLFILL=b")</f>
        <v>396.0262359566712</v>
      </c>
      <c r="AF11" s="71">
        <f>SUM(AB11:AE11)</f>
        <v>1464.14596737234</v>
      </c>
      <c r="AG11" s="445" cm="1">
        <f t="array" ref="AG11">_xll.BQL("SEG0000396899 Segment", "SALES_REV_TURN/1M", "FPT=Q", "FPO="&amp;AG1&amp;"Q", "ACT_EST_MAPPING=PRECISE", "FS=MRC", "CURRENCY=USD", "XLFILL=b")</f>
        <v>362.93938181038891</v>
      </c>
      <c r="AH11" s="445" cm="1">
        <f t="array" ref="AH11">_xll.BQL("SEG0000396899 Segment", "SALES_REV_TURN/1M", "FPT=Q", "FPO="&amp;AH1&amp;"Q", "ACT_EST_MAPPING=PRECISE", "FS=MRC", "CURRENCY=USD", "XLFILL=b")</f>
        <v>419.86338838937701</v>
      </c>
      <c r="AI11" s="445" cm="1">
        <f t="array" ref="AI11">_xll.BQL("SEG0000396899 Segment", "SALES_REV_TURN/1M", "FPT=Q", "FPO="&amp;AI1&amp;"Q", "ACT_EST_MAPPING=PRECISE", "FS=MRC", "CURRENCY=USD", "XLFILL=b")</f>
        <v>378.17774778668667</v>
      </c>
      <c r="AJ11" s="445" cm="1">
        <f t="array" ref="AJ11">_xll.BQL("SEG0000396899 Segment", "SALES_REV_TURN/1M", "FPT=Q", "FPO="&amp;AJ1&amp;"Q", "ACT_EST_MAPPING=PRECISE", "FS=MRC", "CURRENCY=USD", "XLFILL=b")</f>
        <v>430.86952855450483</v>
      </c>
      <c r="AK11" s="71">
        <f>SUM(AG11:AJ11)</f>
        <v>1591.8500465409575</v>
      </c>
      <c r="AL11" s="445" cm="1">
        <f t="array" ref="AL11">_xll.BQL("SEG0000396899 Segment", "SALES_REV_TURN/1M", "FPT=Q", "FPO="&amp;AL1&amp;"Q", "ACT_EST_MAPPING=PRECISE", "FS=MRC", "CURRENCY=USD", "XLFILL=b")</f>
        <v>390.95220690090838</v>
      </c>
      <c r="AM11" s="445" cm="1">
        <f t="array" ref="AM11">_xll.BQL("SEG0000396899 Segment", "SALES_REV_TURN/1M", "FPT=Q", "FPO="&amp;AM1&amp;"Q", "ACT_EST_MAPPING=PRECISE", "FS=MRC", "CURRENCY=USD", "XLFILL=b")</f>
        <v>452.27473380884595</v>
      </c>
      <c r="AN11" s="445" cm="1">
        <f t="array" ref="AN11">_xll.BQL("SEG0000396899 Segment", "SALES_REV_TURN/1M", "FPT=Q", "FPO="&amp;AN1&amp;"Q", "ACT_EST_MAPPING=PRECISE", "FS=MRC", "CURRENCY=USD", "XLFILL=b")</f>
        <v>407.36644317602099</v>
      </c>
      <c r="AO11" s="445" cm="1">
        <f t="array" ref="AO11">_xll.BQL("SEG0000396899 Segment", "SALES_REV_TURN/1M", "FPT=Q", "FPO="&amp;AO1&amp;"Q", "ACT_EST_MAPPING=PRECISE", "FS=MRC", "CURRENCY=USD", "XLFILL=b")</f>
        <v>464.44658962223014</v>
      </c>
      <c r="AP11" s="71">
        <f>SUM(AL11:AO11)</f>
        <v>1715.0399735080055</v>
      </c>
    </row>
    <row r="12" spans="2:43">
      <c r="B12" t="s">
        <v>819</v>
      </c>
      <c r="E12" s="41"/>
      <c r="H12" s="564">
        <f>tower!P158</f>
        <v>47.5</v>
      </c>
      <c r="I12" s="564">
        <f>tower!Q158</f>
        <v>66.5</v>
      </c>
      <c r="J12" s="564">
        <f>tower!R158</f>
        <v>68.147000000000006</v>
      </c>
      <c r="K12" s="564">
        <f>tower!S158</f>
        <v>77.900000000000006</v>
      </c>
      <c r="L12" s="564">
        <f>tower!T158</f>
        <v>260.04700000000003</v>
      </c>
      <c r="M12" s="564">
        <f>tower!U158</f>
        <v>75.414999999999992</v>
      </c>
      <c r="N12" s="564">
        <f>tower!V158</f>
        <v>103.536</v>
      </c>
      <c r="O12" s="564">
        <f>tower!W158</f>
        <v>88.792000000000002</v>
      </c>
      <c r="P12" s="564">
        <f>tower!X158</f>
        <v>98.132999999999996</v>
      </c>
      <c r="Q12" s="564">
        <f>tower!Y158</f>
        <v>365.87599999999998</v>
      </c>
      <c r="R12" s="564">
        <f>tower!Z158</f>
        <v>86.3</v>
      </c>
      <c r="S12" s="564">
        <f>tower!AA158</f>
        <v>117.5</v>
      </c>
      <c r="T12" s="564">
        <f>tower!AB158</f>
        <v>97.4</v>
      </c>
      <c r="U12" s="564">
        <f>tower!AC158</f>
        <v>45.570479155086161</v>
      </c>
      <c r="V12" s="564">
        <f>tower!AD158</f>
        <v>346.71347915508613</v>
      </c>
      <c r="W12" s="564">
        <f>tower!AE158</f>
        <v>43.778017310513448</v>
      </c>
      <c r="X12" s="564">
        <f>tower!AF158</f>
        <v>44.804885592298035</v>
      </c>
      <c r="Y12" s="564">
        <f>tower!AG158</f>
        <v>67.336658976662946</v>
      </c>
      <c r="Z12" s="564">
        <f>tower!AH158</f>
        <v>79.014422495035205</v>
      </c>
      <c r="AA12" s="564">
        <f>tower!AI158</f>
        <v>234.93398437450963</v>
      </c>
      <c r="AB12" s="564">
        <f>tower!AJ158</f>
        <v>77.472342960180072</v>
      </c>
      <c r="AC12" s="564">
        <f>tower!AK158</f>
        <v>94.804312860378786</v>
      </c>
      <c r="AD12" s="564">
        <f>tower!AL158</f>
        <v>91.752677775672581</v>
      </c>
      <c r="AE12" s="564">
        <f>tower!AM158</f>
        <v>100.21840674996571</v>
      </c>
      <c r="AF12" s="564">
        <f>tower!AN158</f>
        <v>364.24774034619713</v>
      </c>
      <c r="AG12" s="564">
        <f>tower!AO158</f>
        <v>90.814725360266522</v>
      </c>
      <c r="AH12" s="564">
        <f>tower!AP158</f>
        <v>107.98587883108584</v>
      </c>
      <c r="AI12" s="564">
        <f>tower!AQ158</f>
        <v>101.62103176800846</v>
      </c>
      <c r="AJ12" s="564">
        <f>tower!AR158</f>
        <v>118.54679686775256</v>
      </c>
      <c r="AK12" s="564">
        <f>tower!AS158</f>
        <v>418.96843282711336</v>
      </c>
      <c r="AL12" s="564">
        <f>tower!AT158</f>
        <v>0</v>
      </c>
      <c r="AM12" s="564">
        <f>tower!AU158</f>
        <v>0</v>
      </c>
      <c r="AN12" s="564">
        <f>tower!AV158</f>
        <v>0</v>
      </c>
      <c r="AO12" s="564">
        <f>tower!AW158</f>
        <v>0.74725274725274726</v>
      </c>
      <c r="AP12" s="564">
        <f>tower!AX158</f>
        <v>0</v>
      </c>
    </row>
    <row r="13" spans="2:43">
      <c r="B13" t="s">
        <v>829</v>
      </c>
      <c r="E13" s="41"/>
      <c r="H13" s="585">
        <f>H12/(H12+H11)</f>
        <v>0.12163892445582586</v>
      </c>
      <c r="I13" s="585">
        <f t="shared" ref="I13:AP13" si="15">I12/(I12+I11)</f>
        <v>0.13613101330603888</v>
      </c>
      <c r="J13" s="585">
        <f t="shared" si="15"/>
        <v>0.16219799260734935</v>
      </c>
      <c r="K13" s="585">
        <f t="shared" si="15"/>
        <v>0.18247833216209888</v>
      </c>
      <c r="L13" s="585">
        <f t="shared" si="15"/>
        <v>0.15066043972151397</v>
      </c>
      <c r="M13" s="585">
        <f t="shared" si="15"/>
        <v>0.18928755192450084</v>
      </c>
      <c r="N13" s="585">
        <f t="shared" si="15"/>
        <v>0.23772087726387717</v>
      </c>
      <c r="O13" s="585">
        <f t="shared" si="15"/>
        <v>0.2215413481307012</v>
      </c>
      <c r="P13" s="585">
        <f t="shared" si="15"/>
        <v>0.23302139704083982</v>
      </c>
      <c r="Q13" s="585">
        <f t="shared" si="15"/>
        <v>0.2209561585529351</v>
      </c>
      <c r="R13" s="585">
        <f t="shared" si="15"/>
        <v>0.23180230996508192</v>
      </c>
      <c r="S13" s="585">
        <f t="shared" si="15"/>
        <v>0.26198439241917504</v>
      </c>
      <c r="T13" s="585">
        <f t="shared" si="15"/>
        <v>0.24633282751643909</v>
      </c>
      <c r="U13" s="585">
        <f t="shared" si="15"/>
        <v>0.11935755079338037</v>
      </c>
      <c r="V13" s="585">
        <f t="shared" si="15"/>
        <v>0.21697513869855284</v>
      </c>
      <c r="W13" s="585">
        <f t="shared" si="15"/>
        <v>0.12986905467214591</v>
      </c>
      <c r="X13" s="585">
        <f t="shared" si="15"/>
        <v>0.11376103595136354</v>
      </c>
      <c r="Y13" s="585">
        <f t="shared" si="15"/>
        <v>0.17186175752583377</v>
      </c>
      <c r="Z13" s="585">
        <f t="shared" si="15"/>
        <v>0.18265138127619901</v>
      </c>
      <c r="AA13" s="585">
        <f t="shared" si="15"/>
        <v>0.15104910188008785</v>
      </c>
      <c r="AB13" s="585">
        <f t="shared" si="15"/>
        <v>0.18832131269016236</v>
      </c>
      <c r="AC13" s="585">
        <f t="shared" si="15"/>
        <v>0.19706512061666553</v>
      </c>
      <c r="AD13" s="585">
        <f t="shared" si="15"/>
        <v>0.20867863740913331</v>
      </c>
      <c r="AE13" s="585">
        <f t="shared" si="15"/>
        <v>0.20195362957139559</v>
      </c>
      <c r="AF13" s="585">
        <f t="shared" si="15"/>
        <v>0.19921734515303277</v>
      </c>
      <c r="AG13" s="585">
        <f t="shared" si="15"/>
        <v>0.20014083382414741</v>
      </c>
      <c r="AH13" s="585">
        <f t="shared" si="15"/>
        <v>0.20457711232548551</v>
      </c>
      <c r="AI13" s="585">
        <f t="shared" si="15"/>
        <v>0.21179927106593252</v>
      </c>
      <c r="AJ13" s="585">
        <f t="shared" si="15"/>
        <v>0.21576861003655592</v>
      </c>
      <c r="AK13" s="585">
        <f t="shared" si="15"/>
        <v>0.20835716258126907</v>
      </c>
      <c r="AL13" s="71">
        <f t="shared" si="15"/>
        <v>0</v>
      </c>
      <c r="AM13" s="71">
        <f t="shared" si="15"/>
        <v>0</v>
      </c>
      <c r="AN13" s="71">
        <f t="shared" si="15"/>
        <v>0</v>
      </c>
      <c r="AO13" s="71">
        <f t="shared" si="15"/>
        <v>1.606325533989415E-3</v>
      </c>
      <c r="AP13" s="71">
        <f t="shared" si="15"/>
        <v>0</v>
      </c>
    </row>
    <row r="14" spans="2:43">
      <c r="E14" s="41"/>
    </row>
    <row r="15" spans="2:43">
      <c r="E15" s="41"/>
    </row>
    <row r="16" spans="2:43">
      <c r="E16" s="41"/>
    </row>
    <row r="17" spans="5:5">
      <c r="E17" s="41"/>
    </row>
    <row r="18" spans="5:5">
      <c r="E18" s="41"/>
    </row>
    <row r="19" spans="5:5">
      <c r="E19" s="41"/>
    </row>
    <row r="20" spans="5:5">
      <c r="E20" s="41"/>
    </row>
    <row r="21" spans="5:5">
      <c r="E21" s="41"/>
    </row>
    <row r="22" spans="5:5">
      <c r="E22" s="41"/>
    </row>
    <row r="23" spans="5:5">
      <c r="E23" s="41"/>
    </row>
    <row r="24" spans="5:5">
      <c r="E24" s="41"/>
    </row>
    <row r="25" spans="5:5">
      <c r="E25" s="41"/>
    </row>
    <row r="26" spans="5:5">
      <c r="E26" s="41"/>
    </row>
    <row r="27" spans="5:5">
      <c r="E27" s="41"/>
    </row>
    <row r="28" spans="5:5">
      <c r="E28" s="41"/>
    </row>
    <row r="29" spans="5:5">
      <c r="E29" s="41"/>
    </row>
    <row r="30" spans="5:5">
      <c r="E30" s="41"/>
    </row>
    <row r="31" spans="5:5">
      <c r="E31" s="41"/>
    </row>
    <row r="32" spans="5:5">
      <c r="E32" s="41"/>
    </row>
    <row r="33" spans="5:5">
      <c r="E33" s="41"/>
    </row>
    <row r="34" spans="5:5">
      <c r="E34" s="41"/>
    </row>
    <row r="35" spans="5:5">
      <c r="E35" s="41"/>
    </row>
    <row r="36" spans="5:5">
      <c r="E36" s="41"/>
    </row>
    <row r="37" spans="5:5">
      <c r="E37" s="41"/>
    </row>
    <row r="38" spans="5:5">
      <c r="E38" s="41"/>
    </row>
    <row r="39" spans="5:5">
      <c r="E39" s="41"/>
    </row>
    <row r="40" spans="5:5">
      <c r="E40" s="41"/>
    </row>
    <row r="41" spans="5:5">
      <c r="E41" s="41"/>
    </row>
    <row r="42" spans="5:5">
      <c r="E42" s="41"/>
    </row>
    <row r="43" spans="5:5">
      <c r="E43" s="41"/>
    </row>
    <row r="44" spans="5:5">
      <c r="E44" s="41"/>
    </row>
    <row r="45" spans="5:5">
      <c r="E45" s="41"/>
    </row>
    <row r="46" spans="5:5">
      <c r="E46" s="41"/>
    </row>
    <row r="47" spans="5:5">
      <c r="E47" s="41"/>
    </row>
    <row r="48" spans="5:5">
      <c r="E48" s="41"/>
    </row>
    <row r="49" spans="5:5">
      <c r="E49" s="41"/>
    </row>
    <row r="50" spans="5:5">
      <c r="E50" s="41"/>
    </row>
    <row r="51" spans="5:5">
      <c r="E51" s="41"/>
    </row>
    <row r="52" spans="5:5">
      <c r="E52" s="41"/>
    </row>
    <row r="53" spans="5:5">
      <c r="E53" s="41"/>
    </row>
    <row r="54" spans="5:5">
      <c r="E54" s="41"/>
    </row>
    <row r="55" spans="5:5">
      <c r="E55" s="41"/>
    </row>
    <row r="56" spans="5:5">
      <c r="E56" s="41"/>
    </row>
    <row r="57" spans="5:5">
      <c r="E57" s="41"/>
    </row>
    <row r="58" spans="5:5">
      <c r="E58" s="41"/>
    </row>
    <row r="59" spans="5:5">
      <c r="E59" s="41"/>
    </row>
    <row r="60" spans="5:5">
      <c r="E60" s="41"/>
    </row>
    <row r="61" spans="5:5">
      <c r="E61" s="41"/>
    </row>
    <row r="62" spans="5:5">
      <c r="E62" s="41"/>
    </row>
    <row r="63" spans="5:5">
      <c r="E63" s="41"/>
    </row>
    <row r="64" spans="5:5">
      <c r="E64" s="41"/>
    </row>
    <row r="65" spans="5:5">
      <c r="E65" s="41"/>
    </row>
    <row r="66" spans="5:5">
      <c r="E66" s="41"/>
    </row>
    <row r="67" spans="5:5">
      <c r="E67" s="41"/>
    </row>
    <row r="68" spans="5:5">
      <c r="E68" s="41"/>
    </row>
    <row r="69" spans="5:5">
      <c r="E69" s="41"/>
    </row>
    <row r="70" spans="5:5">
      <c r="E70" s="41"/>
    </row>
    <row r="71" spans="5:5">
      <c r="E71" s="41"/>
    </row>
    <row r="72" spans="5:5">
      <c r="E72" s="41"/>
    </row>
    <row r="73" spans="5:5">
      <c r="E73" s="41"/>
    </row>
    <row r="74" spans="5:5">
      <c r="E74" s="41"/>
    </row>
    <row r="75" spans="5:5">
      <c r="E75" s="41"/>
    </row>
    <row r="76" spans="5:5">
      <c r="E76" s="41"/>
    </row>
    <row r="77" spans="5:5">
      <c r="E77" s="41"/>
    </row>
    <row r="78" spans="5:5">
      <c r="E78" s="41"/>
    </row>
    <row r="79" spans="5:5">
      <c r="E79" s="41"/>
    </row>
    <row r="80" spans="5:5">
      <c r="E80" s="41"/>
    </row>
    <row r="81" spans="5:5">
      <c r="E81" s="41"/>
    </row>
    <row r="82" spans="5:5">
      <c r="E82" s="41"/>
    </row>
    <row r="83" spans="5:5">
      <c r="E83" s="41"/>
    </row>
    <row r="84" spans="5:5">
      <c r="E84" s="41"/>
    </row>
    <row r="85" spans="5:5">
      <c r="E85" s="41"/>
    </row>
    <row r="86" spans="5:5">
      <c r="E86" s="41"/>
    </row>
    <row r="87" spans="5:5">
      <c r="E87" s="41"/>
    </row>
    <row r="88" spans="5:5">
      <c r="E88" s="41"/>
    </row>
    <row r="89" spans="5:5">
      <c r="E89" s="41"/>
    </row>
    <row r="90" spans="5:5">
      <c r="E90" s="41"/>
    </row>
    <row r="91" spans="5:5">
      <c r="E91" s="41"/>
    </row>
    <row r="92" spans="5:5">
      <c r="E92" s="41"/>
    </row>
    <row r="93" spans="5:5">
      <c r="E93" s="41"/>
    </row>
    <row r="94" spans="5:5">
      <c r="E94" s="41"/>
    </row>
    <row r="95" spans="5:5">
      <c r="E95" s="41"/>
    </row>
    <row r="96" spans="5:5">
      <c r="E96" s="41"/>
    </row>
    <row r="97" spans="5:5">
      <c r="E97" s="41"/>
    </row>
    <row r="98" spans="5:5">
      <c r="E98" s="41"/>
    </row>
    <row r="99" spans="5:5">
      <c r="E99" s="41"/>
    </row>
    <row r="100" spans="5:5">
      <c r="E100" s="41"/>
    </row>
    <row r="101" spans="5:5">
      <c r="E101" s="41"/>
    </row>
    <row r="102" spans="5:5">
      <c r="E102" s="41"/>
    </row>
    <row r="103" spans="5:5">
      <c r="E103" s="41"/>
    </row>
    <row r="104" spans="5:5">
      <c r="E104" s="41"/>
    </row>
    <row r="105" spans="5:5">
      <c r="E105" s="41"/>
    </row>
    <row r="106" spans="5:5">
      <c r="E106" s="41"/>
    </row>
    <row r="107" spans="5:5">
      <c r="E107" s="41"/>
    </row>
    <row r="108" spans="5:5">
      <c r="E108" s="41"/>
    </row>
    <row r="109" spans="5:5">
      <c r="E109" s="41"/>
    </row>
    <row r="110" spans="5:5">
      <c r="E110" s="41"/>
    </row>
    <row r="111" spans="5:5">
      <c r="E111" s="41"/>
    </row>
    <row r="112" spans="5:5">
      <c r="E112" s="41"/>
    </row>
    <row r="113" spans="5:5">
      <c r="E113" s="41"/>
    </row>
    <row r="114" spans="5:5">
      <c r="E114" s="41"/>
    </row>
    <row r="115" spans="5:5">
      <c r="E115" s="41"/>
    </row>
    <row r="116" spans="5:5">
      <c r="E116" s="41"/>
    </row>
    <row r="117" spans="5:5">
      <c r="E117" s="41"/>
    </row>
    <row r="118" spans="5:5">
      <c r="E118" s="41"/>
    </row>
    <row r="119" spans="5:5">
      <c r="E119" s="41"/>
    </row>
    <row r="120" spans="5:5">
      <c r="E120" s="41"/>
    </row>
    <row r="121" spans="5:5">
      <c r="E121" s="41"/>
    </row>
    <row r="122" spans="5:5">
      <c r="E122" s="41"/>
    </row>
    <row r="123" spans="5:5">
      <c r="E123" s="41"/>
    </row>
    <row r="124" spans="5:5">
      <c r="E124" s="41"/>
    </row>
    <row r="125" spans="5:5">
      <c r="E125" s="41"/>
    </row>
    <row r="126" spans="5:5">
      <c r="E126" s="41"/>
    </row>
    <row r="127" spans="5:5">
      <c r="E127" s="41"/>
    </row>
    <row r="128" spans="5:5">
      <c r="E128" s="41"/>
    </row>
    <row r="129" spans="5:5">
      <c r="E129" s="41"/>
    </row>
    <row r="130" spans="5:5">
      <c r="E130" s="41"/>
    </row>
    <row r="131" spans="5:5">
      <c r="E131" s="41"/>
    </row>
    <row r="132" spans="5:5">
      <c r="E132" s="41"/>
    </row>
    <row r="133" spans="5:5">
      <c r="E133" s="41"/>
    </row>
    <row r="134" spans="5:5">
      <c r="E134" s="41"/>
    </row>
    <row r="135" spans="5:5">
      <c r="E135" s="41"/>
    </row>
    <row r="136" spans="5:5">
      <c r="E136" s="41"/>
    </row>
    <row r="137" spans="5:5">
      <c r="E137" s="41"/>
    </row>
    <row r="138" spans="5:5">
      <c r="E138" s="41"/>
    </row>
    <row r="139" spans="5:5">
      <c r="E139" s="41"/>
    </row>
    <row r="140" spans="5:5">
      <c r="E140" s="41"/>
    </row>
    <row r="141" spans="5:5">
      <c r="E141" s="41"/>
    </row>
    <row r="142" spans="5:5">
      <c r="E142" s="41"/>
    </row>
    <row r="143" spans="5:5">
      <c r="E143" s="41"/>
    </row>
    <row r="144" spans="5:5">
      <c r="E144" s="41"/>
    </row>
    <row r="145" spans="5:5">
      <c r="E145" s="41"/>
    </row>
    <row r="146" spans="5:5">
      <c r="E146" s="41"/>
    </row>
    <row r="147" spans="5:5">
      <c r="E147" s="41"/>
    </row>
    <row r="148" spans="5:5">
      <c r="E148" s="41"/>
    </row>
    <row r="149" spans="5:5">
      <c r="E149" s="41"/>
    </row>
    <row r="150" spans="5:5">
      <c r="E150" s="41"/>
    </row>
    <row r="151" spans="5:5">
      <c r="E151" s="41"/>
    </row>
    <row r="152" spans="5:5">
      <c r="E152" s="41"/>
    </row>
    <row r="153" spans="5:5">
      <c r="E153" s="41"/>
    </row>
    <row r="154" spans="5:5">
      <c r="E154" s="41"/>
    </row>
    <row r="155" spans="5:5">
      <c r="E155" s="41"/>
    </row>
    <row r="156" spans="5:5">
      <c r="E156" s="41"/>
    </row>
    <row r="157" spans="5:5">
      <c r="E157" s="41"/>
    </row>
    <row r="158" spans="5:5">
      <c r="E158" s="41"/>
    </row>
    <row r="159" spans="5:5">
      <c r="E159" s="41"/>
    </row>
    <row r="160" spans="5:5">
      <c r="E160" s="41"/>
    </row>
    <row r="161" spans="5:5">
      <c r="E161" s="41"/>
    </row>
    <row r="162" spans="5:5">
      <c r="E162" s="41"/>
    </row>
    <row r="163" spans="5:5">
      <c r="E163" s="41"/>
    </row>
    <row r="164" spans="5:5">
      <c r="E164" s="41"/>
    </row>
    <row r="165" spans="5:5">
      <c r="E165" s="41"/>
    </row>
    <row r="166" spans="5:5">
      <c r="E166" s="41"/>
    </row>
    <row r="167" spans="5:5">
      <c r="E167" s="41"/>
    </row>
    <row r="168" spans="5:5">
      <c r="E168" s="41"/>
    </row>
    <row r="169" spans="5:5">
      <c r="E169" s="41"/>
    </row>
    <row r="170" spans="5:5">
      <c r="E170" s="41"/>
    </row>
    <row r="171" spans="5:5">
      <c r="E171" s="41"/>
    </row>
    <row r="172" spans="5:5">
      <c r="E172" s="41"/>
    </row>
    <row r="173" spans="5:5">
      <c r="E173" s="41"/>
    </row>
    <row r="174" spans="5:5">
      <c r="E174" s="41"/>
    </row>
    <row r="175" spans="5:5">
      <c r="E175" s="41"/>
    </row>
    <row r="176" spans="5:5">
      <c r="E176" s="41"/>
    </row>
    <row r="177" spans="5:5">
      <c r="E177" s="41"/>
    </row>
    <row r="178" spans="5:5">
      <c r="E178" s="41"/>
    </row>
    <row r="179" spans="5:5">
      <c r="E179" s="41"/>
    </row>
    <row r="180" spans="5:5">
      <c r="E180" s="41"/>
    </row>
    <row r="181" spans="5:5">
      <c r="E181" s="41"/>
    </row>
    <row r="182" spans="5:5">
      <c r="E182" s="41"/>
    </row>
    <row r="183" spans="5:5">
      <c r="E183" s="41"/>
    </row>
    <row r="184" spans="5:5">
      <c r="E184" s="41"/>
    </row>
    <row r="185" spans="5:5">
      <c r="E185" s="41"/>
    </row>
    <row r="186" spans="5:5">
      <c r="E186" s="41"/>
    </row>
    <row r="187" spans="5:5">
      <c r="E187" s="41"/>
    </row>
    <row r="188" spans="5:5">
      <c r="E188" s="41"/>
    </row>
    <row r="189" spans="5:5">
      <c r="E189" s="41"/>
    </row>
    <row r="190" spans="5:5">
      <c r="E190" s="41"/>
    </row>
    <row r="191" spans="5:5">
      <c r="E191" s="41"/>
    </row>
    <row r="192" spans="5:5">
      <c r="E192" s="41"/>
    </row>
    <row r="193" spans="5:5">
      <c r="E193" s="41"/>
    </row>
    <row r="194" spans="5:5">
      <c r="E194" s="41"/>
    </row>
    <row r="195" spans="5:5">
      <c r="E195" s="41"/>
    </row>
    <row r="196" spans="5:5">
      <c r="E196" s="41"/>
    </row>
    <row r="197" spans="5:5">
      <c r="E197" s="41"/>
    </row>
    <row r="198" spans="5:5">
      <c r="E198" s="41"/>
    </row>
    <row r="199" spans="5:5">
      <c r="E199" s="41"/>
    </row>
    <row r="200" spans="5:5">
      <c r="E200" s="41"/>
    </row>
    <row r="201" spans="5:5">
      <c r="E201" s="41"/>
    </row>
    <row r="202" spans="5:5">
      <c r="E202" s="41"/>
    </row>
    <row r="203" spans="5:5">
      <c r="E203" s="41"/>
    </row>
    <row r="204" spans="5:5">
      <c r="E204" s="41"/>
    </row>
    <row r="205" spans="5:5">
      <c r="E205" s="41"/>
    </row>
    <row r="206" spans="5:5">
      <c r="E206" s="41"/>
    </row>
    <row r="207" spans="5:5">
      <c r="E207" s="41"/>
    </row>
    <row r="208" spans="5:5">
      <c r="E208" s="41"/>
    </row>
    <row r="209" spans="5:5">
      <c r="E209" s="41"/>
    </row>
    <row r="210" spans="5:5">
      <c r="E210" s="41"/>
    </row>
    <row r="211" spans="5:5">
      <c r="E211" s="41"/>
    </row>
    <row r="212" spans="5:5">
      <c r="E212" s="41"/>
    </row>
    <row r="213" spans="5:5">
      <c r="E213" s="41"/>
    </row>
    <row r="214" spans="5:5">
      <c r="E214" s="41"/>
    </row>
    <row r="215" spans="5:5">
      <c r="E215" s="41"/>
    </row>
    <row r="216" spans="5:5">
      <c r="E216" s="41"/>
    </row>
    <row r="217" spans="5:5">
      <c r="E217" s="41"/>
    </row>
    <row r="218" spans="5:5">
      <c r="E218" s="41"/>
    </row>
    <row r="219" spans="5:5">
      <c r="E219" s="41"/>
    </row>
    <row r="220" spans="5:5">
      <c r="E220" s="41"/>
    </row>
    <row r="221" spans="5:5">
      <c r="E221" s="41"/>
    </row>
    <row r="222" spans="5:5">
      <c r="E222" s="41"/>
    </row>
    <row r="223" spans="5:5">
      <c r="E223" s="41"/>
    </row>
    <row r="224" spans="5:5">
      <c r="E224" s="41"/>
    </row>
    <row r="225" spans="5:5">
      <c r="E225" s="41"/>
    </row>
    <row r="226" spans="5:5">
      <c r="E226" s="41"/>
    </row>
    <row r="227" spans="5:5">
      <c r="E227" s="41"/>
    </row>
    <row r="228" spans="5:5">
      <c r="E228" s="41"/>
    </row>
    <row r="229" spans="5:5">
      <c r="E229" s="41"/>
    </row>
    <row r="230" spans="5:5">
      <c r="E230" s="41"/>
    </row>
    <row r="231" spans="5:5">
      <c r="E231" s="41"/>
    </row>
    <row r="232" spans="5:5">
      <c r="E232" s="41"/>
    </row>
    <row r="233" spans="5:5">
      <c r="E233" s="41"/>
    </row>
    <row r="234" spans="5:5">
      <c r="E234" s="41"/>
    </row>
    <row r="235" spans="5:5">
      <c r="E235" s="41"/>
    </row>
    <row r="236" spans="5:5">
      <c r="E236" s="41"/>
    </row>
    <row r="237" spans="5:5">
      <c r="E237" s="41"/>
    </row>
    <row r="238" spans="5:5">
      <c r="E238" s="41"/>
    </row>
    <row r="239" spans="5:5">
      <c r="E239" s="41"/>
    </row>
    <row r="240" spans="5:5">
      <c r="E240" s="41"/>
    </row>
    <row r="241" spans="5:5">
      <c r="E241" s="41"/>
    </row>
    <row r="242" spans="5:5">
      <c r="E242" s="41"/>
    </row>
    <row r="243" spans="5:5">
      <c r="E243" s="41"/>
    </row>
    <row r="244" spans="5:5">
      <c r="E244" s="41"/>
    </row>
    <row r="245" spans="5:5">
      <c r="E245" s="41"/>
    </row>
    <row r="246" spans="5:5">
      <c r="E246" s="41"/>
    </row>
    <row r="247" spans="5:5">
      <c r="E247" s="41"/>
    </row>
    <row r="248" spans="5:5">
      <c r="E248" s="41"/>
    </row>
    <row r="249" spans="5:5">
      <c r="E249" s="41"/>
    </row>
    <row r="250" spans="5:5">
      <c r="E250" s="41"/>
    </row>
    <row r="251" spans="5:5">
      <c r="E251" s="41"/>
    </row>
    <row r="252" spans="5:5">
      <c r="E252" s="41"/>
    </row>
    <row r="253" spans="5:5">
      <c r="E253" s="41"/>
    </row>
    <row r="254" spans="5:5">
      <c r="E254" s="41"/>
    </row>
    <row r="255" spans="5:5">
      <c r="E255" s="41"/>
    </row>
    <row r="256" spans="5:5">
      <c r="E256" s="41"/>
    </row>
    <row r="257" spans="5:5">
      <c r="E257" s="41"/>
    </row>
    <row r="258" spans="5:5">
      <c r="E258" s="41"/>
    </row>
    <row r="259" spans="5:5">
      <c r="E259" s="41"/>
    </row>
    <row r="260" spans="5:5">
      <c r="E260" s="41"/>
    </row>
    <row r="261" spans="5:5">
      <c r="E261" s="41"/>
    </row>
    <row r="262" spans="5:5">
      <c r="E262" s="41"/>
    </row>
    <row r="263" spans="5:5">
      <c r="E263" s="41"/>
    </row>
    <row r="264" spans="5:5">
      <c r="E264" s="41"/>
    </row>
    <row r="265" spans="5:5">
      <c r="E265" s="41"/>
    </row>
    <row r="266" spans="5:5">
      <c r="E266" s="41"/>
    </row>
    <row r="267" spans="5:5">
      <c r="E267" s="41"/>
    </row>
    <row r="268" spans="5:5">
      <c r="E268" s="41"/>
    </row>
    <row r="269" spans="5:5">
      <c r="E269" s="41"/>
    </row>
    <row r="270" spans="5:5">
      <c r="E270" s="41"/>
    </row>
    <row r="271" spans="5:5">
      <c r="E271" s="41"/>
    </row>
    <row r="272" spans="5:5">
      <c r="E272" s="41"/>
    </row>
    <row r="273" spans="5:5">
      <c r="E273" s="41"/>
    </row>
    <row r="274" spans="5:5">
      <c r="E274" s="41"/>
    </row>
    <row r="275" spans="5:5">
      <c r="E275" s="41"/>
    </row>
    <row r="276" spans="5:5">
      <c r="E276" s="41"/>
    </row>
    <row r="277" spans="5:5">
      <c r="E277" s="41"/>
    </row>
    <row r="278" spans="5:5">
      <c r="E278" s="41"/>
    </row>
    <row r="279" spans="5:5">
      <c r="E279" s="41"/>
    </row>
    <row r="280" spans="5:5">
      <c r="E280" s="41"/>
    </row>
    <row r="281" spans="5:5">
      <c r="E281" s="41"/>
    </row>
    <row r="282" spans="5:5">
      <c r="E282" s="41"/>
    </row>
    <row r="283" spans="5:5">
      <c r="E283" s="41"/>
    </row>
    <row r="284" spans="5:5">
      <c r="E284" s="41"/>
    </row>
    <row r="285" spans="5:5">
      <c r="E285" s="41"/>
    </row>
    <row r="286" spans="5:5">
      <c r="E286" s="41"/>
    </row>
    <row r="287" spans="5:5">
      <c r="E287" s="41"/>
    </row>
    <row r="288" spans="5:5">
      <c r="E288" s="41"/>
    </row>
    <row r="289" spans="5:5">
      <c r="E289" s="41"/>
    </row>
    <row r="290" spans="5:5">
      <c r="E290" s="41"/>
    </row>
    <row r="291" spans="5:5">
      <c r="E291" s="41"/>
    </row>
    <row r="292" spans="5:5">
      <c r="E292" s="41"/>
    </row>
    <row r="293" spans="5:5">
      <c r="E293" s="41"/>
    </row>
    <row r="294" spans="5:5">
      <c r="E294" s="41"/>
    </row>
    <row r="295" spans="5:5">
      <c r="E295" s="41"/>
    </row>
    <row r="296" spans="5:5">
      <c r="E296" s="41"/>
    </row>
    <row r="297" spans="5:5">
      <c r="E297" s="41"/>
    </row>
    <row r="298" spans="5:5">
      <c r="E298" s="41"/>
    </row>
    <row r="299" spans="5:5">
      <c r="E299" s="41"/>
    </row>
    <row r="300" spans="5:5">
      <c r="E300" s="41"/>
    </row>
    <row r="301" spans="5:5">
      <c r="E301" s="41"/>
    </row>
    <row r="302" spans="5:5">
      <c r="E302" s="41"/>
    </row>
    <row r="303" spans="5:5">
      <c r="E303" s="41"/>
    </row>
    <row r="304" spans="5:5">
      <c r="E304" s="41"/>
    </row>
    <row r="305" spans="5:5">
      <c r="E305" s="41"/>
    </row>
    <row r="306" spans="5:5">
      <c r="E306" s="41"/>
    </row>
    <row r="307" spans="5:5">
      <c r="E307" s="41"/>
    </row>
    <row r="308" spans="5:5">
      <c r="E308" s="41"/>
    </row>
    <row r="309" spans="5:5">
      <c r="E309" s="41"/>
    </row>
    <row r="310" spans="5:5">
      <c r="E310" s="41"/>
    </row>
    <row r="311" spans="5:5">
      <c r="E311" s="41"/>
    </row>
    <row r="312" spans="5:5">
      <c r="E312" s="41"/>
    </row>
    <row r="313" spans="5:5">
      <c r="E313" s="41"/>
    </row>
    <row r="314" spans="5:5">
      <c r="E314" s="41"/>
    </row>
    <row r="315" spans="5:5">
      <c r="E315" s="41"/>
    </row>
    <row r="316" spans="5:5">
      <c r="E316" s="41"/>
    </row>
    <row r="317" spans="5:5">
      <c r="E317" s="41"/>
    </row>
    <row r="318" spans="5:5">
      <c r="E318" s="41"/>
    </row>
    <row r="319" spans="5:5">
      <c r="E319" s="41"/>
    </row>
    <row r="320" spans="5:5">
      <c r="E320" s="41"/>
    </row>
    <row r="321" spans="5:5">
      <c r="E321" s="41"/>
    </row>
    <row r="322" spans="5:5">
      <c r="E322" s="41"/>
    </row>
    <row r="323" spans="5:5">
      <c r="E323" s="41"/>
    </row>
    <row r="324" spans="5:5">
      <c r="E324" s="41"/>
    </row>
    <row r="325" spans="5:5">
      <c r="E325" s="41"/>
    </row>
    <row r="326" spans="5:5">
      <c r="E326" s="41"/>
    </row>
    <row r="327" spans="5:5">
      <c r="E327" s="41"/>
    </row>
    <row r="328" spans="5:5">
      <c r="E328" s="41"/>
    </row>
    <row r="329" spans="5:5">
      <c r="E329" s="41"/>
    </row>
    <row r="330" spans="5:5">
      <c r="E330" s="41"/>
    </row>
    <row r="331" spans="5:5">
      <c r="E331" s="41"/>
    </row>
    <row r="332" spans="5:5">
      <c r="E332" s="41"/>
    </row>
    <row r="333" spans="5:5">
      <c r="E333" s="41"/>
    </row>
    <row r="334" spans="5:5">
      <c r="E334" s="41"/>
    </row>
    <row r="335" spans="5:5">
      <c r="E335" s="41"/>
    </row>
    <row r="336" spans="5:5">
      <c r="E336" s="41"/>
    </row>
    <row r="337" spans="5:5">
      <c r="E337" s="41"/>
    </row>
    <row r="338" spans="5:5">
      <c r="E338" s="41"/>
    </row>
    <row r="339" spans="5:5">
      <c r="E339" s="41"/>
    </row>
    <row r="340" spans="5:5">
      <c r="E340" s="41"/>
    </row>
    <row r="341" spans="5:5">
      <c r="E341" s="41"/>
    </row>
    <row r="342" spans="5:5">
      <c r="E342" s="41"/>
    </row>
    <row r="343" spans="5:5">
      <c r="E343" s="41"/>
    </row>
    <row r="344" spans="5:5">
      <c r="E344" s="41"/>
    </row>
    <row r="345" spans="5:5">
      <c r="E345" s="41"/>
    </row>
    <row r="346" spans="5:5">
      <c r="E346" s="41"/>
    </row>
    <row r="347" spans="5:5">
      <c r="E347" s="41"/>
    </row>
    <row r="348" spans="5:5">
      <c r="E348" s="41"/>
    </row>
    <row r="349" spans="5:5">
      <c r="E349" s="41"/>
    </row>
    <row r="350" spans="5:5">
      <c r="E350" s="41"/>
    </row>
    <row r="351" spans="5:5">
      <c r="E351" s="41"/>
    </row>
    <row r="352" spans="5:5">
      <c r="E352" s="41"/>
    </row>
    <row r="353" spans="5:5">
      <c r="E353" s="41"/>
    </row>
    <row r="354" spans="5:5">
      <c r="E354" s="41"/>
    </row>
    <row r="355" spans="5:5">
      <c r="E355" s="41"/>
    </row>
    <row r="356" spans="5:5">
      <c r="E356" s="41"/>
    </row>
    <row r="357" spans="5:5">
      <c r="E357" s="41"/>
    </row>
    <row r="358" spans="5:5">
      <c r="E358" s="41"/>
    </row>
    <row r="359" spans="5:5">
      <c r="E359" s="41"/>
    </row>
    <row r="360" spans="5:5">
      <c r="E360" s="41"/>
    </row>
    <row r="361" spans="5:5">
      <c r="E361" s="41"/>
    </row>
    <row r="362" spans="5:5">
      <c r="E362" s="41"/>
    </row>
    <row r="363" spans="5:5">
      <c r="E363" s="41"/>
    </row>
    <row r="364" spans="5:5">
      <c r="E364" s="41"/>
    </row>
    <row r="365" spans="5:5">
      <c r="E365" s="41"/>
    </row>
    <row r="366" spans="5:5">
      <c r="E366" s="41"/>
    </row>
    <row r="367" spans="5:5">
      <c r="E367" s="41"/>
    </row>
    <row r="368" spans="5:5">
      <c r="E368" s="41"/>
    </row>
    <row r="369" spans="5:5">
      <c r="E369" s="41"/>
    </row>
    <row r="370" spans="5:5">
      <c r="E370" s="41"/>
    </row>
    <row r="371" spans="5:5">
      <c r="E371" s="41"/>
    </row>
    <row r="372" spans="5:5">
      <c r="E372" s="41"/>
    </row>
    <row r="373" spans="5:5">
      <c r="E373" s="41"/>
    </row>
    <row r="374" spans="5:5">
      <c r="E374" s="41"/>
    </row>
    <row r="375" spans="5:5">
      <c r="E375" s="41"/>
    </row>
    <row r="376" spans="5:5">
      <c r="E376" s="41"/>
    </row>
    <row r="377" spans="5:5">
      <c r="E377" s="41"/>
    </row>
    <row r="378" spans="5:5">
      <c r="E378" s="41"/>
    </row>
    <row r="379" spans="5:5">
      <c r="E379" s="41"/>
    </row>
    <row r="380" spans="5:5">
      <c r="E380" s="41"/>
    </row>
    <row r="381" spans="5:5">
      <c r="E381" s="41"/>
    </row>
    <row r="382" spans="5:5">
      <c r="E382" s="41"/>
    </row>
    <row r="383" spans="5:5">
      <c r="E383" s="41"/>
    </row>
    <row r="384" spans="5:5">
      <c r="E384" s="41"/>
    </row>
    <row r="385" spans="5:5">
      <c r="E385" s="41"/>
    </row>
    <row r="386" spans="5:5">
      <c r="E386" s="41"/>
    </row>
    <row r="387" spans="5:5">
      <c r="E387" s="41"/>
    </row>
    <row r="388" spans="5:5">
      <c r="E388" s="41"/>
    </row>
    <row r="389" spans="5:5">
      <c r="E389" s="41"/>
    </row>
    <row r="390" spans="5:5">
      <c r="E390" s="41"/>
    </row>
    <row r="391" spans="5:5">
      <c r="E391" s="41"/>
    </row>
    <row r="392" spans="5:5">
      <c r="E392" s="41"/>
    </row>
    <row r="393" spans="5:5">
      <c r="E393" s="41"/>
    </row>
    <row r="394" spans="5:5">
      <c r="E394" s="41"/>
    </row>
    <row r="395" spans="5:5">
      <c r="E395" s="41"/>
    </row>
    <row r="396" spans="5:5">
      <c r="E396" s="41"/>
    </row>
    <row r="397" spans="5:5">
      <c r="E397" s="41"/>
    </row>
    <row r="398" spans="5:5">
      <c r="E398" s="41"/>
    </row>
    <row r="399" spans="5:5">
      <c r="E399" s="41"/>
    </row>
    <row r="400" spans="5:5">
      <c r="E400" s="41"/>
    </row>
    <row r="401" spans="5:5">
      <c r="E401" s="41"/>
    </row>
    <row r="402" spans="5:5">
      <c r="E402" s="41"/>
    </row>
    <row r="403" spans="5:5">
      <c r="E403" s="41"/>
    </row>
    <row r="404" spans="5:5">
      <c r="E404" s="41"/>
    </row>
    <row r="405" spans="5:5">
      <c r="E405" s="41"/>
    </row>
    <row r="406" spans="5:5">
      <c r="E406" s="41"/>
    </row>
    <row r="407" spans="5:5">
      <c r="E407" s="41"/>
    </row>
    <row r="408" spans="5:5">
      <c r="E408" s="41"/>
    </row>
    <row r="409" spans="5:5">
      <c r="E409" s="41"/>
    </row>
    <row r="410" spans="5:5">
      <c r="E410" s="41"/>
    </row>
    <row r="411" spans="5:5">
      <c r="E411" s="41"/>
    </row>
    <row r="412" spans="5:5">
      <c r="E412" s="41"/>
    </row>
    <row r="413" spans="5:5">
      <c r="E413" s="41"/>
    </row>
    <row r="414" spans="5:5">
      <c r="E414" s="41"/>
    </row>
    <row r="415" spans="5:5">
      <c r="E415" s="41"/>
    </row>
    <row r="416" spans="5:5">
      <c r="E416" s="41"/>
    </row>
    <row r="417" spans="5:5">
      <c r="E417" s="41"/>
    </row>
    <row r="418" spans="5:5">
      <c r="E418" s="41"/>
    </row>
    <row r="419" spans="5:5">
      <c r="E419" s="41"/>
    </row>
    <row r="420" spans="5:5">
      <c r="E420" s="41"/>
    </row>
    <row r="421" spans="5:5">
      <c r="E421" s="41"/>
    </row>
    <row r="422" spans="5:5">
      <c r="E422" s="41"/>
    </row>
    <row r="423" spans="5:5">
      <c r="E423" s="41"/>
    </row>
    <row r="424" spans="5:5">
      <c r="E424" s="41"/>
    </row>
    <row r="425" spans="5:5">
      <c r="E425" s="41"/>
    </row>
    <row r="426" spans="5:5">
      <c r="E426" s="41"/>
    </row>
    <row r="427" spans="5:5">
      <c r="E427" s="41"/>
    </row>
    <row r="428" spans="5:5">
      <c r="E428" s="41"/>
    </row>
    <row r="429" spans="5:5">
      <c r="E429" s="41"/>
    </row>
    <row r="430" spans="5:5">
      <c r="E430" s="41"/>
    </row>
    <row r="431" spans="5:5">
      <c r="E431" s="41"/>
    </row>
    <row r="432" spans="5:5">
      <c r="E432" s="41"/>
    </row>
    <row r="433" spans="5:5">
      <c r="E433" s="41"/>
    </row>
    <row r="434" spans="5:5">
      <c r="E434" s="41"/>
    </row>
    <row r="435" spans="5:5">
      <c r="E435" s="41"/>
    </row>
    <row r="436" spans="5:5">
      <c r="E436" s="41"/>
    </row>
    <row r="437" spans="5:5">
      <c r="E437" s="41"/>
    </row>
    <row r="438" spans="5:5">
      <c r="E438" s="41"/>
    </row>
    <row r="439" spans="5:5">
      <c r="E439" s="41"/>
    </row>
    <row r="440" spans="5:5">
      <c r="E440" s="41"/>
    </row>
    <row r="441" spans="5:5">
      <c r="E441" s="41"/>
    </row>
    <row r="442" spans="5:5">
      <c r="E442" s="41"/>
    </row>
    <row r="443" spans="5:5">
      <c r="E443" s="41"/>
    </row>
    <row r="444" spans="5:5">
      <c r="E444" s="41"/>
    </row>
    <row r="445" spans="5:5">
      <c r="E445" s="41"/>
    </row>
    <row r="446" spans="5:5">
      <c r="E446" s="41"/>
    </row>
    <row r="447" spans="5:5">
      <c r="E447" s="41"/>
    </row>
    <row r="448" spans="5:5">
      <c r="E448" s="41"/>
    </row>
    <row r="449" spans="5:5">
      <c r="E449" s="41"/>
    </row>
    <row r="450" spans="5:5">
      <c r="E450" s="41"/>
    </row>
    <row r="451" spans="5:5">
      <c r="E451" s="41"/>
    </row>
    <row r="452" spans="5:5">
      <c r="E452" s="41"/>
    </row>
    <row r="453" spans="5:5">
      <c r="E453" s="41"/>
    </row>
    <row r="454" spans="5:5">
      <c r="E454" s="41"/>
    </row>
    <row r="455" spans="5:5">
      <c r="E455" s="41"/>
    </row>
    <row r="456" spans="5:5">
      <c r="E456" s="41"/>
    </row>
    <row r="457" spans="5:5">
      <c r="E457" s="41"/>
    </row>
    <row r="458" spans="5:5">
      <c r="E458" s="41"/>
    </row>
    <row r="459" spans="5:5">
      <c r="E459" s="41"/>
    </row>
    <row r="460" spans="5:5">
      <c r="E460" s="41"/>
    </row>
    <row r="461" spans="5:5">
      <c r="E461" s="41"/>
    </row>
    <row r="462" spans="5:5">
      <c r="E462" s="41"/>
    </row>
    <row r="463" spans="5:5">
      <c r="E463" s="41"/>
    </row>
    <row r="464" spans="5:5">
      <c r="E464" s="41"/>
    </row>
    <row r="465" spans="5:5">
      <c r="E465" s="41"/>
    </row>
    <row r="466" spans="5:5">
      <c r="E466" s="41"/>
    </row>
    <row r="467" spans="5:5">
      <c r="E467" s="41"/>
    </row>
    <row r="468" spans="5:5">
      <c r="E468" s="41"/>
    </row>
    <row r="469" spans="5:5">
      <c r="E469" s="41"/>
    </row>
    <row r="470" spans="5:5">
      <c r="E470" s="41"/>
    </row>
    <row r="471" spans="5:5">
      <c r="E471" s="41"/>
    </row>
    <row r="472" spans="5:5">
      <c r="E472" s="41"/>
    </row>
    <row r="473" spans="5:5">
      <c r="E473" s="41"/>
    </row>
    <row r="474" spans="5:5">
      <c r="E474" s="41"/>
    </row>
    <row r="475" spans="5:5">
      <c r="E475" s="41"/>
    </row>
    <row r="476" spans="5:5">
      <c r="E476" s="41"/>
    </row>
    <row r="477" spans="5:5">
      <c r="E477" s="41"/>
    </row>
    <row r="478" spans="5:5">
      <c r="E478" s="41"/>
    </row>
    <row r="479" spans="5:5">
      <c r="E479" s="41"/>
    </row>
    <row r="480" spans="5:5">
      <c r="E480" s="41"/>
    </row>
    <row r="481" spans="5:5">
      <c r="E481" s="41"/>
    </row>
    <row r="482" spans="5:5">
      <c r="E482" s="41"/>
    </row>
    <row r="483" spans="5:5">
      <c r="E483" s="41"/>
    </row>
    <row r="484" spans="5:5">
      <c r="E484" s="41"/>
    </row>
    <row r="485" spans="5:5">
      <c r="E485" s="41"/>
    </row>
    <row r="486" spans="5:5">
      <c r="E486" s="41"/>
    </row>
    <row r="487" spans="5:5">
      <c r="E487" s="41"/>
    </row>
    <row r="488" spans="5:5">
      <c r="E488" s="41"/>
    </row>
    <row r="489" spans="5:5">
      <c r="E489" s="41"/>
    </row>
    <row r="490" spans="5:5">
      <c r="E490" s="41"/>
    </row>
    <row r="491" spans="5:5">
      <c r="E491" s="41"/>
    </row>
    <row r="492" spans="5:5">
      <c r="E492" s="41"/>
    </row>
    <row r="493" spans="5:5">
      <c r="E493" s="41"/>
    </row>
    <row r="494" spans="5:5">
      <c r="E494" s="41"/>
    </row>
    <row r="495" spans="5:5">
      <c r="E495" s="41"/>
    </row>
    <row r="496" spans="5:5">
      <c r="E496" s="41"/>
    </row>
    <row r="497" spans="5:5">
      <c r="E497" s="41"/>
    </row>
    <row r="498" spans="5:5">
      <c r="E498" s="41"/>
    </row>
    <row r="499" spans="5:5">
      <c r="E499" s="41"/>
    </row>
    <row r="500" spans="5:5">
      <c r="E500" s="41"/>
    </row>
    <row r="501" spans="5:5">
      <c r="E501" s="41"/>
    </row>
    <row r="502" spans="5:5">
      <c r="E502" s="41"/>
    </row>
    <row r="503" spans="5:5">
      <c r="E503" s="41"/>
    </row>
    <row r="504" spans="5:5">
      <c r="E504" s="41"/>
    </row>
    <row r="505" spans="5:5">
      <c r="E505" s="41"/>
    </row>
    <row r="506" spans="5:5">
      <c r="E506" s="41"/>
    </row>
    <row r="507" spans="5:5">
      <c r="E507" s="41"/>
    </row>
    <row r="508" spans="5:5">
      <c r="E508" s="41"/>
    </row>
    <row r="509" spans="5:5">
      <c r="E509" s="41"/>
    </row>
    <row r="510" spans="5:5">
      <c r="E510" s="41"/>
    </row>
    <row r="511" spans="5:5">
      <c r="E511" s="41"/>
    </row>
    <row r="512" spans="5:5">
      <c r="E512" s="41"/>
    </row>
    <row r="513" spans="5:5">
      <c r="E513" s="41"/>
    </row>
    <row r="514" spans="5:5">
      <c r="E514" s="41"/>
    </row>
    <row r="515" spans="5:5">
      <c r="E515" s="41"/>
    </row>
    <row r="516" spans="5:5">
      <c r="E516" s="41"/>
    </row>
    <row r="517" spans="5:5">
      <c r="E517" s="41"/>
    </row>
    <row r="518" spans="5:5">
      <c r="E518" s="41"/>
    </row>
    <row r="519" spans="5:5">
      <c r="E519" s="41"/>
    </row>
    <row r="520" spans="5:5">
      <c r="E520" s="41"/>
    </row>
    <row r="521" spans="5:5">
      <c r="E521" s="41"/>
    </row>
    <row r="522" spans="5:5">
      <c r="E522" s="41"/>
    </row>
    <row r="523" spans="5:5">
      <c r="E523" s="41"/>
    </row>
    <row r="524" spans="5:5">
      <c r="E524" s="41"/>
    </row>
    <row r="525" spans="5:5">
      <c r="E525" s="41"/>
    </row>
    <row r="526" spans="5:5">
      <c r="E526" s="41"/>
    </row>
    <row r="527" spans="5:5">
      <c r="E527" s="41"/>
    </row>
    <row r="528" spans="5:5">
      <c r="E528" s="41"/>
    </row>
    <row r="529" spans="5:5">
      <c r="E529" s="41"/>
    </row>
    <row r="530" spans="5:5">
      <c r="E530" s="41"/>
    </row>
    <row r="531" spans="5:5">
      <c r="E531" s="41"/>
    </row>
    <row r="532" spans="5:5">
      <c r="E532" s="41"/>
    </row>
    <row r="533" spans="5:5">
      <c r="E533" s="41"/>
    </row>
    <row r="534" spans="5:5">
      <c r="E534" s="41"/>
    </row>
    <row r="535" spans="5:5">
      <c r="E535" s="41"/>
    </row>
    <row r="536" spans="5:5">
      <c r="E536" s="41"/>
    </row>
    <row r="537" spans="5:5">
      <c r="E537" s="41"/>
    </row>
    <row r="538" spans="5:5">
      <c r="E538" s="41"/>
    </row>
    <row r="539" spans="5:5">
      <c r="E539" s="41"/>
    </row>
    <row r="540" spans="5:5">
      <c r="E540" s="41"/>
    </row>
    <row r="541" spans="5:5">
      <c r="E541" s="41"/>
    </row>
    <row r="542" spans="5:5">
      <c r="E542" s="41"/>
    </row>
    <row r="543" spans="5:5">
      <c r="E543" s="41"/>
    </row>
    <row r="544" spans="5:5">
      <c r="E544" s="41"/>
    </row>
    <row r="545" spans="5:5">
      <c r="E545" s="41"/>
    </row>
    <row r="546" spans="5:5">
      <c r="E546" s="41"/>
    </row>
    <row r="547" spans="5:5">
      <c r="E547" s="41"/>
    </row>
    <row r="548" spans="5:5">
      <c r="E548" s="41"/>
    </row>
    <row r="549" spans="5:5">
      <c r="E549" s="41"/>
    </row>
    <row r="550" spans="5:5">
      <c r="E550" s="41"/>
    </row>
    <row r="551" spans="5:5">
      <c r="E551" s="41"/>
    </row>
    <row r="552" spans="5:5">
      <c r="E552" s="41"/>
    </row>
    <row r="553" spans="5:5">
      <c r="E553" s="41"/>
    </row>
    <row r="554" spans="5:5">
      <c r="E554" s="41"/>
    </row>
    <row r="555" spans="5:5">
      <c r="E555" s="41"/>
    </row>
    <row r="556" spans="5:5">
      <c r="E556" s="41"/>
    </row>
    <row r="557" spans="5:5">
      <c r="E557" s="41"/>
    </row>
    <row r="558" spans="5:5">
      <c r="E558" s="41"/>
    </row>
    <row r="559" spans="5:5">
      <c r="E559" s="41"/>
    </row>
    <row r="560" spans="5:5">
      <c r="E560" s="41"/>
    </row>
    <row r="561" spans="5:5">
      <c r="E561" s="41"/>
    </row>
    <row r="562" spans="5:5">
      <c r="E562" s="41"/>
    </row>
    <row r="563" spans="5:5">
      <c r="E563" s="41"/>
    </row>
    <row r="564" spans="5:5">
      <c r="E564" s="41"/>
    </row>
    <row r="565" spans="5:5">
      <c r="E565" s="41"/>
    </row>
    <row r="566" spans="5:5">
      <c r="E566" s="41"/>
    </row>
    <row r="567" spans="5:5">
      <c r="E567" s="41"/>
    </row>
    <row r="568" spans="5:5">
      <c r="E568" s="41"/>
    </row>
    <row r="569" spans="5:5">
      <c r="E569" s="41"/>
    </row>
    <row r="570" spans="5:5">
      <c r="E570" s="41"/>
    </row>
    <row r="571" spans="5:5">
      <c r="E571" s="41"/>
    </row>
    <row r="572" spans="5:5">
      <c r="E572" s="41"/>
    </row>
    <row r="573" spans="5:5">
      <c r="E573" s="41"/>
    </row>
    <row r="574" spans="5:5">
      <c r="E574" s="41"/>
    </row>
    <row r="575" spans="5:5">
      <c r="E575" s="41"/>
    </row>
    <row r="576" spans="5:5">
      <c r="E576" s="41"/>
    </row>
    <row r="577" spans="5:5">
      <c r="E577" s="41"/>
    </row>
    <row r="578" spans="5:5">
      <c r="E578" s="41"/>
    </row>
    <row r="579" spans="5:5">
      <c r="E579" s="41"/>
    </row>
    <row r="580" spans="5:5">
      <c r="E580" s="41"/>
    </row>
    <row r="581" spans="5:5">
      <c r="E581" s="41"/>
    </row>
    <row r="582" spans="5:5">
      <c r="E582" s="41"/>
    </row>
    <row r="583" spans="5:5">
      <c r="E583" s="41"/>
    </row>
    <row r="584" spans="5:5">
      <c r="E584" s="41"/>
    </row>
    <row r="585" spans="5:5">
      <c r="E585" s="41"/>
    </row>
    <row r="586" spans="5:5">
      <c r="E586" s="41"/>
    </row>
    <row r="587" spans="5:5">
      <c r="E587" s="41"/>
    </row>
    <row r="588" spans="5:5">
      <c r="E588" s="41"/>
    </row>
    <row r="589" spans="5:5">
      <c r="E589" s="41"/>
    </row>
    <row r="590" spans="5:5">
      <c r="E590" s="41"/>
    </row>
    <row r="591" spans="5:5">
      <c r="E591" s="41"/>
    </row>
    <row r="592" spans="5:5">
      <c r="E592" s="41"/>
    </row>
    <row r="593" spans="5:5">
      <c r="E593" s="41"/>
    </row>
    <row r="594" spans="5:5">
      <c r="E594" s="41"/>
    </row>
    <row r="595" spans="5:5">
      <c r="E595" s="41"/>
    </row>
    <row r="596" spans="5:5">
      <c r="E596" s="41"/>
    </row>
    <row r="597" spans="5:5">
      <c r="E597" s="41"/>
    </row>
    <row r="598" spans="5:5">
      <c r="E598" s="41"/>
    </row>
    <row r="599" spans="5:5">
      <c r="E599" s="41"/>
    </row>
    <row r="600" spans="5:5">
      <c r="E600" s="41"/>
    </row>
    <row r="601" spans="5:5">
      <c r="E601" s="41"/>
    </row>
    <row r="602" spans="5:5">
      <c r="E602" s="41"/>
    </row>
    <row r="603" spans="5:5">
      <c r="E603" s="41"/>
    </row>
    <row r="604" spans="5:5">
      <c r="E604" s="41"/>
    </row>
    <row r="605" spans="5:5">
      <c r="E605" s="41"/>
    </row>
    <row r="606" spans="5:5">
      <c r="E606" s="41"/>
    </row>
    <row r="607" spans="5:5">
      <c r="E607" s="41"/>
    </row>
    <row r="608" spans="5:5">
      <c r="E608" s="41"/>
    </row>
    <row r="609" spans="5:5">
      <c r="E609" s="41"/>
    </row>
    <row r="610" spans="5:5">
      <c r="E610" s="41"/>
    </row>
    <row r="611" spans="5:5">
      <c r="E611" s="41"/>
    </row>
    <row r="612" spans="5:5">
      <c r="E612" s="41"/>
    </row>
    <row r="613" spans="5:5">
      <c r="E613" s="41"/>
    </row>
    <row r="614" spans="5:5">
      <c r="E614" s="41"/>
    </row>
    <row r="615" spans="5:5">
      <c r="E615" s="41"/>
    </row>
    <row r="616" spans="5:5">
      <c r="E616" s="41"/>
    </row>
    <row r="617" spans="5:5">
      <c r="E617" s="41"/>
    </row>
    <row r="618" spans="5:5">
      <c r="E618" s="41"/>
    </row>
    <row r="619" spans="5:5">
      <c r="E619" s="41"/>
    </row>
    <row r="620" spans="5:5">
      <c r="E620" s="41"/>
    </row>
    <row r="621" spans="5:5">
      <c r="E621" s="41"/>
    </row>
    <row r="622" spans="5:5">
      <c r="E622" s="41"/>
    </row>
    <row r="623" spans="5:5">
      <c r="E623" s="41"/>
    </row>
    <row r="624" spans="5:5">
      <c r="E624" s="41"/>
    </row>
    <row r="625" spans="5:5">
      <c r="E625" s="41"/>
    </row>
    <row r="626" spans="5:5">
      <c r="E626" s="41"/>
    </row>
    <row r="627" spans="5:5">
      <c r="E627" s="41"/>
    </row>
    <row r="628" spans="5:5">
      <c r="E628" s="41"/>
    </row>
    <row r="629" spans="5:5">
      <c r="E629" s="41"/>
    </row>
    <row r="630" spans="5:5">
      <c r="E630" s="41"/>
    </row>
    <row r="631" spans="5:5">
      <c r="E631" s="41"/>
    </row>
    <row r="632" spans="5:5">
      <c r="E632" s="41"/>
    </row>
    <row r="633" spans="5:5">
      <c r="E633" s="41"/>
    </row>
    <row r="634" spans="5:5">
      <c r="E634" s="41"/>
    </row>
    <row r="635" spans="5:5">
      <c r="E635" s="41"/>
    </row>
    <row r="636" spans="5:5">
      <c r="E636" s="41"/>
    </row>
    <row r="637" spans="5:5">
      <c r="E637" s="41"/>
    </row>
    <row r="638" spans="5:5">
      <c r="E638" s="41"/>
    </row>
    <row r="639" spans="5:5">
      <c r="E639" s="41"/>
    </row>
    <row r="640" spans="5:5">
      <c r="E640" s="41"/>
    </row>
    <row r="641" spans="5:5">
      <c r="E641" s="41"/>
    </row>
    <row r="642" spans="5:5">
      <c r="E642" s="41"/>
    </row>
    <row r="643" spans="5:5">
      <c r="E643" s="41"/>
    </row>
    <row r="644" spans="5:5">
      <c r="E644" s="41"/>
    </row>
    <row r="645" spans="5:5">
      <c r="E645" s="41"/>
    </row>
    <row r="646" spans="5:5">
      <c r="E646" s="41"/>
    </row>
    <row r="647" spans="5:5">
      <c r="E647" s="41"/>
    </row>
    <row r="648" spans="5:5">
      <c r="E648" s="41"/>
    </row>
    <row r="649" spans="5:5">
      <c r="E649" s="41"/>
    </row>
    <row r="650" spans="5:5">
      <c r="E650" s="41"/>
    </row>
    <row r="651" spans="5:5">
      <c r="E651" s="41"/>
    </row>
    <row r="652" spans="5:5">
      <c r="E652" s="41"/>
    </row>
    <row r="653" spans="5:5">
      <c r="E653" s="41"/>
    </row>
    <row r="654" spans="5:5">
      <c r="E654" s="41"/>
    </row>
    <row r="655" spans="5:5">
      <c r="E655" s="41"/>
    </row>
    <row r="656" spans="5:5">
      <c r="E656" s="41"/>
    </row>
    <row r="657" spans="5:5">
      <c r="E657" s="41"/>
    </row>
    <row r="658" spans="5:5">
      <c r="E658" s="41"/>
    </row>
    <row r="659" spans="5:5">
      <c r="E659" s="41"/>
    </row>
    <row r="660" spans="5:5">
      <c r="E660" s="41"/>
    </row>
    <row r="661" spans="5:5">
      <c r="E661" s="41"/>
    </row>
    <row r="662" spans="5:5">
      <c r="E662" s="41"/>
    </row>
    <row r="663" spans="5:5">
      <c r="E663" s="41"/>
    </row>
    <row r="664" spans="5:5">
      <c r="E664" s="41"/>
    </row>
    <row r="665" spans="5:5">
      <c r="E665" s="41"/>
    </row>
    <row r="666" spans="5:5">
      <c r="E666" s="41"/>
    </row>
    <row r="667" spans="5:5">
      <c r="E667" s="41"/>
    </row>
    <row r="668" spans="5:5">
      <c r="E668" s="41"/>
    </row>
    <row r="669" spans="5:5">
      <c r="E669" s="41"/>
    </row>
    <row r="670" spans="5:5">
      <c r="E670" s="41"/>
    </row>
    <row r="671" spans="5:5">
      <c r="E671" s="41"/>
    </row>
    <row r="672" spans="5:5">
      <c r="E672" s="41"/>
    </row>
    <row r="673" spans="5:5">
      <c r="E673" s="41"/>
    </row>
    <row r="674" spans="5:5">
      <c r="E674" s="41"/>
    </row>
    <row r="675" spans="5:5">
      <c r="E675" s="41"/>
    </row>
    <row r="676" spans="5:5">
      <c r="E676" s="41"/>
    </row>
    <row r="677" spans="5:5">
      <c r="E677" s="41"/>
    </row>
    <row r="678" spans="5:5">
      <c r="E678" s="41"/>
    </row>
    <row r="679" spans="5:5">
      <c r="E679" s="41"/>
    </row>
    <row r="680" spans="5:5">
      <c r="E680" s="41"/>
    </row>
    <row r="681" spans="5:5">
      <c r="E681" s="41"/>
    </row>
    <row r="682" spans="5:5">
      <c r="E682" s="41"/>
    </row>
    <row r="683" spans="5:5">
      <c r="E683" s="41"/>
    </row>
    <row r="684" spans="5:5">
      <c r="E684" s="41"/>
    </row>
    <row r="685" spans="5:5">
      <c r="E685" s="41"/>
    </row>
    <row r="686" spans="5:5">
      <c r="E686" s="41"/>
    </row>
    <row r="687" spans="5:5">
      <c r="E687" s="41"/>
    </row>
    <row r="688" spans="5:5">
      <c r="E688" s="41"/>
    </row>
    <row r="689" spans="5:5">
      <c r="E689" s="41"/>
    </row>
    <row r="690" spans="5:5">
      <c r="E690" s="41"/>
    </row>
    <row r="691" spans="5:5">
      <c r="E691" s="41"/>
    </row>
    <row r="692" spans="5:5">
      <c r="E692" s="41"/>
    </row>
    <row r="693" spans="5:5">
      <c r="E693" s="41"/>
    </row>
    <row r="694" spans="5:5">
      <c r="E694" s="41"/>
    </row>
    <row r="695" spans="5:5">
      <c r="E695" s="41"/>
    </row>
    <row r="696" spans="5:5">
      <c r="E696" s="41"/>
    </row>
    <row r="697" spans="5:5">
      <c r="E697" s="41"/>
    </row>
    <row r="698" spans="5:5">
      <c r="E698" s="41"/>
    </row>
    <row r="699" spans="5:5">
      <c r="E699" s="41"/>
    </row>
    <row r="700" spans="5:5">
      <c r="E700" s="41"/>
    </row>
    <row r="701" spans="5:5">
      <c r="E701" s="41"/>
    </row>
    <row r="702" spans="5:5">
      <c r="E702" s="41"/>
    </row>
    <row r="703" spans="5:5">
      <c r="E703" s="41"/>
    </row>
    <row r="704" spans="5:5">
      <c r="E704" s="41"/>
    </row>
    <row r="705" spans="5:5">
      <c r="E705" s="41"/>
    </row>
    <row r="706" spans="5:5">
      <c r="E706" s="41"/>
    </row>
    <row r="707" spans="5:5">
      <c r="E707" s="41"/>
    </row>
    <row r="708" spans="5:5">
      <c r="E708" s="41"/>
    </row>
    <row r="709" spans="5:5">
      <c r="E709" s="41"/>
    </row>
    <row r="710" spans="5:5">
      <c r="E710" s="41"/>
    </row>
    <row r="711" spans="5:5">
      <c r="E711" s="41"/>
    </row>
    <row r="712" spans="5:5">
      <c r="E712" s="41"/>
    </row>
    <row r="713" spans="5:5">
      <c r="E713" s="41"/>
    </row>
    <row r="714" spans="5:5">
      <c r="E714" s="41"/>
    </row>
    <row r="715" spans="5:5">
      <c r="E715" s="41"/>
    </row>
    <row r="716" spans="5:5">
      <c r="E716" s="41"/>
    </row>
    <row r="717" spans="5:5">
      <c r="E717" s="41"/>
    </row>
    <row r="718" spans="5:5">
      <c r="E718" s="41"/>
    </row>
    <row r="719" spans="5:5">
      <c r="E719" s="41"/>
    </row>
    <row r="720" spans="5:5">
      <c r="E720" s="41"/>
    </row>
    <row r="721" spans="5:5">
      <c r="E721" s="41"/>
    </row>
    <row r="722" spans="5:5">
      <c r="E722" s="41"/>
    </row>
    <row r="723" spans="5:5">
      <c r="E723" s="41"/>
    </row>
    <row r="724" spans="5:5">
      <c r="E724" s="41"/>
    </row>
    <row r="725" spans="5:5">
      <c r="E725" s="41"/>
    </row>
    <row r="726" spans="5:5">
      <c r="E726" s="41"/>
    </row>
    <row r="727" spans="5:5">
      <c r="E727" s="41"/>
    </row>
    <row r="728" spans="5:5">
      <c r="E728" s="41"/>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C06554-E10A-4EED-9F12-41D896B1BE7A}">
  <dimension ref="B2:BK63"/>
  <sheetViews>
    <sheetView zoomScale="10" zoomScaleNormal="10" workbookViewId="0">
      <selection activeCell="AR46" sqref="AR46"/>
    </sheetView>
  </sheetViews>
  <sheetFormatPr defaultColWidth="8.7265625" defaultRowHeight="14.5"/>
  <cols>
    <col min="1" max="1" width="8.7265625" style="482"/>
    <col min="2" max="2" width="10.1796875" style="482" bestFit="1" customWidth="1"/>
    <col min="3" max="3" width="22.54296875" style="482" customWidth="1"/>
    <col min="4" max="4" width="18.26953125" style="482" bestFit="1" customWidth="1"/>
    <col min="5" max="5" width="18.1796875" style="482" customWidth="1"/>
    <col min="6" max="6" width="3.6328125" style="482" customWidth="1"/>
    <col min="7" max="7" width="12.1796875" style="482" customWidth="1"/>
    <col min="8" max="8" width="21.54296875" style="492" customWidth="1"/>
    <col min="9" max="9" width="15.453125" style="482" bestFit="1" customWidth="1"/>
    <col min="10" max="10" width="13.81640625" style="482" bestFit="1" customWidth="1"/>
    <col min="11" max="11" width="5.54296875" style="482" customWidth="1"/>
    <col min="12" max="12" width="11.1796875" style="482" customWidth="1"/>
    <col min="13" max="14" width="23.90625" style="482" customWidth="1"/>
    <col min="15" max="63" width="11.1796875" style="482" customWidth="1"/>
    <col min="64" max="16384" width="8.7265625" style="482"/>
  </cols>
  <sheetData>
    <row r="2" spans="2:63">
      <c r="C2" s="484"/>
      <c r="D2" s="484"/>
      <c r="E2" s="484"/>
      <c r="F2" s="484"/>
      <c r="G2" s="484"/>
      <c r="H2" s="493"/>
      <c r="I2" s="484"/>
      <c r="J2" s="484"/>
      <c r="K2" s="484"/>
      <c r="L2" s="484"/>
      <c r="M2" s="484"/>
      <c r="N2" s="484"/>
      <c r="O2" s="484"/>
      <c r="P2" s="484"/>
      <c r="Q2" s="484"/>
      <c r="R2" s="484"/>
      <c r="S2" s="484"/>
      <c r="T2" s="484"/>
      <c r="U2" s="484"/>
      <c r="V2" s="484"/>
      <c r="W2" s="484"/>
      <c r="X2" s="484"/>
      <c r="Y2" s="484"/>
      <c r="Z2" s="484"/>
      <c r="AA2" s="484"/>
      <c r="AB2" s="484"/>
      <c r="AC2" s="484"/>
      <c r="AD2" s="484"/>
    </row>
    <row r="3" spans="2:63">
      <c r="C3" s="484"/>
      <c r="D3" s="484"/>
      <c r="E3" s="484"/>
      <c r="F3" s="484"/>
      <c r="G3" s="484"/>
      <c r="H3" s="493"/>
      <c r="I3" s="484"/>
      <c r="J3" s="484"/>
      <c r="K3" s="484"/>
      <c r="L3" s="484"/>
      <c r="M3" s="484"/>
      <c r="N3" s="484"/>
      <c r="O3" s="484"/>
      <c r="P3" s="484"/>
      <c r="Q3" s="484"/>
      <c r="R3" s="484"/>
      <c r="S3" s="484"/>
      <c r="T3" s="484"/>
      <c r="U3" s="484"/>
      <c r="V3" s="484"/>
      <c r="W3" s="484"/>
      <c r="X3" s="484"/>
      <c r="Y3" s="484"/>
      <c r="Z3" s="484"/>
      <c r="AA3" s="484"/>
      <c r="AB3" s="484"/>
      <c r="AC3" s="484"/>
      <c r="AD3" s="484"/>
    </row>
    <row r="4" spans="2:63">
      <c r="B4" s="484"/>
      <c r="C4" s="484"/>
      <c r="D4" s="484"/>
      <c r="E4" s="484"/>
      <c r="F4" s="484"/>
      <c r="G4" s="484"/>
      <c r="H4" s="493"/>
      <c r="I4" s="484"/>
      <c r="J4" s="484"/>
      <c r="K4" s="484"/>
      <c r="L4" s="484"/>
      <c r="M4" s="484"/>
      <c r="N4" s="484"/>
      <c r="O4" s="484"/>
      <c r="P4" s="484"/>
      <c r="Q4" s="484"/>
      <c r="R4" s="484"/>
      <c r="S4" s="484"/>
      <c r="T4" s="484"/>
      <c r="U4" s="484"/>
      <c r="V4" s="484"/>
      <c r="W4" s="484"/>
      <c r="X4" s="484"/>
      <c r="Y4" s="484"/>
      <c r="Z4" s="484"/>
      <c r="AA4" s="484"/>
      <c r="AB4" s="484"/>
      <c r="AC4" s="484"/>
      <c r="AD4" s="484"/>
    </row>
    <row r="5" spans="2:63">
      <c r="B5" s="484"/>
      <c r="C5" s="484"/>
      <c r="D5" s="484"/>
      <c r="E5" s="484"/>
      <c r="F5" s="484"/>
      <c r="G5" s="484"/>
      <c r="H5" s="493"/>
      <c r="I5" s="484"/>
      <c r="J5" s="484"/>
      <c r="L5" s="484"/>
      <c r="M5" s="484"/>
      <c r="N5" s="484"/>
      <c r="O5" s="484"/>
      <c r="P5" s="484"/>
      <c r="Q5" s="484"/>
      <c r="R5" s="484"/>
      <c r="S5" s="484"/>
      <c r="T5" s="484"/>
      <c r="U5" s="484"/>
      <c r="V5" s="484"/>
      <c r="W5" s="484"/>
      <c r="X5" s="484"/>
      <c r="Y5" s="484"/>
      <c r="Z5" s="484"/>
      <c r="AA5" s="484"/>
      <c r="AB5" s="484"/>
      <c r="AC5" s="484"/>
      <c r="AD5" s="484"/>
    </row>
    <row r="6" spans="2:63">
      <c r="B6" s="484"/>
      <c r="C6" s="484"/>
      <c r="D6" s="484"/>
      <c r="E6" s="484"/>
      <c r="F6" s="484"/>
      <c r="G6" s="484"/>
      <c r="H6" s="493"/>
      <c r="I6" s="484"/>
      <c r="J6" s="484"/>
      <c r="L6" s="484"/>
      <c r="M6" s="484"/>
      <c r="N6" s="484"/>
      <c r="O6" s="484"/>
      <c r="P6" s="484"/>
      <c r="Q6" s="484"/>
      <c r="R6" s="484"/>
      <c r="S6" s="484"/>
      <c r="T6" s="484"/>
      <c r="U6" s="484"/>
      <c r="V6" s="484"/>
      <c r="W6" s="484"/>
      <c r="X6" s="484"/>
      <c r="Y6" s="484"/>
      <c r="Z6" s="484"/>
      <c r="AA6" s="484"/>
      <c r="AB6" s="484"/>
      <c r="AC6" s="484"/>
      <c r="AD6" s="484"/>
    </row>
    <row r="7" spans="2:63">
      <c r="B7" s="484"/>
      <c r="C7" s="484"/>
      <c r="D7" s="484"/>
      <c r="E7" s="484"/>
      <c r="F7" s="484"/>
      <c r="G7" s="484"/>
      <c r="H7" s="493"/>
      <c r="I7" s="484"/>
      <c r="J7" s="484"/>
      <c r="L7" s="484"/>
      <c r="M7" s="484"/>
      <c r="N7" s="484"/>
      <c r="O7" s="484"/>
      <c r="P7" s="484"/>
      <c r="Q7" s="484"/>
      <c r="R7" s="484"/>
      <c r="S7" s="484"/>
      <c r="T7" s="484"/>
      <c r="U7" s="484"/>
      <c r="V7" s="484"/>
      <c r="W7" s="484"/>
      <c r="X7" s="484"/>
      <c r="Y7" s="484"/>
      <c r="Z7" s="484"/>
      <c r="AA7" s="484"/>
      <c r="AB7" s="484"/>
      <c r="AC7" s="484"/>
      <c r="AD7" s="484"/>
    </row>
    <row r="8" spans="2:63">
      <c r="B8" s="484"/>
      <c r="C8" s="485"/>
      <c r="D8" s="485"/>
      <c r="E8" s="485"/>
      <c r="F8" s="485"/>
      <c r="G8" s="485"/>
      <c r="H8" s="494"/>
      <c r="I8" s="490"/>
      <c r="J8" s="490"/>
      <c r="L8" s="484"/>
      <c r="M8" s="485"/>
      <c r="N8" s="485"/>
      <c r="O8" s="485"/>
      <c r="P8" s="484"/>
      <c r="Q8" s="484"/>
      <c r="R8" s="484"/>
      <c r="S8" s="484"/>
      <c r="T8" s="484"/>
      <c r="U8" s="484"/>
      <c r="V8" s="484"/>
      <c r="W8" s="484"/>
      <c r="X8" s="484"/>
      <c r="Y8" s="484"/>
      <c r="Z8" s="484"/>
      <c r="AA8" s="484"/>
      <c r="AB8" s="484"/>
      <c r="AC8" s="484"/>
      <c r="AD8" s="484"/>
      <c r="AE8" s="486"/>
      <c r="AF8" s="486"/>
      <c r="AG8" s="486"/>
      <c r="AH8" s="486"/>
      <c r="AI8" s="486"/>
      <c r="AJ8" s="486"/>
      <c r="AK8" s="486"/>
      <c r="AL8" s="486"/>
      <c r="AM8" s="486"/>
      <c r="AN8" s="486"/>
      <c r="AO8" s="486"/>
      <c r="AP8" s="486"/>
      <c r="AQ8" s="486"/>
      <c r="AR8" s="486"/>
    </row>
    <row r="9" spans="2:63">
      <c r="B9" s="484"/>
      <c r="C9" s="485"/>
      <c r="D9" s="485"/>
      <c r="E9" s="485"/>
      <c r="F9" s="485"/>
      <c r="G9" s="485"/>
      <c r="H9" s="494"/>
      <c r="I9" s="490"/>
      <c r="J9" s="490"/>
      <c r="L9" s="484"/>
      <c r="M9" s="485"/>
      <c r="N9" s="485"/>
      <c r="O9" s="485"/>
      <c r="P9" s="484"/>
      <c r="Q9" s="484"/>
      <c r="R9" s="484"/>
      <c r="S9" s="484"/>
      <c r="T9" s="484"/>
      <c r="U9" s="484"/>
      <c r="V9" s="484"/>
      <c r="W9" s="484"/>
      <c r="X9" s="484"/>
      <c r="Y9" s="484"/>
      <c r="Z9" s="484"/>
      <c r="AA9" s="484"/>
      <c r="AB9" s="484"/>
      <c r="AC9" s="484"/>
      <c r="AD9" s="484"/>
      <c r="AE9" s="484"/>
      <c r="AF9" s="484"/>
      <c r="AG9" s="484"/>
      <c r="AH9" s="484"/>
      <c r="AI9" s="484"/>
      <c r="AJ9" s="484"/>
      <c r="AK9" s="484"/>
      <c r="AL9" s="484"/>
      <c r="AM9" s="484"/>
      <c r="AN9" s="484"/>
      <c r="AO9" s="484"/>
      <c r="AP9" s="484"/>
      <c r="AQ9" s="484"/>
      <c r="AR9" s="484"/>
      <c r="AT9" s="483"/>
      <c r="AU9" s="483"/>
      <c r="AV9" s="483"/>
      <c r="AW9" s="483"/>
      <c r="AX9" s="483"/>
      <c r="AY9" s="483"/>
      <c r="AZ9" s="483"/>
      <c r="BA9" s="483"/>
      <c r="BB9" s="483"/>
      <c r="BC9" s="483"/>
      <c r="BD9" s="483"/>
      <c r="BE9" s="483"/>
      <c r="BF9" s="483"/>
      <c r="BG9" s="483"/>
      <c r="BH9" s="483"/>
      <c r="BI9" s="483"/>
      <c r="BJ9" s="483"/>
      <c r="BK9" s="483"/>
    </row>
    <row r="10" spans="2:63">
      <c r="B10" s="484"/>
      <c r="C10" s="485"/>
      <c r="D10" s="485"/>
      <c r="E10" s="485"/>
      <c r="F10" s="485"/>
      <c r="G10" s="485"/>
      <c r="H10" s="494"/>
      <c r="I10" s="490"/>
      <c r="J10" s="490"/>
      <c r="L10" s="484"/>
      <c r="M10" s="485"/>
      <c r="N10" s="485"/>
      <c r="O10" s="485"/>
      <c r="P10" s="484"/>
      <c r="Q10" s="484"/>
      <c r="R10" s="484"/>
      <c r="S10" s="484"/>
      <c r="T10" s="484"/>
      <c r="U10" s="484"/>
      <c r="V10" s="484"/>
      <c r="W10" s="484"/>
      <c r="X10" s="484"/>
      <c r="Y10" s="484"/>
      <c r="Z10" s="484"/>
      <c r="AA10" s="484"/>
      <c r="AB10" s="484"/>
      <c r="AC10" s="484"/>
      <c r="AD10" s="484"/>
      <c r="AE10" s="484"/>
      <c r="AF10" s="484"/>
      <c r="AG10" s="484"/>
      <c r="AH10" s="484"/>
      <c r="AI10" s="484"/>
      <c r="AJ10" s="484"/>
      <c r="AK10" s="484"/>
      <c r="AL10" s="484"/>
      <c r="AM10" s="484"/>
      <c r="AN10" s="484"/>
      <c r="AO10" s="484"/>
      <c r="AP10" s="484"/>
      <c r="AQ10" s="484"/>
      <c r="AR10" s="484"/>
      <c r="AT10" s="483"/>
      <c r="AU10" s="483"/>
      <c r="AV10" s="483"/>
      <c r="AW10" s="483"/>
      <c r="AX10" s="483"/>
      <c r="AY10" s="483"/>
      <c r="AZ10" s="483"/>
      <c r="BA10" s="483"/>
      <c r="BB10" s="483"/>
      <c r="BC10" s="483"/>
      <c r="BD10" s="483"/>
      <c r="BE10" s="483"/>
      <c r="BF10" s="483"/>
      <c r="BG10" s="483"/>
      <c r="BH10" s="483"/>
      <c r="BI10" s="483"/>
      <c r="BJ10" s="483"/>
      <c r="BK10" s="483"/>
    </row>
    <row r="11" spans="2:63">
      <c r="B11" s="484"/>
      <c r="C11" s="485"/>
      <c r="D11" s="485"/>
      <c r="E11" s="485"/>
      <c r="F11" s="485"/>
      <c r="G11" s="485"/>
      <c r="H11" s="494"/>
      <c r="I11" s="490"/>
      <c r="J11" s="490"/>
      <c r="L11" s="484"/>
      <c r="M11" s="485"/>
      <c r="N11" s="485"/>
      <c r="O11" s="485"/>
      <c r="P11" s="484"/>
      <c r="Q11" s="484"/>
      <c r="R11" s="484"/>
      <c r="S11" s="484"/>
      <c r="T11" s="484"/>
      <c r="U11" s="484"/>
      <c r="V11" s="484"/>
      <c r="W11" s="484"/>
      <c r="X11" s="484"/>
      <c r="Y11" s="484"/>
      <c r="Z11" s="484"/>
      <c r="AA11" s="484"/>
      <c r="AB11" s="484"/>
      <c r="AC11" s="484"/>
      <c r="AD11" s="484"/>
      <c r="AE11" s="484"/>
      <c r="AF11" s="484"/>
      <c r="AG11" s="484"/>
      <c r="AH11" s="484"/>
      <c r="AI11" s="484"/>
      <c r="AJ11" s="484"/>
      <c r="AK11" s="484"/>
      <c r="AL11" s="484"/>
      <c r="AM11" s="484"/>
      <c r="AN11" s="484"/>
      <c r="AO11" s="484"/>
      <c r="AP11" s="484"/>
      <c r="AQ11" s="484"/>
      <c r="AR11" s="484"/>
      <c r="AT11" s="483"/>
      <c r="AU11" s="483"/>
    </row>
    <row r="12" spans="2:63">
      <c r="B12" s="484"/>
      <c r="C12" s="489"/>
      <c r="D12" s="489"/>
      <c r="E12" s="489"/>
      <c r="F12" s="489"/>
      <c r="G12" s="489"/>
      <c r="H12" s="495"/>
      <c r="I12" s="491"/>
      <c r="J12" s="491"/>
      <c r="L12" s="484"/>
      <c r="M12" s="489"/>
      <c r="N12" s="489"/>
      <c r="O12" s="489"/>
      <c r="P12" s="484"/>
      <c r="Q12" s="484"/>
      <c r="R12" s="484"/>
      <c r="S12" s="484"/>
      <c r="T12" s="484"/>
      <c r="U12" s="484"/>
      <c r="V12" s="484"/>
      <c r="W12" s="484"/>
      <c r="X12" s="484"/>
      <c r="Y12" s="484"/>
      <c r="Z12" s="484"/>
      <c r="AA12" s="484"/>
      <c r="AB12" s="484"/>
      <c r="AC12" s="484"/>
      <c r="AD12" s="484"/>
      <c r="AT12" s="483"/>
    </row>
    <row r="13" spans="2:63">
      <c r="B13" s="484"/>
      <c r="C13" s="489"/>
      <c r="D13" s="489"/>
      <c r="E13" s="489"/>
      <c r="F13" s="489"/>
      <c r="G13" s="489"/>
      <c r="H13" s="495"/>
      <c r="I13" s="491"/>
      <c r="J13" s="491"/>
      <c r="L13" s="484"/>
      <c r="M13" s="489"/>
      <c r="N13" s="489"/>
      <c r="O13" s="489"/>
      <c r="P13" s="484"/>
      <c r="Q13" s="484"/>
      <c r="R13" s="484"/>
      <c r="S13" s="484"/>
      <c r="T13" s="484"/>
      <c r="U13" s="484"/>
      <c r="V13" s="484"/>
      <c r="W13" s="484"/>
      <c r="X13" s="484"/>
      <c r="Y13" s="484"/>
      <c r="Z13" s="484"/>
      <c r="AA13" s="484"/>
      <c r="AB13" s="484"/>
      <c r="AC13" s="484"/>
      <c r="AD13" s="484"/>
      <c r="AT13" s="483"/>
    </row>
    <row r="14" spans="2:63">
      <c r="B14" s="484"/>
      <c r="C14" s="489"/>
      <c r="D14" s="489"/>
      <c r="E14" s="489"/>
      <c r="F14" s="489"/>
      <c r="G14" s="489"/>
      <c r="H14" s="495"/>
      <c r="I14" s="491"/>
      <c r="J14" s="491"/>
      <c r="L14" s="484"/>
      <c r="M14" s="489"/>
      <c r="N14" s="489"/>
      <c r="O14" s="489"/>
      <c r="P14" s="484"/>
      <c r="Q14" s="484"/>
      <c r="R14" s="484"/>
      <c r="S14" s="484"/>
      <c r="T14" s="484"/>
      <c r="U14" s="484"/>
      <c r="V14" s="484"/>
      <c r="W14" s="484"/>
      <c r="X14" s="484"/>
      <c r="Y14" s="484"/>
      <c r="Z14" s="484"/>
      <c r="AA14" s="484"/>
      <c r="AB14" s="484"/>
      <c r="AC14" s="484"/>
      <c r="AD14" s="484"/>
      <c r="AT14" s="483"/>
    </row>
    <row r="15" spans="2:63">
      <c r="B15" s="484"/>
      <c r="C15" s="489"/>
      <c r="D15" s="489"/>
      <c r="E15" s="489"/>
      <c r="F15" s="489"/>
      <c r="G15" s="489"/>
      <c r="H15" s="495"/>
      <c r="I15" s="491"/>
      <c r="J15" s="491"/>
      <c r="L15" s="484"/>
      <c r="M15" s="489"/>
      <c r="N15" s="489"/>
      <c r="O15" s="489"/>
      <c r="P15" s="484"/>
      <c r="Q15" s="484"/>
      <c r="R15" s="484"/>
      <c r="S15" s="484"/>
      <c r="T15" s="484"/>
      <c r="U15" s="484"/>
      <c r="V15" s="484"/>
      <c r="W15" s="484"/>
      <c r="X15" s="484"/>
      <c r="Y15" s="484"/>
      <c r="Z15" s="484"/>
      <c r="AA15" s="484"/>
      <c r="AB15" s="484"/>
      <c r="AC15" s="484"/>
      <c r="AD15" s="484"/>
      <c r="AT15" s="483"/>
    </row>
    <row r="16" spans="2:63">
      <c r="B16" s="484"/>
      <c r="C16" s="489"/>
      <c r="D16" s="489"/>
      <c r="E16" s="489"/>
      <c r="F16" s="489"/>
      <c r="G16" s="489"/>
      <c r="H16" s="495"/>
      <c r="I16" s="491"/>
      <c r="J16" s="491"/>
      <c r="L16" s="484"/>
      <c r="M16" s="489"/>
      <c r="N16" s="489"/>
      <c r="O16" s="489"/>
      <c r="P16" s="484"/>
      <c r="Q16" s="484"/>
      <c r="R16" s="484"/>
      <c r="S16" s="484"/>
      <c r="T16" s="484"/>
      <c r="U16" s="484"/>
      <c r="V16" s="484"/>
      <c r="W16" s="484"/>
      <c r="X16" s="484"/>
      <c r="Y16" s="484"/>
      <c r="Z16" s="484"/>
      <c r="AA16" s="484"/>
      <c r="AB16" s="484"/>
      <c r="AC16" s="484"/>
      <c r="AD16" s="484"/>
      <c r="AT16" s="483"/>
    </row>
    <row r="17" spans="2:63">
      <c r="B17" s="484"/>
      <c r="C17" s="489"/>
      <c r="D17" s="489"/>
      <c r="E17" s="489"/>
      <c r="F17" s="489"/>
      <c r="G17" s="489"/>
      <c r="H17" s="495"/>
      <c r="I17" s="491"/>
      <c r="J17" s="491"/>
      <c r="L17" s="484"/>
      <c r="M17" s="489"/>
      <c r="N17" s="489"/>
      <c r="O17" s="489"/>
      <c r="P17" s="484"/>
      <c r="Q17" s="484"/>
      <c r="R17" s="484"/>
      <c r="S17" s="484"/>
      <c r="T17" s="484"/>
      <c r="U17" s="484"/>
      <c r="V17" s="484"/>
      <c r="W17" s="484"/>
      <c r="X17" s="484"/>
      <c r="Y17" s="484"/>
      <c r="Z17" s="484"/>
      <c r="AA17" s="484"/>
      <c r="AB17" s="484"/>
      <c r="AC17" s="484"/>
      <c r="AD17" s="484"/>
      <c r="AT17" s="483"/>
    </row>
    <row r="18" spans="2:63">
      <c r="B18" s="484"/>
      <c r="C18" s="489"/>
      <c r="D18" s="489"/>
      <c r="E18" s="489"/>
      <c r="F18" s="489"/>
      <c r="G18" s="489"/>
      <c r="H18" s="495"/>
      <c r="I18" s="491"/>
      <c r="J18" s="491"/>
      <c r="L18" s="484"/>
      <c r="M18" s="489"/>
      <c r="N18" s="489"/>
      <c r="O18" s="489"/>
      <c r="P18" s="484"/>
      <c r="Q18" s="484"/>
      <c r="R18" s="484"/>
      <c r="S18" s="484"/>
      <c r="T18" s="484"/>
      <c r="U18" s="484"/>
      <c r="V18" s="484"/>
      <c r="W18" s="484"/>
      <c r="X18" s="484"/>
      <c r="Y18" s="484"/>
      <c r="Z18" s="484"/>
      <c r="AA18" s="484"/>
      <c r="AB18" s="484"/>
      <c r="AC18" s="484"/>
      <c r="AD18" s="484"/>
    </row>
    <row r="19" spans="2:63">
      <c r="B19" s="484"/>
      <c r="C19" s="489"/>
      <c r="D19" s="489"/>
      <c r="E19" s="489"/>
      <c r="F19" s="489"/>
      <c r="G19" s="489"/>
      <c r="H19" s="495"/>
      <c r="I19" s="491"/>
      <c r="J19" s="491"/>
      <c r="L19" s="484"/>
      <c r="M19" s="489"/>
      <c r="N19" s="489"/>
      <c r="O19" s="489"/>
      <c r="P19" s="484"/>
      <c r="Q19" s="484"/>
      <c r="R19" s="484"/>
      <c r="S19" s="484"/>
      <c r="T19" s="484"/>
      <c r="U19" s="484"/>
      <c r="V19" s="484"/>
      <c r="W19" s="484"/>
      <c r="X19" s="484"/>
      <c r="Y19" s="484"/>
      <c r="Z19" s="484"/>
      <c r="AA19" s="484"/>
      <c r="AB19" s="484"/>
      <c r="AC19" s="484"/>
      <c r="AD19" s="484"/>
    </row>
    <row r="20" spans="2:63">
      <c r="B20" s="484"/>
      <c r="C20" s="489"/>
      <c r="D20" s="489"/>
      <c r="E20" s="489"/>
      <c r="F20" s="489"/>
      <c r="G20" s="489"/>
      <c r="H20" s="495"/>
      <c r="I20" s="491"/>
      <c r="J20" s="491"/>
      <c r="L20" s="484"/>
      <c r="M20" s="489"/>
      <c r="N20" s="489"/>
      <c r="O20" s="489"/>
      <c r="P20" s="484"/>
      <c r="Q20" s="484"/>
      <c r="R20" s="484"/>
      <c r="S20" s="484"/>
    </row>
    <row r="21" spans="2:63">
      <c r="B21" s="484"/>
      <c r="C21" s="489"/>
      <c r="D21" s="489"/>
      <c r="E21" s="489"/>
      <c r="F21" s="489"/>
      <c r="G21" s="489"/>
      <c r="H21" s="495"/>
      <c r="I21" s="491"/>
      <c r="J21" s="491"/>
      <c r="L21" s="484"/>
      <c r="M21" s="485"/>
      <c r="N21" s="485"/>
      <c r="O21" s="485"/>
      <c r="P21" s="484"/>
      <c r="Q21" s="484"/>
      <c r="R21" s="484"/>
      <c r="S21" s="484"/>
    </row>
    <row r="22" spans="2:63">
      <c r="B22" s="484"/>
      <c r="C22" s="489"/>
      <c r="D22" s="489"/>
      <c r="E22" s="489"/>
      <c r="F22" s="489"/>
      <c r="G22" s="489"/>
      <c r="H22" s="495"/>
      <c r="I22" s="491"/>
      <c r="J22" s="491"/>
      <c r="L22" s="484"/>
      <c r="M22" s="485"/>
      <c r="N22" s="485"/>
      <c r="O22" s="485"/>
      <c r="P22" s="484"/>
      <c r="Q22" s="484"/>
      <c r="R22" s="484"/>
      <c r="S22" s="484"/>
      <c r="T22" s="487"/>
      <c r="U22" s="487"/>
      <c r="V22" s="487"/>
      <c r="W22" s="487"/>
      <c r="X22" s="487"/>
      <c r="Y22" s="487"/>
      <c r="Z22" s="487"/>
      <c r="AA22" s="487"/>
      <c r="AB22" s="487"/>
    </row>
    <row r="23" spans="2:63">
      <c r="B23" s="484"/>
      <c r="C23" s="489"/>
      <c r="D23" s="489"/>
      <c r="E23" s="489"/>
      <c r="F23" s="489"/>
      <c r="G23" s="489"/>
      <c r="H23" s="495"/>
      <c r="I23" s="491"/>
      <c r="J23" s="491"/>
      <c r="L23" s="484"/>
      <c r="M23" s="485"/>
      <c r="N23" s="489"/>
      <c r="O23" s="489"/>
      <c r="P23" s="484"/>
      <c r="Q23" s="484"/>
      <c r="R23" s="484"/>
      <c r="S23" s="484"/>
      <c r="T23" s="488"/>
      <c r="U23" s="488"/>
      <c r="V23" s="488"/>
      <c r="W23" s="488"/>
      <c r="X23" s="488"/>
      <c r="Y23" s="488"/>
      <c r="Z23" s="488"/>
      <c r="AA23" s="488"/>
      <c r="AB23" s="488"/>
      <c r="AD23" s="486"/>
      <c r="AE23" s="486"/>
      <c r="AF23" s="486"/>
      <c r="AG23" s="486"/>
      <c r="AH23" s="486"/>
      <c r="AI23" s="486"/>
      <c r="AJ23" s="486"/>
      <c r="AK23" s="486"/>
      <c r="AL23" s="486"/>
      <c r="AM23" s="486"/>
      <c r="AN23" s="486"/>
      <c r="AO23" s="486"/>
      <c r="AP23" s="486"/>
      <c r="AQ23" s="486"/>
    </row>
    <row r="24" spans="2:63">
      <c r="B24" s="484"/>
      <c r="C24" s="489"/>
      <c r="D24" s="489"/>
      <c r="E24" s="489"/>
      <c r="F24" s="489"/>
      <c r="G24" s="489"/>
      <c r="H24" s="495"/>
      <c r="I24" s="491"/>
      <c r="J24" s="491"/>
      <c r="L24" s="484"/>
      <c r="M24" s="489"/>
      <c r="N24" s="489"/>
      <c r="O24" s="489"/>
      <c r="P24" s="484"/>
      <c r="Q24" s="484"/>
      <c r="R24" s="484"/>
      <c r="S24" s="484"/>
      <c r="T24" s="484"/>
      <c r="U24" s="484"/>
      <c r="V24" s="484"/>
      <c r="W24" s="484"/>
      <c r="X24" s="484"/>
      <c r="Y24" s="484"/>
      <c r="Z24" s="484"/>
      <c r="AA24" s="484"/>
      <c r="AB24" s="484"/>
      <c r="AD24" s="484"/>
      <c r="AE24" s="484"/>
      <c r="AF24" s="484"/>
      <c r="AG24" s="484"/>
      <c r="AH24" s="484"/>
      <c r="AI24" s="484"/>
      <c r="AJ24" s="484"/>
      <c r="AK24" s="484"/>
      <c r="AL24" s="484"/>
      <c r="AM24" s="484"/>
      <c r="AN24" s="484"/>
      <c r="AO24" s="484"/>
      <c r="AP24" s="484"/>
      <c r="AQ24" s="484"/>
    </row>
    <row r="25" spans="2:63">
      <c r="B25" s="484"/>
      <c r="C25" s="489"/>
      <c r="D25" s="489"/>
      <c r="E25" s="489"/>
      <c r="F25" s="489"/>
      <c r="G25" s="489"/>
      <c r="H25" s="495"/>
      <c r="I25" s="491"/>
      <c r="J25" s="491"/>
      <c r="L25" s="484"/>
      <c r="M25" s="489"/>
      <c r="N25" s="489"/>
      <c r="O25" s="489"/>
      <c r="P25" s="484"/>
      <c r="Q25" s="484"/>
      <c r="R25" s="484"/>
      <c r="S25" s="484"/>
      <c r="T25" s="484"/>
      <c r="U25" s="484"/>
      <c r="V25" s="484"/>
      <c r="W25" s="484"/>
      <c r="X25" s="484"/>
      <c r="Y25" s="484"/>
      <c r="Z25" s="484"/>
      <c r="AA25" s="484"/>
      <c r="AB25" s="484"/>
      <c r="AD25" s="484"/>
      <c r="AE25" s="484"/>
      <c r="AF25" s="484"/>
      <c r="AG25" s="484"/>
      <c r="AH25" s="484"/>
      <c r="AI25" s="484"/>
      <c r="AJ25" s="484"/>
      <c r="AK25" s="484"/>
      <c r="AL25" s="484"/>
      <c r="AM25" s="484"/>
      <c r="AN25" s="484"/>
      <c r="AO25" s="484"/>
      <c r="AP25" s="484"/>
      <c r="AQ25" s="484"/>
    </row>
    <row r="26" spans="2:63">
      <c r="B26" s="484"/>
      <c r="C26"/>
      <c r="D26" s="489"/>
      <c r="E26" s="489"/>
      <c r="F26" s="489"/>
      <c r="G26" s="489"/>
      <c r="H26" s="495"/>
      <c r="I26" s="491"/>
      <c r="J26" s="491"/>
      <c r="L26" s="484"/>
      <c r="M26" s="489"/>
      <c r="N26" s="489"/>
      <c r="O26" s="489"/>
      <c r="P26" s="484"/>
      <c r="Q26" s="484"/>
      <c r="R26" s="484"/>
      <c r="S26" s="484"/>
      <c r="T26" s="484"/>
      <c r="U26" s="484"/>
      <c r="V26" s="484"/>
      <c r="W26" s="484"/>
      <c r="X26" s="484"/>
      <c r="Y26" s="484"/>
      <c r="Z26" s="484"/>
      <c r="AA26" s="484"/>
      <c r="AB26" s="484"/>
      <c r="AD26" s="484"/>
      <c r="AE26" s="484"/>
      <c r="AF26" s="484"/>
      <c r="AG26" s="484"/>
      <c r="AH26" s="484"/>
      <c r="AI26" s="484"/>
      <c r="AJ26" s="484"/>
      <c r="AK26" s="484"/>
      <c r="AL26" s="484"/>
      <c r="AM26" s="484"/>
      <c r="AN26" s="484"/>
      <c r="AO26" s="484"/>
      <c r="AP26" s="484"/>
      <c r="AQ26" s="484"/>
    </row>
    <row r="27" spans="2:63">
      <c r="B27" s="484"/>
      <c r="C27" s="489"/>
      <c r="D27" s="489"/>
      <c r="E27" s="489"/>
      <c r="F27" s="489"/>
      <c r="G27" s="489"/>
      <c r="H27" s="495"/>
      <c r="I27" s="491"/>
      <c r="J27" s="491"/>
      <c r="L27" s="484"/>
      <c r="M27" s="489"/>
      <c r="N27" s="489"/>
      <c r="O27" s="489"/>
      <c r="P27" s="484"/>
      <c r="Q27" s="484"/>
      <c r="R27" s="484"/>
      <c r="S27" s="484"/>
      <c r="T27" s="484"/>
      <c r="U27" s="484"/>
      <c r="V27" s="484"/>
      <c r="W27" s="484"/>
      <c r="X27" s="484"/>
      <c r="Y27" s="484"/>
      <c r="Z27" s="484"/>
      <c r="AA27" s="484"/>
      <c r="AB27" s="484"/>
      <c r="AD27" s="484"/>
      <c r="AE27" s="484"/>
      <c r="AF27" s="484"/>
      <c r="AG27" s="484"/>
      <c r="AH27" s="484"/>
      <c r="AI27" s="484"/>
      <c r="AJ27" s="484"/>
      <c r="AK27" s="484"/>
      <c r="AL27" s="484"/>
      <c r="AM27" s="484"/>
      <c r="AN27" s="484"/>
      <c r="AO27" s="484"/>
      <c r="AP27" s="484"/>
      <c r="AQ27" s="484"/>
    </row>
    <row r="28" spans="2:63">
      <c r="B28" s="484"/>
      <c r="C28" s="489"/>
      <c r="D28" s="489"/>
      <c r="E28" s="489"/>
      <c r="F28" s="489"/>
      <c r="G28" s="489"/>
      <c r="H28" s="495"/>
      <c r="I28" s="491"/>
      <c r="J28" s="491"/>
      <c r="L28" s="484"/>
      <c r="M28" s="489"/>
      <c r="N28" s="489"/>
      <c r="O28" s="489"/>
      <c r="P28" s="484"/>
      <c r="Q28" s="484"/>
      <c r="R28" s="484"/>
      <c r="S28" s="484"/>
      <c r="T28" s="484"/>
      <c r="U28" s="484"/>
      <c r="V28" s="484"/>
      <c r="W28" s="484"/>
      <c r="X28" s="484"/>
      <c r="Y28" s="484"/>
      <c r="Z28" s="484"/>
      <c r="AA28" s="484"/>
      <c r="AB28" s="484"/>
      <c r="AD28" s="484"/>
      <c r="AE28" s="484"/>
      <c r="AF28" s="484"/>
      <c r="AG28" s="484"/>
      <c r="AH28" s="484"/>
      <c r="AI28" s="484"/>
      <c r="AJ28" s="484"/>
      <c r="AK28" s="484"/>
      <c r="AL28" s="484"/>
      <c r="AM28" s="484"/>
      <c r="AN28" s="484"/>
      <c r="AO28" s="484"/>
      <c r="AP28" s="484"/>
      <c r="AQ28" s="484"/>
      <c r="BK28" s="484"/>
    </row>
    <row r="29" spans="2:63">
      <c r="B29" s="484"/>
      <c r="C29" s="489"/>
      <c r="D29" s="489"/>
      <c r="E29" s="489"/>
      <c r="F29" s="489"/>
      <c r="G29" s="489"/>
      <c r="H29" s="495"/>
      <c r="I29" s="491"/>
      <c r="J29" s="491"/>
      <c r="L29" s="484"/>
      <c r="M29" s="489"/>
      <c r="N29" s="489"/>
      <c r="O29" s="489"/>
      <c r="P29" s="484"/>
      <c r="Q29" s="484"/>
      <c r="R29" s="484"/>
      <c r="S29" s="484"/>
      <c r="T29" s="484"/>
      <c r="U29" s="484"/>
      <c r="V29" s="484"/>
      <c r="W29" s="484"/>
      <c r="X29" s="484"/>
      <c r="Y29" s="484"/>
      <c r="Z29" s="484"/>
      <c r="AA29" s="484"/>
      <c r="AB29" s="484"/>
      <c r="AD29" s="484"/>
      <c r="AE29" s="484"/>
      <c r="AF29" s="484"/>
      <c r="AG29" s="484"/>
      <c r="AH29" s="484"/>
      <c r="AI29" s="484"/>
      <c r="AJ29" s="484"/>
      <c r="AK29" s="484"/>
      <c r="AL29" s="484"/>
      <c r="AM29" s="484"/>
      <c r="AN29" s="484"/>
      <c r="AO29" s="484"/>
      <c r="AP29" s="484"/>
      <c r="AQ29" s="484"/>
      <c r="AR29" s="484"/>
      <c r="AT29" s="484"/>
      <c r="AU29" s="484"/>
      <c r="AV29" s="484"/>
      <c r="AW29" s="484"/>
      <c r="AX29" s="484"/>
      <c r="AY29" s="484"/>
      <c r="AZ29" s="484"/>
      <c r="BA29" s="484"/>
      <c r="BB29" s="484"/>
      <c r="BC29" s="484"/>
      <c r="BD29" s="484"/>
      <c r="BE29" s="484"/>
      <c r="BF29" s="484"/>
      <c r="BG29" s="484"/>
      <c r="BH29" s="484"/>
      <c r="BI29" s="484"/>
      <c r="BJ29" s="484"/>
      <c r="BK29" s="484"/>
    </row>
    <row r="30" spans="2:63">
      <c r="B30" s="484"/>
      <c r="C30" s="489"/>
      <c r="D30" s="489"/>
      <c r="E30" s="489"/>
      <c r="F30" s="489"/>
      <c r="G30" s="489"/>
      <c r="H30" s="495"/>
      <c r="I30" s="491"/>
      <c r="J30" s="491"/>
      <c r="L30" s="484"/>
      <c r="M30" s="489"/>
      <c r="N30" s="489"/>
      <c r="O30" s="489"/>
      <c r="P30" s="484"/>
      <c r="Q30" s="484"/>
      <c r="R30" s="484"/>
      <c r="S30" s="484"/>
      <c r="T30" s="484"/>
      <c r="U30" s="484"/>
      <c r="V30" s="484"/>
      <c r="W30" s="484"/>
      <c r="X30" s="484"/>
      <c r="Y30" s="484"/>
      <c r="Z30" s="484"/>
      <c r="AA30" s="484"/>
      <c r="AB30" s="484"/>
      <c r="AD30" s="484"/>
      <c r="AE30" s="484"/>
      <c r="AF30" s="484"/>
      <c r="AG30" s="484"/>
      <c r="AH30" s="484"/>
      <c r="AI30" s="484"/>
      <c r="AJ30" s="484"/>
      <c r="AK30" s="484"/>
      <c r="AL30" s="484"/>
      <c r="AM30" s="484"/>
      <c r="AN30" s="484"/>
      <c r="AO30" s="484"/>
      <c r="AP30" s="484"/>
      <c r="AQ30" s="484"/>
      <c r="AR30" s="484"/>
    </row>
    <row r="31" spans="2:63">
      <c r="B31" s="484"/>
      <c r="C31" s="489"/>
      <c r="D31" s="489"/>
      <c r="E31" s="489"/>
      <c r="F31" s="489"/>
      <c r="G31" s="489"/>
      <c r="H31" s="495"/>
      <c r="I31" s="491"/>
      <c r="J31" s="491"/>
      <c r="L31" s="484"/>
      <c r="M31" s="489"/>
      <c r="N31" s="489"/>
      <c r="O31" s="489"/>
      <c r="P31" s="484"/>
      <c r="Q31" s="484"/>
      <c r="R31" s="484"/>
      <c r="S31" s="484"/>
      <c r="T31" s="484"/>
      <c r="U31" s="484"/>
      <c r="V31" s="484"/>
      <c r="W31" s="484"/>
      <c r="X31" s="484"/>
      <c r="Y31" s="484"/>
      <c r="Z31" s="484"/>
      <c r="AA31" s="484"/>
      <c r="AB31" s="484"/>
      <c r="AD31" s="484"/>
      <c r="AE31" s="484"/>
      <c r="AF31" s="484"/>
      <c r="AG31" s="484"/>
      <c r="AH31" s="484"/>
      <c r="AI31" s="484"/>
      <c r="AJ31" s="484"/>
      <c r="AK31" s="484"/>
      <c r="AL31" s="484"/>
      <c r="AM31" s="484"/>
      <c r="AN31" s="484"/>
      <c r="AO31" s="484"/>
      <c r="AP31" s="484"/>
      <c r="AQ31" s="484"/>
      <c r="AR31" s="484"/>
    </row>
    <row r="32" spans="2:63">
      <c r="B32" s="484"/>
      <c r="C32" s="484"/>
      <c r="D32" s="484"/>
      <c r="E32" s="484"/>
      <c r="F32" s="484"/>
      <c r="G32" s="484"/>
      <c r="H32" s="493"/>
      <c r="J32" s="484"/>
      <c r="K32" s="484"/>
      <c r="L32" s="484"/>
      <c r="M32" s="484"/>
      <c r="N32" s="484"/>
      <c r="O32" s="484"/>
      <c r="P32" s="484"/>
      <c r="Q32" s="484"/>
      <c r="R32" s="484"/>
      <c r="S32" s="484"/>
      <c r="T32" s="484"/>
      <c r="U32" s="484"/>
      <c r="V32" s="484"/>
      <c r="W32" s="484"/>
      <c r="X32" s="484"/>
      <c r="Y32" s="484"/>
      <c r="Z32" s="484"/>
      <c r="AA32" s="484"/>
      <c r="AB32" s="484"/>
      <c r="AD32" s="484"/>
      <c r="AE32" s="484"/>
      <c r="AF32" s="484"/>
      <c r="AG32" s="484"/>
      <c r="AH32" s="484"/>
      <c r="AI32" s="484"/>
      <c r="AJ32" s="484"/>
      <c r="AK32" s="484"/>
      <c r="AL32" s="484"/>
      <c r="AM32" s="484"/>
      <c r="AN32" s="484"/>
      <c r="AO32" s="484"/>
      <c r="AP32" s="484"/>
      <c r="AQ32" s="484"/>
      <c r="AR32" s="484"/>
    </row>
    <row r="33" spans="2:44">
      <c r="B33" s="484"/>
      <c r="C33" s="484"/>
      <c r="D33" s="484"/>
      <c r="E33" s="484"/>
      <c r="F33" s="484"/>
      <c r="G33" s="484"/>
      <c r="H33" s="493"/>
      <c r="J33" s="484"/>
      <c r="K33" s="484"/>
      <c r="L33" s="484"/>
      <c r="M33" s="484"/>
      <c r="N33" s="484"/>
      <c r="O33" s="484"/>
      <c r="P33" s="484"/>
      <c r="Q33" s="484"/>
      <c r="R33" s="484"/>
      <c r="S33" s="484"/>
      <c r="T33" s="484"/>
      <c r="U33" s="484"/>
      <c r="V33" s="484"/>
      <c r="W33" s="484"/>
      <c r="X33" s="484"/>
      <c r="Y33" s="484"/>
      <c r="Z33" s="484"/>
      <c r="AA33" s="484"/>
      <c r="AB33" s="484"/>
      <c r="AD33" s="484"/>
      <c r="AE33" s="484"/>
      <c r="AF33" s="484"/>
      <c r="AG33" s="484"/>
      <c r="AH33" s="484"/>
      <c r="AI33" s="484"/>
      <c r="AJ33" s="484"/>
      <c r="AK33" s="484"/>
      <c r="AL33" s="484"/>
      <c r="AM33" s="484"/>
      <c r="AN33" s="484"/>
      <c r="AO33" s="484"/>
      <c r="AP33" s="484"/>
      <c r="AQ33" s="484"/>
      <c r="AR33" s="484"/>
    </row>
    <row r="34" spans="2:44">
      <c r="B34" s="484"/>
      <c r="D34" s="484"/>
      <c r="E34" s="484"/>
      <c r="F34" s="484"/>
      <c r="G34" s="484"/>
      <c r="H34" s="493"/>
      <c r="J34" s="484"/>
      <c r="K34" s="484"/>
      <c r="L34" s="484"/>
      <c r="M34" s="484"/>
      <c r="N34" s="484"/>
      <c r="O34" s="484"/>
      <c r="P34" s="484"/>
      <c r="Q34" s="484"/>
      <c r="R34" s="484"/>
      <c r="S34" s="484"/>
      <c r="T34" s="484"/>
      <c r="U34" s="484"/>
      <c r="V34" s="484"/>
      <c r="W34" s="484"/>
      <c r="X34" s="484"/>
      <c r="Y34" s="484"/>
      <c r="Z34" s="484"/>
      <c r="AA34" s="484"/>
      <c r="AB34" s="484"/>
      <c r="AD34" s="484"/>
      <c r="AE34" s="484"/>
      <c r="AF34" s="484"/>
      <c r="AG34" s="484"/>
      <c r="AH34" s="484"/>
      <c r="AI34" s="484"/>
      <c r="AJ34" s="484"/>
      <c r="AK34" s="484"/>
      <c r="AL34" s="484"/>
      <c r="AM34" s="484"/>
      <c r="AN34" s="484"/>
      <c r="AO34" s="484"/>
      <c r="AP34" s="484"/>
      <c r="AQ34" s="484"/>
      <c r="AR34" s="484"/>
    </row>
    <row r="35" spans="2:44">
      <c r="B35" s="484"/>
      <c r="C35" s="484"/>
      <c r="D35" s="484"/>
      <c r="E35" s="484"/>
      <c r="F35" s="484"/>
      <c r="G35" s="484"/>
      <c r="H35" s="493"/>
      <c r="J35" s="484"/>
      <c r="K35" s="484"/>
      <c r="L35" s="484"/>
      <c r="M35" s="484"/>
      <c r="N35" s="484"/>
      <c r="O35" s="484"/>
      <c r="P35" s="484"/>
      <c r="Q35" s="484"/>
      <c r="R35" s="484"/>
      <c r="S35" s="484"/>
      <c r="T35" s="484"/>
      <c r="U35" s="484"/>
      <c r="V35" s="484"/>
      <c r="W35" s="484"/>
      <c r="X35" s="484"/>
      <c r="Y35" s="484"/>
      <c r="Z35" s="484"/>
      <c r="AA35" s="484"/>
      <c r="AB35" s="484"/>
      <c r="AD35" s="484"/>
      <c r="AE35" s="484"/>
      <c r="AF35" s="484"/>
      <c r="AG35" s="484"/>
      <c r="AH35" s="484"/>
      <c r="AI35" s="484"/>
      <c r="AJ35" s="484"/>
      <c r="AK35" s="484"/>
      <c r="AL35" s="484"/>
      <c r="AM35" s="484"/>
      <c r="AN35" s="484"/>
      <c r="AO35" s="484"/>
      <c r="AP35" s="484"/>
      <c r="AQ35" s="484"/>
      <c r="AR35" s="484"/>
    </row>
    <row r="36" spans="2:44">
      <c r="B36" s="484"/>
      <c r="C36" s="484"/>
      <c r="D36" s="484"/>
      <c r="E36" s="484"/>
      <c r="F36" s="484"/>
      <c r="G36" s="484"/>
      <c r="H36" s="493"/>
      <c r="I36" s="484"/>
      <c r="J36" s="484"/>
      <c r="L36" s="484"/>
      <c r="M36" s="484"/>
      <c r="N36" s="484"/>
      <c r="O36" s="484"/>
      <c r="P36" s="484"/>
      <c r="Q36" s="484"/>
      <c r="R36" s="484"/>
      <c r="S36" s="484"/>
      <c r="T36" s="484"/>
      <c r="U36" s="484"/>
      <c r="V36" s="484"/>
      <c r="W36" s="484"/>
      <c r="X36" s="484"/>
      <c r="Y36" s="484"/>
      <c r="Z36" s="484"/>
      <c r="AA36" s="484"/>
      <c r="AB36" s="484"/>
      <c r="AD36" s="484"/>
      <c r="AE36" s="484"/>
      <c r="AF36" s="484"/>
      <c r="AG36" s="484"/>
      <c r="AH36" s="484"/>
      <c r="AI36" s="484"/>
      <c r="AJ36" s="484"/>
      <c r="AK36" s="484"/>
      <c r="AL36" s="484"/>
      <c r="AM36" s="484"/>
      <c r="AN36" s="484"/>
      <c r="AO36" s="484"/>
      <c r="AP36" s="484"/>
      <c r="AQ36" s="484"/>
      <c r="AR36" s="484"/>
    </row>
    <row r="37" spans="2:44">
      <c r="D37" s="484"/>
      <c r="E37" s="484"/>
      <c r="F37" s="484"/>
      <c r="G37" s="484"/>
      <c r="H37" s="493"/>
      <c r="I37" s="484"/>
      <c r="J37" s="484"/>
      <c r="L37" s="484"/>
      <c r="M37" s="484"/>
      <c r="N37" s="484"/>
      <c r="O37" s="484"/>
      <c r="P37" s="484"/>
      <c r="Q37" s="484"/>
      <c r="R37" s="484"/>
      <c r="S37" s="484"/>
    </row>
    <row r="38" spans="2:44">
      <c r="D38" s="484"/>
      <c r="E38" s="484"/>
      <c r="F38" s="484"/>
      <c r="G38" s="484"/>
      <c r="H38" s="493"/>
      <c r="I38" s="484"/>
      <c r="J38" s="484"/>
      <c r="L38" s="484"/>
      <c r="M38" s="484"/>
      <c r="N38" s="484"/>
      <c r="O38" s="484"/>
      <c r="P38" s="484"/>
      <c r="Q38" s="484"/>
      <c r="R38" s="484"/>
      <c r="S38" s="484"/>
    </row>
    <row r="39" spans="2:44">
      <c r="C39" s="484"/>
      <c r="D39" s="484"/>
      <c r="E39" s="484"/>
      <c r="F39" s="484"/>
      <c r="H39" s="484"/>
      <c r="I39" s="484"/>
      <c r="J39" s="484"/>
      <c r="K39" s="484"/>
      <c r="L39" s="484"/>
      <c r="M39" s="484"/>
      <c r="N39" s="484"/>
      <c r="O39" s="484"/>
      <c r="P39" s="484"/>
      <c r="Q39" s="484"/>
      <c r="R39" s="484"/>
      <c r="S39" s="484"/>
    </row>
    <row r="40" spans="2:44">
      <c r="B40" s="484"/>
      <c r="C40" s="496"/>
      <c r="D40" s="496"/>
      <c r="E40" s="496"/>
      <c r="F40" s="484"/>
      <c r="G40" s="484"/>
      <c r="H40" s="496"/>
      <c r="I40" s="497"/>
      <c r="J40" s="496"/>
      <c r="K40" s="484"/>
      <c r="L40" s="484"/>
      <c r="M40" s="496"/>
      <c r="N40" s="496"/>
      <c r="O40" s="496"/>
      <c r="P40" s="484"/>
      <c r="Q40" s="484"/>
      <c r="R40" s="484"/>
      <c r="S40" s="484"/>
      <c r="T40" s="484"/>
    </row>
    <row r="41" spans="2:44">
      <c r="B41" s="484"/>
      <c r="C41" s="496"/>
      <c r="D41" s="496"/>
      <c r="E41" s="496"/>
      <c r="F41" s="484"/>
      <c r="G41" s="484"/>
      <c r="H41" s="496"/>
      <c r="I41" s="497"/>
      <c r="J41" s="496"/>
      <c r="K41" s="484"/>
      <c r="L41" s="484"/>
      <c r="M41" s="496"/>
      <c r="N41" s="496"/>
      <c r="O41" s="496"/>
      <c r="P41" s="484"/>
      <c r="Q41" s="484"/>
      <c r="R41" s="484"/>
      <c r="S41" s="484"/>
      <c r="T41" s="484"/>
    </row>
    <row r="42" spans="2:44">
      <c r="B42" s="484"/>
      <c r="C42" s="496"/>
      <c r="D42" s="496"/>
      <c r="E42" s="496"/>
      <c r="F42" s="484"/>
      <c r="G42" s="484"/>
      <c r="H42" s="496"/>
      <c r="I42" s="497"/>
      <c r="J42" s="496"/>
      <c r="K42" s="484"/>
      <c r="L42" s="484"/>
      <c r="M42" s="496"/>
      <c r="N42" s="496"/>
      <c r="O42" s="496"/>
      <c r="P42" s="484"/>
      <c r="Q42" s="484"/>
      <c r="R42" s="484"/>
      <c r="S42" s="484"/>
      <c r="T42" s="484"/>
    </row>
    <row r="43" spans="2:44">
      <c r="B43" s="484"/>
      <c r="C43" s="496"/>
      <c r="D43" s="496"/>
      <c r="E43" s="496"/>
      <c r="F43" s="484"/>
      <c r="G43" s="484"/>
      <c r="H43" s="496"/>
      <c r="I43" s="497"/>
      <c r="J43" s="496"/>
      <c r="K43" s="484"/>
      <c r="L43" s="484"/>
      <c r="M43" s="496"/>
      <c r="N43" s="496"/>
      <c r="O43" s="496"/>
      <c r="P43" s="484"/>
      <c r="Q43" s="484"/>
      <c r="R43" s="484"/>
      <c r="S43" s="484"/>
      <c r="T43" s="484"/>
    </row>
    <row r="44" spans="2:44">
      <c r="B44" s="484"/>
      <c r="C44" s="496"/>
      <c r="D44" s="496"/>
      <c r="E44" s="496"/>
      <c r="F44" s="484"/>
      <c r="G44" s="484"/>
      <c r="H44" s="496"/>
      <c r="I44" s="497"/>
      <c r="J44" s="496"/>
      <c r="K44" s="484"/>
      <c r="L44" s="484"/>
      <c r="M44" s="496"/>
      <c r="N44" s="496"/>
      <c r="O44" s="496"/>
      <c r="P44" s="484"/>
      <c r="Q44" s="484"/>
      <c r="R44" s="484"/>
      <c r="S44" s="484"/>
      <c r="T44" s="484"/>
    </row>
    <row r="45" spans="2:44">
      <c r="B45" s="484"/>
      <c r="C45" s="496"/>
      <c r="D45" s="496"/>
      <c r="E45" s="496"/>
      <c r="F45" s="484"/>
      <c r="G45" s="484"/>
      <c r="H45" s="496"/>
      <c r="I45" s="497"/>
      <c r="J45" s="496"/>
      <c r="K45" s="484"/>
      <c r="L45" s="484"/>
      <c r="M45" s="496"/>
      <c r="N45" s="496"/>
      <c r="O45" s="496"/>
      <c r="P45" s="484"/>
      <c r="Q45" s="484"/>
      <c r="R45" s="484"/>
      <c r="S45" s="484"/>
      <c r="T45" s="484"/>
    </row>
    <row r="46" spans="2:44">
      <c r="B46" s="484"/>
      <c r="C46" s="496"/>
      <c r="D46" s="496"/>
      <c r="E46" s="496"/>
      <c r="F46" s="484"/>
      <c r="G46" s="484"/>
      <c r="H46" s="496"/>
      <c r="I46" s="497"/>
      <c r="J46" s="496"/>
      <c r="K46" s="484"/>
      <c r="L46" s="484"/>
      <c r="M46" s="496"/>
      <c r="N46" s="496"/>
      <c r="O46" s="496"/>
      <c r="P46" s="484"/>
      <c r="Q46" s="484"/>
      <c r="R46" s="484"/>
      <c r="S46" s="484"/>
      <c r="T46" s="484"/>
    </row>
    <row r="47" spans="2:44">
      <c r="B47" s="484"/>
      <c r="C47" s="496"/>
      <c r="D47" s="496"/>
      <c r="E47" s="496"/>
      <c r="F47" s="484"/>
      <c r="G47" s="484"/>
      <c r="H47" s="496"/>
      <c r="I47" s="497"/>
      <c r="J47" s="496"/>
      <c r="K47" s="484"/>
      <c r="L47" s="484"/>
      <c r="M47" s="496"/>
      <c r="N47" s="496"/>
      <c r="O47" s="496"/>
      <c r="P47" s="484"/>
      <c r="Q47" s="484"/>
      <c r="R47" s="484"/>
      <c r="S47" s="484"/>
      <c r="T47" s="484"/>
    </row>
    <row r="48" spans="2:44">
      <c r="B48" s="484"/>
      <c r="C48" s="496"/>
      <c r="D48" s="496"/>
      <c r="E48" s="496"/>
      <c r="F48" s="484"/>
      <c r="G48" s="484"/>
      <c r="H48" s="496"/>
      <c r="I48" s="497"/>
      <c r="J48" s="496"/>
      <c r="K48" s="484"/>
      <c r="L48" s="484"/>
      <c r="M48" s="496"/>
      <c r="N48" s="496"/>
      <c r="O48" s="496"/>
      <c r="P48" s="484"/>
      <c r="Q48" s="484"/>
      <c r="R48" s="484"/>
      <c r="S48" s="484"/>
      <c r="T48" s="484"/>
    </row>
    <row r="49" spans="2:20">
      <c r="B49" s="484"/>
      <c r="C49" s="496"/>
      <c r="D49" s="496"/>
      <c r="E49" s="496"/>
      <c r="F49" s="484"/>
      <c r="G49" s="484"/>
      <c r="H49" s="496"/>
      <c r="I49" s="497"/>
      <c r="J49" s="496"/>
      <c r="K49" s="484"/>
      <c r="L49" s="484"/>
      <c r="M49" s="496"/>
      <c r="N49" s="496"/>
      <c r="O49" s="496"/>
      <c r="P49" s="484"/>
      <c r="Q49" s="484"/>
      <c r="R49" s="484"/>
      <c r="S49" s="484"/>
      <c r="T49" s="484"/>
    </row>
    <row r="50" spans="2:20">
      <c r="B50" s="484"/>
      <c r="C50" s="496"/>
      <c r="D50" s="496"/>
      <c r="E50" s="496"/>
      <c r="F50" s="484"/>
      <c r="G50" s="484"/>
      <c r="H50" s="496"/>
      <c r="I50" s="497"/>
      <c r="J50" s="496"/>
      <c r="K50" s="484"/>
      <c r="L50" s="484"/>
      <c r="M50" s="496"/>
      <c r="N50" s="496"/>
      <c r="O50" s="496"/>
      <c r="P50" s="484"/>
      <c r="Q50" s="484"/>
      <c r="R50" s="484"/>
      <c r="S50" s="484"/>
      <c r="T50" s="484"/>
    </row>
    <row r="51" spans="2:20">
      <c r="B51" s="484"/>
      <c r="C51" s="496"/>
      <c r="D51" s="496"/>
      <c r="E51" s="496"/>
      <c r="F51" s="484"/>
      <c r="G51" s="484"/>
      <c r="H51" s="496"/>
      <c r="I51" s="497"/>
      <c r="J51" s="496"/>
      <c r="K51" s="484"/>
      <c r="L51" s="484"/>
      <c r="M51" s="496"/>
      <c r="N51" s="496"/>
      <c r="O51" s="496"/>
      <c r="P51" s="484"/>
      <c r="Q51" s="484"/>
      <c r="R51" s="484"/>
      <c r="S51" s="484"/>
      <c r="T51" s="484"/>
    </row>
    <row r="52" spans="2:20">
      <c r="B52" s="484"/>
      <c r="C52" s="496"/>
      <c r="D52" s="496"/>
      <c r="E52" s="496"/>
      <c r="F52" s="484"/>
      <c r="G52" s="484"/>
      <c r="H52" s="496"/>
      <c r="I52" s="497"/>
      <c r="J52" s="496"/>
      <c r="K52" s="484"/>
      <c r="L52" s="484"/>
      <c r="M52" s="496"/>
      <c r="N52" s="496"/>
      <c r="O52" s="496"/>
      <c r="P52" s="484"/>
      <c r="Q52" s="484"/>
      <c r="R52" s="484"/>
      <c r="S52" s="484"/>
      <c r="T52" s="484"/>
    </row>
    <row r="53" spans="2:20">
      <c r="B53" s="484"/>
      <c r="C53" s="496"/>
      <c r="D53" s="496"/>
      <c r="E53" s="496"/>
      <c r="F53" s="484"/>
      <c r="G53" s="484"/>
      <c r="H53" s="496"/>
      <c r="I53" s="497"/>
      <c r="J53" s="496"/>
      <c r="K53" s="484"/>
      <c r="L53" s="484"/>
      <c r="M53" s="496"/>
      <c r="N53" s="496"/>
      <c r="O53" s="496"/>
      <c r="P53" s="484"/>
      <c r="Q53" s="484"/>
      <c r="R53" s="484"/>
      <c r="S53" s="484"/>
      <c r="T53" s="484"/>
    </row>
    <row r="54" spans="2:20">
      <c r="B54" s="484"/>
      <c r="C54" s="496"/>
      <c r="D54" s="496"/>
      <c r="E54" s="496"/>
      <c r="F54" s="484"/>
      <c r="G54" s="484"/>
      <c r="H54" s="496"/>
      <c r="I54" s="497"/>
      <c r="J54" s="496"/>
      <c r="K54" s="484"/>
      <c r="L54" s="484"/>
      <c r="M54" s="496"/>
      <c r="N54" s="496"/>
      <c r="O54" s="496"/>
      <c r="P54" s="484"/>
      <c r="Q54" s="484"/>
      <c r="R54" s="484"/>
      <c r="S54" s="484"/>
      <c r="T54" s="484"/>
    </row>
    <row r="55" spans="2:20">
      <c r="B55" s="484"/>
      <c r="C55" s="484"/>
      <c r="D55" s="484"/>
      <c r="E55" s="489"/>
      <c r="F55" s="484"/>
      <c r="G55" s="484"/>
      <c r="H55" s="493"/>
      <c r="I55" s="484"/>
      <c r="J55" s="484"/>
      <c r="K55" s="484"/>
      <c r="L55" s="484"/>
      <c r="M55" s="484"/>
      <c r="N55" s="484"/>
      <c r="O55" s="484"/>
      <c r="P55" s="484"/>
      <c r="Q55" s="484"/>
      <c r="R55" s="484"/>
      <c r="S55" s="484"/>
    </row>
    <row r="56" spans="2:20">
      <c r="B56" s="484"/>
      <c r="C56" s="484"/>
      <c r="D56" s="484"/>
      <c r="E56" s="489"/>
      <c r="F56" s="484"/>
      <c r="G56" s="484"/>
      <c r="H56" s="493"/>
      <c r="I56" s="484"/>
      <c r="J56" s="484"/>
      <c r="K56" s="484"/>
      <c r="L56" s="484"/>
      <c r="M56" s="484"/>
      <c r="N56" s="484"/>
      <c r="O56" s="484"/>
      <c r="P56" s="484"/>
      <c r="Q56" s="484"/>
      <c r="R56" s="484"/>
      <c r="S56" s="484"/>
    </row>
    <row r="57" spans="2:20">
      <c r="B57" s="484"/>
      <c r="C57" s="484"/>
      <c r="D57" s="484"/>
      <c r="E57" s="489"/>
      <c r="F57" s="484"/>
      <c r="G57" s="484"/>
      <c r="H57" s="493"/>
      <c r="I57" s="484"/>
      <c r="J57" s="484"/>
      <c r="K57" s="484"/>
      <c r="L57" s="484"/>
      <c r="M57" s="484"/>
      <c r="N57" s="484"/>
      <c r="O57" s="484"/>
      <c r="P57" s="484"/>
      <c r="Q57" s="484"/>
      <c r="R57" s="484"/>
      <c r="S57" s="484"/>
    </row>
    <row r="58" spans="2:20">
      <c r="B58" s="484"/>
      <c r="C58" s="484"/>
      <c r="D58" s="484"/>
      <c r="E58" s="489"/>
      <c r="F58" s="484"/>
      <c r="G58" s="484"/>
      <c r="H58" s="493"/>
      <c r="I58" s="484"/>
      <c r="J58" s="484"/>
      <c r="K58" s="484"/>
      <c r="L58" s="484"/>
      <c r="M58" s="484"/>
      <c r="N58" s="484"/>
      <c r="O58" s="484"/>
      <c r="P58" s="484"/>
      <c r="Q58" s="484"/>
      <c r="R58" s="484"/>
      <c r="S58" s="484"/>
    </row>
    <row r="59" spans="2:20">
      <c r="B59" s="484"/>
      <c r="C59" s="484"/>
      <c r="D59" s="484"/>
      <c r="E59" s="484"/>
      <c r="F59" s="484"/>
      <c r="G59" s="484"/>
      <c r="H59" s="493"/>
      <c r="I59" s="484"/>
      <c r="J59" s="484"/>
      <c r="K59" s="484"/>
      <c r="L59" s="484"/>
      <c r="M59" s="484"/>
      <c r="N59" s="484"/>
      <c r="O59" s="484"/>
      <c r="P59" s="484"/>
      <c r="Q59" s="484"/>
      <c r="R59" s="484"/>
      <c r="S59" s="484"/>
    </row>
    <row r="60" spans="2:20">
      <c r="B60" s="484"/>
      <c r="C60" s="484"/>
      <c r="D60" s="484"/>
      <c r="E60" s="484"/>
      <c r="F60" s="484"/>
      <c r="G60" s="484"/>
      <c r="H60" s="493"/>
      <c r="I60" s="484"/>
      <c r="J60" s="484"/>
      <c r="K60" s="484"/>
      <c r="L60" s="484"/>
      <c r="M60" s="484"/>
      <c r="N60" s="484"/>
      <c r="O60" s="484"/>
      <c r="P60" s="484"/>
      <c r="Q60" s="484"/>
      <c r="R60" s="484"/>
      <c r="S60" s="484"/>
    </row>
    <row r="61" spans="2:20">
      <c r="B61" s="484"/>
      <c r="C61" s="484"/>
      <c r="D61" s="484"/>
      <c r="E61" s="484"/>
      <c r="F61" s="484"/>
      <c r="G61" s="484"/>
      <c r="H61" s="493"/>
      <c r="I61" s="484"/>
      <c r="J61" s="484"/>
      <c r="K61" s="484"/>
      <c r="L61" s="484"/>
      <c r="M61" s="484"/>
      <c r="N61" s="484"/>
      <c r="O61" s="484"/>
      <c r="P61" s="484"/>
      <c r="Q61" s="484"/>
      <c r="R61" s="484"/>
      <c r="S61" s="484"/>
    </row>
    <row r="62" spans="2:20">
      <c r="B62" s="484"/>
      <c r="C62" s="484"/>
      <c r="D62" s="484"/>
      <c r="E62" s="484"/>
      <c r="F62" s="484"/>
      <c r="G62" s="484"/>
      <c r="H62" s="493"/>
      <c r="I62" s="484"/>
      <c r="J62" s="484"/>
      <c r="K62" s="484"/>
      <c r="L62" s="484"/>
      <c r="M62" s="484"/>
      <c r="N62" s="484"/>
      <c r="O62" s="484"/>
      <c r="P62" s="484"/>
      <c r="Q62" s="484"/>
      <c r="R62" s="484"/>
      <c r="S62" s="484"/>
    </row>
    <row r="63" spans="2:20">
      <c r="B63" s="484"/>
      <c r="C63" s="484"/>
      <c r="D63" s="484"/>
      <c r="E63" s="484"/>
      <c r="F63" s="484"/>
      <c r="G63" s="484"/>
      <c r="H63" s="493"/>
      <c r="I63" s="484"/>
      <c r="J63" s="484"/>
      <c r="K63" s="484"/>
      <c r="L63" s="484"/>
      <c r="M63" s="484"/>
      <c r="N63" s="484"/>
      <c r="O63" s="484"/>
      <c r="P63" s="484"/>
      <c r="Q63" s="484"/>
      <c r="R63" s="484"/>
      <c r="S63" s="484"/>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2EC4F-31C8-4737-BFF4-FE591DF00DDB}">
  <sheetPr codeName="Sheet20">
    <tabColor rgb="FF0070C0"/>
  </sheetPr>
  <dimension ref="A1"/>
  <sheetViews>
    <sheetView workbookViewId="0"/>
  </sheetViews>
  <sheetFormatPr defaultRowHeight="14.5"/>
  <sheetData/>
  <pageMargins left="0.7" right="0.7" top="0.75" bottom="0.75" header="0.3" footer="0.3"/>
  <customProperties>
    <customPr name="UniqueWorksheetId" r:id="rId1"/>
  </customPropertie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41E0-BCB6-42CC-850B-770610522E54}">
  <sheetPr codeName="Sheet8"/>
  <dimension ref="A1:G197"/>
  <sheetViews>
    <sheetView workbookViewId="0">
      <selection activeCell="G53" sqref="G53"/>
    </sheetView>
  </sheetViews>
  <sheetFormatPr defaultColWidth="9.1796875" defaultRowHeight="14" outlineLevelCol="1"/>
  <cols>
    <col min="1" max="1" width="50.81640625" style="253" customWidth="1" outlineLevel="1"/>
    <col min="2" max="2" width="2.81640625" style="233" customWidth="1"/>
    <col min="3" max="3" width="20.453125" style="255" customWidth="1"/>
    <col min="4" max="4" width="12.54296875" style="255" customWidth="1"/>
    <col min="5" max="5" width="12.54296875" style="256" customWidth="1"/>
    <col min="6" max="6" width="20.26953125" style="256" bestFit="1" customWidth="1"/>
    <col min="7" max="7" width="20.26953125" style="256" customWidth="1"/>
    <col min="8" max="256" width="9.1796875" style="256"/>
    <col min="257" max="257" width="50.81640625" style="256" customWidth="1"/>
    <col min="258" max="258" width="2.81640625" style="256" customWidth="1"/>
    <col min="259" max="259" width="20.453125" style="256" customWidth="1"/>
    <col min="260" max="261" width="12.54296875" style="256" customWidth="1"/>
    <col min="262" max="262" width="20.26953125" style="256" bestFit="1" customWidth="1"/>
    <col min="263" max="263" width="20.26953125" style="256" customWidth="1"/>
    <col min="264" max="512" width="9.1796875" style="256"/>
    <col min="513" max="513" width="50.81640625" style="256" customWidth="1"/>
    <col min="514" max="514" width="2.81640625" style="256" customWidth="1"/>
    <col min="515" max="515" width="20.453125" style="256" customWidth="1"/>
    <col min="516" max="517" width="12.54296875" style="256" customWidth="1"/>
    <col min="518" max="518" width="20.26953125" style="256" bestFit="1" customWidth="1"/>
    <col min="519" max="519" width="20.26953125" style="256" customWidth="1"/>
    <col min="520" max="768" width="9.1796875" style="256"/>
    <col min="769" max="769" width="50.81640625" style="256" customWidth="1"/>
    <col min="770" max="770" width="2.81640625" style="256" customWidth="1"/>
    <col min="771" max="771" width="20.453125" style="256" customWidth="1"/>
    <col min="772" max="773" width="12.54296875" style="256" customWidth="1"/>
    <col min="774" max="774" width="20.26953125" style="256" bestFit="1" customWidth="1"/>
    <col min="775" max="775" width="20.26953125" style="256" customWidth="1"/>
    <col min="776" max="1024" width="9.1796875" style="256"/>
    <col min="1025" max="1025" width="50.81640625" style="256" customWidth="1"/>
    <col min="1026" max="1026" width="2.81640625" style="256" customWidth="1"/>
    <col min="1027" max="1027" width="20.453125" style="256" customWidth="1"/>
    <col min="1028" max="1029" width="12.54296875" style="256" customWidth="1"/>
    <col min="1030" max="1030" width="20.26953125" style="256" bestFit="1" customWidth="1"/>
    <col min="1031" max="1031" width="20.26953125" style="256" customWidth="1"/>
    <col min="1032" max="1280" width="9.1796875" style="256"/>
    <col min="1281" max="1281" width="50.81640625" style="256" customWidth="1"/>
    <col min="1282" max="1282" width="2.81640625" style="256" customWidth="1"/>
    <col min="1283" max="1283" width="20.453125" style="256" customWidth="1"/>
    <col min="1284" max="1285" width="12.54296875" style="256" customWidth="1"/>
    <col min="1286" max="1286" width="20.26953125" style="256" bestFit="1" customWidth="1"/>
    <col min="1287" max="1287" width="20.26953125" style="256" customWidth="1"/>
    <col min="1288" max="1536" width="9.1796875" style="256"/>
    <col min="1537" max="1537" width="50.81640625" style="256" customWidth="1"/>
    <col min="1538" max="1538" width="2.81640625" style="256" customWidth="1"/>
    <col min="1539" max="1539" width="20.453125" style="256" customWidth="1"/>
    <col min="1540" max="1541" width="12.54296875" style="256" customWidth="1"/>
    <col min="1542" max="1542" width="20.26953125" style="256" bestFit="1" customWidth="1"/>
    <col min="1543" max="1543" width="20.26953125" style="256" customWidth="1"/>
    <col min="1544" max="1792" width="9.1796875" style="256"/>
    <col min="1793" max="1793" width="50.81640625" style="256" customWidth="1"/>
    <col min="1794" max="1794" width="2.81640625" style="256" customWidth="1"/>
    <col min="1795" max="1795" width="20.453125" style="256" customWidth="1"/>
    <col min="1796" max="1797" width="12.54296875" style="256" customWidth="1"/>
    <col min="1798" max="1798" width="20.26953125" style="256" bestFit="1" customWidth="1"/>
    <col min="1799" max="1799" width="20.26953125" style="256" customWidth="1"/>
    <col min="1800" max="2048" width="9.1796875" style="256"/>
    <col min="2049" max="2049" width="50.81640625" style="256" customWidth="1"/>
    <col min="2050" max="2050" width="2.81640625" style="256" customWidth="1"/>
    <col min="2051" max="2051" width="20.453125" style="256" customWidth="1"/>
    <col min="2052" max="2053" width="12.54296875" style="256" customWidth="1"/>
    <col min="2054" max="2054" width="20.26953125" style="256" bestFit="1" customWidth="1"/>
    <col min="2055" max="2055" width="20.26953125" style="256" customWidth="1"/>
    <col min="2056" max="2304" width="9.1796875" style="256"/>
    <col min="2305" max="2305" width="50.81640625" style="256" customWidth="1"/>
    <col min="2306" max="2306" width="2.81640625" style="256" customWidth="1"/>
    <col min="2307" max="2307" width="20.453125" style="256" customWidth="1"/>
    <col min="2308" max="2309" width="12.54296875" style="256" customWidth="1"/>
    <col min="2310" max="2310" width="20.26953125" style="256" bestFit="1" customWidth="1"/>
    <col min="2311" max="2311" width="20.26953125" style="256" customWidth="1"/>
    <col min="2312" max="2560" width="9.1796875" style="256"/>
    <col min="2561" max="2561" width="50.81640625" style="256" customWidth="1"/>
    <col min="2562" max="2562" width="2.81640625" style="256" customWidth="1"/>
    <col min="2563" max="2563" width="20.453125" style="256" customWidth="1"/>
    <col min="2564" max="2565" width="12.54296875" style="256" customWidth="1"/>
    <col min="2566" max="2566" width="20.26953125" style="256" bestFit="1" customWidth="1"/>
    <col min="2567" max="2567" width="20.26953125" style="256" customWidth="1"/>
    <col min="2568" max="2816" width="9.1796875" style="256"/>
    <col min="2817" max="2817" width="50.81640625" style="256" customWidth="1"/>
    <col min="2818" max="2818" width="2.81640625" style="256" customWidth="1"/>
    <col min="2819" max="2819" width="20.453125" style="256" customWidth="1"/>
    <col min="2820" max="2821" width="12.54296875" style="256" customWidth="1"/>
    <col min="2822" max="2822" width="20.26953125" style="256" bestFit="1" customWidth="1"/>
    <col min="2823" max="2823" width="20.26953125" style="256" customWidth="1"/>
    <col min="2824" max="3072" width="9.1796875" style="256"/>
    <col min="3073" max="3073" width="50.81640625" style="256" customWidth="1"/>
    <col min="3074" max="3074" width="2.81640625" style="256" customWidth="1"/>
    <col min="3075" max="3075" width="20.453125" style="256" customWidth="1"/>
    <col min="3076" max="3077" width="12.54296875" style="256" customWidth="1"/>
    <col min="3078" max="3078" width="20.26953125" style="256" bestFit="1" customWidth="1"/>
    <col min="3079" max="3079" width="20.26953125" style="256" customWidth="1"/>
    <col min="3080" max="3328" width="9.1796875" style="256"/>
    <col min="3329" max="3329" width="50.81640625" style="256" customWidth="1"/>
    <col min="3330" max="3330" width="2.81640625" style="256" customWidth="1"/>
    <col min="3331" max="3331" width="20.453125" style="256" customWidth="1"/>
    <col min="3332" max="3333" width="12.54296875" style="256" customWidth="1"/>
    <col min="3334" max="3334" width="20.26953125" style="256" bestFit="1" customWidth="1"/>
    <col min="3335" max="3335" width="20.26953125" style="256" customWidth="1"/>
    <col min="3336" max="3584" width="9.1796875" style="256"/>
    <col min="3585" max="3585" width="50.81640625" style="256" customWidth="1"/>
    <col min="3586" max="3586" width="2.81640625" style="256" customWidth="1"/>
    <col min="3587" max="3587" width="20.453125" style="256" customWidth="1"/>
    <col min="3588" max="3589" width="12.54296875" style="256" customWidth="1"/>
    <col min="3590" max="3590" width="20.26953125" style="256" bestFit="1" customWidth="1"/>
    <col min="3591" max="3591" width="20.26953125" style="256" customWidth="1"/>
    <col min="3592" max="3840" width="9.1796875" style="256"/>
    <col min="3841" max="3841" width="50.81640625" style="256" customWidth="1"/>
    <col min="3842" max="3842" width="2.81640625" style="256" customWidth="1"/>
    <col min="3843" max="3843" width="20.453125" style="256" customWidth="1"/>
    <col min="3844" max="3845" width="12.54296875" style="256" customWidth="1"/>
    <col min="3846" max="3846" width="20.26953125" style="256" bestFit="1" customWidth="1"/>
    <col min="3847" max="3847" width="20.26953125" style="256" customWidth="1"/>
    <col min="3848" max="4096" width="9.1796875" style="256"/>
    <col min="4097" max="4097" width="50.81640625" style="256" customWidth="1"/>
    <col min="4098" max="4098" width="2.81640625" style="256" customWidth="1"/>
    <col min="4099" max="4099" width="20.453125" style="256" customWidth="1"/>
    <col min="4100" max="4101" width="12.54296875" style="256" customWidth="1"/>
    <col min="4102" max="4102" width="20.26953125" style="256" bestFit="1" customWidth="1"/>
    <col min="4103" max="4103" width="20.26953125" style="256" customWidth="1"/>
    <col min="4104" max="4352" width="9.1796875" style="256"/>
    <col min="4353" max="4353" width="50.81640625" style="256" customWidth="1"/>
    <col min="4354" max="4354" width="2.81640625" style="256" customWidth="1"/>
    <col min="4355" max="4355" width="20.453125" style="256" customWidth="1"/>
    <col min="4356" max="4357" width="12.54296875" style="256" customWidth="1"/>
    <col min="4358" max="4358" width="20.26953125" style="256" bestFit="1" customWidth="1"/>
    <col min="4359" max="4359" width="20.26953125" style="256" customWidth="1"/>
    <col min="4360" max="4608" width="9.1796875" style="256"/>
    <col min="4609" max="4609" width="50.81640625" style="256" customWidth="1"/>
    <col min="4610" max="4610" width="2.81640625" style="256" customWidth="1"/>
    <col min="4611" max="4611" width="20.453125" style="256" customWidth="1"/>
    <col min="4612" max="4613" width="12.54296875" style="256" customWidth="1"/>
    <col min="4614" max="4614" width="20.26953125" style="256" bestFit="1" customWidth="1"/>
    <col min="4615" max="4615" width="20.26953125" style="256" customWidth="1"/>
    <col min="4616" max="4864" width="9.1796875" style="256"/>
    <col min="4865" max="4865" width="50.81640625" style="256" customWidth="1"/>
    <col min="4866" max="4866" width="2.81640625" style="256" customWidth="1"/>
    <col min="4867" max="4867" width="20.453125" style="256" customWidth="1"/>
    <col min="4868" max="4869" width="12.54296875" style="256" customWidth="1"/>
    <col min="4870" max="4870" width="20.26953125" style="256" bestFit="1" customWidth="1"/>
    <col min="4871" max="4871" width="20.26953125" style="256" customWidth="1"/>
    <col min="4872" max="5120" width="9.1796875" style="256"/>
    <col min="5121" max="5121" width="50.81640625" style="256" customWidth="1"/>
    <col min="5122" max="5122" width="2.81640625" style="256" customWidth="1"/>
    <col min="5123" max="5123" width="20.453125" style="256" customWidth="1"/>
    <col min="5124" max="5125" width="12.54296875" style="256" customWidth="1"/>
    <col min="5126" max="5126" width="20.26953125" style="256" bestFit="1" customWidth="1"/>
    <col min="5127" max="5127" width="20.26953125" style="256" customWidth="1"/>
    <col min="5128" max="5376" width="9.1796875" style="256"/>
    <col min="5377" max="5377" width="50.81640625" style="256" customWidth="1"/>
    <col min="5378" max="5378" width="2.81640625" style="256" customWidth="1"/>
    <col min="5379" max="5379" width="20.453125" style="256" customWidth="1"/>
    <col min="5380" max="5381" width="12.54296875" style="256" customWidth="1"/>
    <col min="5382" max="5382" width="20.26953125" style="256" bestFit="1" customWidth="1"/>
    <col min="5383" max="5383" width="20.26953125" style="256" customWidth="1"/>
    <col min="5384" max="5632" width="9.1796875" style="256"/>
    <col min="5633" max="5633" width="50.81640625" style="256" customWidth="1"/>
    <col min="5634" max="5634" width="2.81640625" style="256" customWidth="1"/>
    <col min="5635" max="5635" width="20.453125" style="256" customWidth="1"/>
    <col min="5636" max="5637" width="12.54296875" style="256" customWidth="1"/>
    <col min="5638" max="5638" width="20.26953125" style="256" bestFit="1" customWidth="1"/>
    <col min="5639" max="5639" width="20.26953125" style="256" customWidth="1"/>
    <col min="5640" max="5888" width="9.1796875" style="256"/>
    <col min="5889" max="5889" width="50.81640625" style="256" customWidth="1"/>
    <col min="5890" max="5890" width="2.81640625" style="256" customWidth="1"/>
    <col min="5891" max="5891" width="20.453125" style="256" customWidth="1"/>
    <col min="5892" max="5893" width="12.54296875" style="256" customWidth="1"/>
    <col min="5894" max="5894" width="20.26953125" style="256" bestFit="1" customWidth="1"/>
    <col min="5895" max="5895" width="20.26953125" style="256" customWidth="1"/>
    <col min="5896" max="6144" width="9.1796875" style="256"/>
    <col min="6145" max="6145" width="50.81640625" style="256" customWidth="1"/>
    <col min="6146" max="6146" width="2.81640625" style="256" customWidth="1"/>
    <col min="6147" max="6147" width="20.453125" style="256" customWidth="1"/>
    <col min="6148" max="6149" width="12.54296875" style="256" customWidth="1"/>
    <col min="6150" max="6150" width="20.26953125" style="256" bestFit="1" customWidth="1"/>
    <col min="6151" max="6151" width="20.26953125" style="256" customWidth="1"/>
    <col min="6152" max="6400" width="9.1796875" style="256"/>
    <col min="6401" max="6401" width="50.81640625" style="256" customWidth="1"/>
    <col min="6402" max="6402" width="2.81640625" style="256" customWidth="1"/>
    <col min="6403" max="6403" width="20.453125" style="256" customWidth="1"/>
    <col min="6404" max="6405" width="12.54296875" style="256" customWidth="1"/>
    <col min="6406" max="6406" width="20.26953125" style="256" bestFit="1" customWidth="1"/>
    <col min="6407" max="6407" width="20.26953125" style="256" customWidth="1"/>
    <col min="6408" max="6656" width="9.1796875" style="256"/>
    <col min="6657" max="6657" width="50.81640625" style="256" customWidth="1"/>
    <col min="6658" max="6658" width="2.81640625" style="256" customWidth="1"/>
    <col min="6659" max="6659" width="20.453125" style="256" customWidth="1"/>
    <col min="6660" max="6661" width="12.54296875" style="256" customWidth="1"/>
    <col min="6662" max="6662" width="20.26953125" style="256" bestFit="1" customWidth="1"/>
    <col min="6663" max="6663" width="20.26953125" style="256" customWidth="1"/>
    <col min="6664" max="6912" width="9.1796875" style="256"/>
    <col min="6913" max="6913" width="50.81640625" style="256" customWidth="1"/>
    <col min="6914" max="6914" width="2.81640625" style="256" customWidth="1"/>
    <col min="6915" max="6915" width="20.453125" style="256" customWidth="1"/>
    <col min="6916" max="6917" width="12.54296875" style="256" customWidth="1"/>
    <col min="6918" max="6918" width="20.26953125" style="256" bestFit="1" customWidth="1"/>
    <col min="6919" max="6919" width="20.26953125" style="256" customWidth="1"/>
    <col min="6920" max="7168" width="9.1796875" style="256"/>
    <col min="7169" max="7169" width="50.81640625" style="256" customWidth="1"/>
    <col min="7170" max="7170" width="2.81640625" style="256" customWidth="1"/>
    <col min="7171" max="7171" width="20.453125" style="256" customWidth="1"/>
    <col min="7172" max="7173" width="12.54296875" style="256" customWidth="1"/>
    <col min="7174" max="7174" width="20.26953125" style="256" bestFit="1" customWidth="1"/>
    <col min="7175" max="7175" width="20.26953125" style="256" customWidth="1"/>
    <col min="7176" max="7424" width="9.1796875" style="256"/>
    <col min="7425" max="7425" width="50.81640625" style="256" customWidth="1"/>
    <col min="7426" max="7426" width="2.81640625" style="256" customWidth="1"/>
    <col min="7427" max="7427" width="20.453125" style="256" customWidth="1"/>
    <col min="7428" max="7429" width="12.54296875" style="256" customWidth="1"/>
    <col min="7430" max="7430" width="20.26953125" style="256" bestFit="1" customWidth="1"/>
    <col min="7431" max="7431" width="20.26953125" style="256" customWidth="1"/>
    <col min="7432" max="7680" width="9.1796875" style="256"/>
    <col min="7681" max="7681" width="50.81640625" style="256" customWidth="1"/>
    <col min="7682" max="7682" width="2.81640625" style="256" customWidth="1"/>
    <col min="7683" max="7683" width="20.453125" style="256" customWidth="1"/>
    <col min="7684" max="7685" width="12.54296875" style="256" customWidth="1"/>
    <col min="7686" max="7686" width="20.26953125" style="256" bestFit="1" customWidth="1"/>
    <col min="7687" max="7687" width="20.26953125" style="256" customWidth="1"/>
    <col min="7688" max="7936" width="9.1796875" style="256"/>
    <col min="7937" max="7937" width="50.81640625" style="256" customWidth="1"/>
    <col min="7938" max="7938" width="2.81640625" style="256" customWidth="1"/>
    <col min="7939" max="7939" width="20.453125" style="256" customWidth="1"/>
    <col min="7940" max="7941" width="12.54296875" style="256" customWidth="1"/>
    <col min="7942" max="7942" width="20.26953125" style="256" bestFit="1" customWidth="1"/>
    <col min="7943" max="7943" width="20.26953125" style="256" customWidth="1"/>
    <col min="7944" max="8192" width="9.1796875" style="256"/>
    <col min="8193" max="8193" width="50.81640625" style="256" customWidth="1"/>
    <col min="8194" max="8194" width="2.81640625" style="256" customWidth="1"/>
    <col min="8195" max="8195" width="20.453125" style="256" customWidth="1"/>
    <col min="8196" max="8197" width="12.54296875" style="256" customWidth="1"/>
    <col min="8198" max="8198" width="20.26953125" style="256" bestFit="1" customWidth="1"/>
    <col min="8199" max="8199" width="20.26953125" style="256" customWidth="1"/>
    <col min="8200" max="8448" width="9.1796875" style="256"/>
    <col min="8449" max="8449" width="50.81640625" style="256" customWidth="1"/>
    <col min="8450" max="8450" width="2.81640625" style="256" customWidth="1"/>
    <col min="8451" max="8451" width="20.453125" style="256" customWidth="1"/>
    <col min="8452" max="8453" width="12.54296875" style="256" customWidth="1"/>
    <col min="8454" max="8454" width="20.26953125" style="256" bestFit="1" customWidth="1"/>
    <col min="8455" max="8455" width="20.26953125" style="256" customWidth="1"/>
    <col min="8456" max="8704" width="9.1796875" style="256"/>
    <col min="8705" max="8705" width="50.81640625" style="256" customWidth="1"/>
    <col min="8706" max="8706" width="2.81640625" style="256" customWidth="1"/>
    <col min="8707" max="8707" width="20.453125" style="256" customWidth="1"/>
    <col min="8708" max="8709" width="12.54296875" style="256" customWidth="1"/>
    <col min="8710" max="8710" width="20.26953125" style="256" bestFit="1" customWidth="1"/>
    <col min="8711" max="8711" width="20.26953125" style="256" customWidth="1"/>
    <col min="8712" max="8960" width="9.1796875" style="256"/>
    <col min="8961" max="8961" width="50.81640625" style="256" customWidth="1"/>
    <col min="8962" max="8962" width="2.81640625" style="256" customWidth="1"/>
    <col min="8963" max="8963" width="20.453125" style="256" customWidth="1"/>
    <col min="8964" max="8965" width="12.54296875" style="256" customWidth="1"/>
    <col min="8966" max="8966" width="20.26953125" style="256" bestFit="1" customWidth="1"/>
    <col min="8967" max="8967" width="20.26953125" style="256" customWidth="1"/>
    <col min="8968" max="9216" width="9.1796875" style="256"/>
    <col min="9217" max="9217" width="50.81640625" style="256" customWidth="1"/>
    <col min="9218" max="9218" width="2.81640625" style="256" customWidth="1"/>
    <col min="9219" max="9219" width="20.453125" style="256" customWidth="1"/>
    <col min="9220" max="9221" width="12.54296875" style="256" customWidth="1"/>
    <col min="9222" max="9222" width="20.26953125" style="256" bestFit="1" customWidth="1"/>
    <col min="9223" max="9223" width="20.26953125" style="256" customWidth="1"/>
    <col min="9224" max="9472" width="9.1796875" style="256"/>
    <col min="9473" max="9473" width="50.81640625" style="256" customWidth="1"/>
    <col min="9474" max="9474" width="2.81640625" style="256" customWidth="1"/>
    <col min="9475" max="9475" width="20.453125" style="256" customWidth="1"/>
    <col min="9476" max="9477" width="12.54296875" style="256" customWidth="1"/>
    <col min="9478" max="9478" width="20.26953125" style="256" bestFit="1" customWidth="1"/>
    <col min="9479" max="9479" width="20.26953125" style="256" customWidth="1"/>
    <col min="9480" max="9728" width="9.1796875" style="256"/>
    <col min="9729" max="9729" width="50.81640625" style="256" customWidth="1"/>
    <col min="9730" max="9730" width="2.81640625" style="256" customWidth="1"/>
    <col min="9731" max="9731" width="20.453125" style="256" customWidth="1"/>
    <col min="9732" max="9733" width="12.54296875" style="256" customWidth="1"/>
    <col min="9734" max="9734" width="20.26953125" style="256" bestFit="1" customWidth="1"/>
    <col min="9735" max="9735" width="20.26953125" style="256" customWidth="1"/>
    <col min="9736" max="9984" width="9.1796875" style="256"/>
    <col min="9985" max="9985" width="50.81640625" style="256" customWidth="1"/>
    <col min="9986" max="9986" width="2.81640625" style="256" customWidth="1"/>
    <col min="9987" max="9987" width="20.453125" style="256" customWidth="1"/>
    <col min="9988" max="9989" width="12.54296875" style="256" customWidth="1"/>
    <col min="9990" max="9990" width="20.26953125" style="256" bestFit="1" customWidth="1"/>
    <col min="9991" max="9991" width="20.26953125" style="256" customWidth="1"/>
    <col min="9992" max="10240" width="9.1796875" style="256"/>
    <col min="10241" max="10241" width="50.81640625" style="256" customWidth="1"/>
    <col min="10242" max="10242" width="2.81640625" style="256" customWidth="1"/>
    <col min="10243" max="10243" width="20.453125" style="256" customWidth="1"/>
    <col min="10244" max="10245" width="12.54296875" style="256" customWidth="1"/>
    <col min="10246" max="10246" width="20.26953125" style="256" bestFit="1" customWidth="1"/>
    <col min="10247" max="10247" width="20.26953125" style="256" customWidth="1"/>
    <col min="10248" max="10496" width="9.1796875" style="256"/>
    <col min="10497" max="10497" width="50.81640625" style="256" customWidth="1"/>
    <col min="10498" max="10498" width="2.81640625" style="256" customWidth="1"/>
    <col min="10499" max="10499" width="20.453125" style="256" customWidth="1"/>
    <col min="10500" max="10501" width="12.54296875" style="256" customWidth="1"/>
    <col min="10502" max="10502" width="20.26953125" style="256" bestFit="1" customWidth="1"/>
    <col min="10503" max="10503" width="20.26953125" style="256" customWidth="1"/>
    <col min="10504" max="10752" width="9.1796875" style="256"/>
    <col min="10753" max="10753" width="50.81640625" style="256" customWidth="1"/>
    <col min="10754" max="10754" width="2.81640625" style="256" customWidth="1"/>
    <col min="10755" max="10755" width="20.453125" style="256" customWidth="1"/>
    <col min="10756" max="10757" width="12.54296875" style="256" customWidth="1"/>
    <col min="10758" max="10758" width="20.26953125" style="256" bestFit="1" customWidth="1"/>
    <col min="10759" max="10759" width="20.26953125" style="256" customWidth="1"/>
    <col min="10760" max="11008" width="9.1796875" style="256"/>
    <col min="11009" max="11009" width="50.81640625" style="256" customWidth="1"/>
    <col min="11010" max="11010" width="2.81640625" style="256" customWidth="1"/>
    <col min="11011" max="11011" width="20.453125" style="256" customWidth="1"/>
    <col min="11012" max="11013" width="12.54296875" style="256" customWidth="1"/>
    <col min="11014" max="11014" width="20.26953125" style="256" bestFit="1" customWidth="1"/>
    <col min="11015" max="11015" width="20.26953125" style="256" customWidth="1"/>
    <col min="11016" max="11264" width="9.1796875" style="256"/>
    <col min="11265" max="11265" width="50.81640625" style="256" customWidth="1"/>
    <col min="11266" max="11266" width="2.81640625" style="256" customWidth="1"/>
    <col min="11267" max="11267" width="20.453125" style="256" customWidth="1"/>
    <col min="11268" max="11269" width="12.54296875" style="256" customWidth="1"/>
    <col min="11270" max="11270" width="20.26953125" style="256" bestFit="1" customWidth="1"/>
    <col min="11271" max="11271" width="20.26953125" style="256" customWidth="1"/>
    <col min="11272" max="11520" width="9.1796875" style="256"/>
    <col min="11521" max="11521" width="50.81640625" style="256" customWidth="1"/>
    <col min="11522" max="11522" width="2.81640625" style="256" customWidth="1"/>
    <col min="11523" max="11523" width="20.453125" style="256" customWidth="1"/>
    <col min="11524" max="11525" width="12.54296875" style="256" customWidth="1"/>
    <col min="11526" max="11526" width="20.26953125" style="256" bestFit="1" customWidth="1"/>
    <col min="11527" max="11527" width="20.26953125" style="256" customWidth="1"/>
    <col min="11528" max="11776" width="9.1796875" style="256"/>
    <col min="11777" max="11777" width="50.81640625" style="256" customWidth="1"/>
    <col min="11778" max="11778" width="2.81640625" style="256" customWidth="1"/>
    <col min="11779" max="11779" width="20.453125" style="256" customWidth="1"/>
    <col min="11780" max="11781" width="12.54296875" style="256" customWidth="1"/>
    <col min="11782" max="11782" width="20.26953125" style="256" bestFit="1" customWidth="1"/>
    <col min="11783" max="11783" width="20.26953125" style="256" customWidth="1"/>
    <col min="11784" max="12032" width="9.1796875" style="256"/>
    <col min="12033" max="12033" width="50.81640625" style="256" customWidth="1"/>
    <col min="12034" max="12034" width="2.81640625" style="256" customWidth="1"/>
    <col min="12035" max="12035" width="20.453125" style="256" customWidth="1"/>
    <col min="12036" max="12037" width="12.54296875" style="256" customWidth="1"/>
    <col min="12038" max="12038" width="20.26953125" style="256" bestFit="1" customWidth="1"/>
    <col min="12039" max="12039" width="20.26953125" style="256" customWidth="1"/>
    <col min="12040" max="12288" width="9.1796875" style="256"/>
    <col min="12289" max="12289" width="50.81640625" style="256" customWidth="1"/>
    <col min="12290" max="12290" width="2.81640625" style="256" customWidth="1"/>
    <col min="12291" max="12291" width="20.453125" style="256" customWidth="1"/>
    <col min="12292" max="12293" width="12.54296875" style="256" customWidth="1"/>
    <col min="12294" max="12294" width="20.26953125" style="256" bestFit="1" customWidth="1"/>
    <col min="12295" max="12295" width="20.26953125" style="256" customWidth="1"/>
    <col min="12296" max="12544" width="9.1796875" style="256"/>
    <col min="12545" max="12545" width="50.81640625" style="256" customWidth="1"/>
    <col min="12546" max="12546" width="2.81640625" style="256" customWidth="1"/>
    <col min="12547" max="12547" width="20.453125" style="256" customWidth="1"/>
    <col min="12548" max="12549" width="12.54296875" style="256" customWidth="1"/>
    <col min="12550" max="12550" width="20.26953125" style="256" bestFit="1" customWidth="1"/>
    <col min="12551" max="12551" width="20.26953125" style="256" customWidth="1"/>
    <col min="12552" max="12800" width="9.1796875" style="256"/>
    <col min="12801" max="12801" width="50.81640625" style="256" customWidth="1"/>
    <col min="12802" max="12802" width="2.81640625" style="256" customWidth="1"/>
    <col min="12803" max="12803" width="20.453125" style="256" customWidth="1"/>
    <col min="12804" max="12805" width="12.54296875" style="256" customWidth="1"/>
    <col min="12806" max="12806" width="20.26953125" style="256" bestFit="1" customWidth="1"/>
    <col min="12807" max="12807" width="20.26953125" style="256" customWidth="1"/>
    <col min="12808" max="13056" width="9.1796875" style="256"/>
    <col min="13057" max="13057" width="50.81640625" style="256" customWidth="1"/>
    <col min="13058" max="13058" width="2.81640625" style="256" customWidth="1"/>
    <col min="13059" max="13059" width="20.453125" style="256" customWidth="1"/>
    <col min="13060" max="13061" width="12.54296875" style="256" customWidth="1"/>
    <col min="13062" max="13062" width="20.26953125" style="256" bestFit="1" customWidth="1"/>
    <col min="13063" max="13063" width="20.26953125" style="256" customWidth="1"/>
    <col min="13064" max="13312" width="9.1796875" style="256"/>
    <col min="13313" max="13313" width="50.81640625" style="256" customWidth="1"/>
    <col min="13314" max="13314" width="2.81640625" style="256" customWidth="1"/>
    <col min="13315" max="13315" width="20.453125" style="256" customWidth="1"/>
    <col min="13316" max="13317" width="12.54296875" style="256" customWidth="1"/>
    <col min="13318" max="13318" width="20.26953125" style="256" bestFit="1" customWidth="1"/>
    <col min="13319" max="13319" width="20.26953125" style="256" customWidth="1"/>
    <col min="13320" max="13568" width="9.1796875" style="256"/>
    <col min="13569" max="13569" width="50.81640625" style="256" customWidth="1"/>
    <col min="13570" max="13570" width="2.81640625" style="256" customWidth="1"/>
    <col min="13571" max="13571" width="20.453125" style="256" customWidth="1"/>
    <col min="13572" max="13573" width="12.54296875" style="256" customWidth="1"/>
    <col min="13574" max="13574" width="20.26953125" style="256" bestFit="1" customWidth="1"/>
    <col min="13575" max="13575" width="20.26953125" style="256" customWidth="1"/>
    <col min="13576" max="13824" width="9.1796875" style="256"/>
    <col min="13825" max="13825" width="50.81640625" style="256" customWidth="1"/>
    <col min="13826" max="13826" width="2.81640625" style="256" customWidth="1"/>
    <col min="13827" max="13827" width="20.453125" style="256" customWidth="1"/>
    <col min="13828" max="13829" width="12.54296875" style="256" customWidth="1"/>
    <col min="13830" max="13830" width="20.26953125" style="256" bestFit="1" customWidth="1"/>
    <col min="13831" max="13831" width="20.26953125" style="256" customWidth="1"/>
    <col min="13832" max="14080" width="9.1796875" style="256"/>
    <col min="14081" max="14081" width="50.81640625" style="256" customWidth="1"/>
    <col min="14082" max="14082" width="2.81640625" style="256" customWidth="1"/>
    <col min="14083" max="14083" width="20.453125" style="256" customWidth="1"/>
    <col min="14084" max="14085" width="12.54296875" style="256" customWidth="1"/>
    <col min="14086" max="14086" width="20.26953125" style="256" bestFit="1" customWidth="1"/>
    <col min="14087" max="14087" width="20.26953125" style="256" customWidth="1"/>
    <col min="14088" max="14336" width="9.1796875" style="256"/>
    <col min="14337" max="14337" width="50.81640625" style="256" customWidth="1"/>
    <col min="14338" max="14338" width="2.81640625" style="256" customWidth="1"/>
    <col min="14339" max="14339" width="20.453125" style="256" customWidth="1"/>
    <col min="14340" max="14341" width="12.54296875" style="256" customWidth="1"/>
    <col min="14342" max="14342" width="20.26953125" style="256" bestFit="1" customWidth="1"/>
    <col min="14343" max="14343" width="20.26953125" style="256" customWidth="1"/>
    <col min="14344" max="14592" width="9.1796875" style="256"/>
    <col min="14593" max="14593" width="50.81640625" style="256" customWidth="1"/>
    <col min="14594" max="14594" width="2.81640625" style="256" customWidth="1"/>
    <col min="14595" max="14595" width="20.453125" style="256" customWidth="1"/>
    <col min="14596" max="14597" width="12.54296875" style="256" customWidth="1"/>
    <col min="14598" max="14598" width="20.26953125" style="256" bestFit="1" customWidth="1"/>
    <col min="14599" max="14599" width="20.26953125" style="256" customWidth="1"/>
    <col min="14600" max="14848" width="9.1796875" style="256"/>
    <col min="14849" max="14849" width="50.81640625" style="256" customWidth="1"/>
    <col min="14850" max="14850" width="2.81640625" style="256" customWidth="1"/>
    <col min="14851" max="14851" width="20.453125" style="256" customWidth="1"/>
    <col min="14852" max="14853" width="12.54296875" style="256" customWidth="1"/>
    <col min="14854" max="14854" width="20.26953125" style="256" bestFit="1" customWidth="1"/>
    <col min="14855" max="14855" width="20.26953125" style="256" customWidth="1"/>
    <col min="14856" max="15104" width="9.1796875" style="256"/>
    <col min="15105" max="15105" width="50.81640625" style="256" customWidth="1"/>
    <col min="15106" max="15106" width="2.81640625" style="256" customWidth="1"/>
    <col min="15107" max="15107" width="20.453125" style="256" customWidth="1"/>
    <col min="15108" max="15109" width="12.54296875" style="256" customWidth="1"/>
    <col min="15110" max="15110" width="20.26953125" style="256" bestFit="1" customWidth="1"/>
    <col min="15111" max="15111" width="20.26953125" style="256" customWidth="1"/>
    <col min="15112" max="15360" width="9.1796875" style="256"/>
    <col min="15361" max="15361" width="50.81640625" style="256" customWidth="1"/>
    <col min="15362" max="15362" width="2.81640625" style="256" customWidth="1"/>
    <col min="15363" max="15363" width="20.453125" style="256" customWidth="1"/>
    <col min="15364" max="15365" width="12.54296875" style="256" customWidth="1"/>
    <col min="15366" max="15366" width="20.26953125" style="256" bestFit="1" customWidth="1"/>
    <col min="15367" max="15367" width="20.26953125" style="256" customWidth="1"/>
    <col min="15368" max="15616" width="9.1796875" style="256"/>
    <col min="15617" max="15617" width="50.81640625" style="256" customWidth="1"/>
    <col min="15618" max="15618" width="2.81640625" style="256" customWidth="1"/>
    <col min="15619" max="15619" width="20.453125" style="256" customWidth="1"/>
    <col min="15620" max="15621" width="12.54296875" style="256" customWidth="1"/>
    <col min="15622" max="15622" width="20.26953125" style="256" bestFit="1" customWidth="1"/>
    <col min="15623" max="15623" width="20.26953125" style="256" customWidth="1"/>
    <col min="15624" max="15872" width="9.1796875" style="256"/>
    <col min="15873" max="15873" width="50.81640625" style="256" customWidth="1"/>
    <col min="15874" max="15874" width="2.81640625" style="256" customWidth="1"/>
    <col min="15875" max="15875" width="20.453125" style="256" customWidth="1"/>
    <col min="15876" max="15877" width="12.54296875" style="256" customWidth="1"/>
    <col min="15878" max="15878" width="20.26953125" style="256" bestFit="1" customWidth="1"/>
    <col min="15879" max="15879" width="20.26953125" style="256" customWidth="1"/>
    <col min="15880" max="16128" width="9.1796875" style="256"/>
    <col min="16129" max="16129" width="50.81640625" style="256" customWidth="1"/>
    <col min="16130" max="16130" width="2.81640625" style="256" customWidth="1"/>
    <col min="16131" max="16131" width="20.453125" style="256" customWidth="1"/>
    <col min="16132" max="16133" width="12.54296875" style="256" customWidth="1"/>
    <col min="16134" max="16134" width="20.26953125" style="256" bestFit="1" customWidth="1"/>
    <col min="16135" max="16135" width="20.26953125" style="256" customWidth="1"/>
    <col min="16136" max="16384" width="9.1796875" style="256"/>
  </cols>
  <sheetData>
    <row r="1" spans="1:7">
      <c r="A1" s="254"/>
    </row>
    <row r="2" spans="1:7" ht="15.5">
      <c r="A2" s="237" t="s">
        <v>152</v>
      </c>
      <c r="C2" s="661" t="s">
        <v>163</v>
      </c>
      <c r="D2" s="661"/>
    </row>
    <row r="3" spans="1:7">
      <c r="A3" s="662" t="s">
        <v>164</v>
      </c>
      <c r="B3" s="240"/>
      <c r="C3" s="235"/>
    </row>
    <row r="4" spans="1:7">
      <c r="A4" s="662"/>
      <c r="B4" s="240"/>
      <c r="C4" s="257" t="s">
        <v>85</v>
      </c>
      <c r="D4" s="258" t="str">
        <f>'cover&amp;variance'!C3</f>
        <v>SKIN</v>
      </c>
    </row>
    <row r="5" spans="1:7">
      <c r="A5" s="242" t="s">
        <v>165</v>
      </c>
      <c r="B5" s="243"/>
      <c r="C5" s="235"/>
    </row>
    <row r="6" spans="1:7" ht="15.5">
      <c r="A6" s="259" t="s">
        <v>166</v>
      </c>
      <c r="C6" s="257" t="s">
        <v>167</v>
      </c>
      <c r="D6" s="260" t="s">
        <v>200</v>
      </c>
      <c r="F6" s="261" t="s">
        <v>168</v>
      </c>
      <c r="G6" s="262"/>
    </row>
    <row r="7" spans="1:7">
      <c r="A7" s="259" t="s">
        <v>169</v>
      </c>
    </row>
    <row r="8" spans="1:7" ht="14.25" customHeight="1">
      <c r="A8" s="662" t="s">
        <v>170</v>
      </c>
      <c r="B8" s="236"/>
      <c r="C8" s="261" t="s">
        <v>171</v>
      </c>
      <c r="D8" s="263"/>
      <c r="E8" s="264"/>
    </row>
    <row r="9" spans="1:7">
      <c r="A9" s="662"/>
      <c r="B9" s="236"/>
      <c r="C9" s="261"/>
      <c r="D9" s="265" t="s">
        <v>59</v>
      </c>
      <c r="E9" s="266" t="s">
        <v>10</v>
      </c>
    </row>
    <row r="10" spans="1:7" ht="14.25" customHeight="1">
      <c r="A10" s="662" t="s">
        <v>172</v>
      </c>
      <c r="B10" s="236"/>
      <c r="C10" s="267" t="s">
        <v>179</v>
      </c>
      <c r="D10" s="268">
        <f>'cover&amp;variance'!M4</f>
        <v>12.649706110586857</v>
      </c>
      <c r="E10" s="269">
        <f>'cover&amp;variance'!O4</f>
        <v>0.1</v>
      </c>
    </row>
    <row r="11" spans="1:7">
      <c r="A11" s="662"/>
      <c r="C11" s="267" t="s">
        <v>180</v>
      </c>
      <c r="D11" s="268">
        <f>'cover&amp;variance'!M5</f>
        <v>5.4350553009372531</v>
      </c>
      <c r="E11" s="269">
        <f>'cover&amp;variance'!O5</f>
        <v>0.7</v>
      </c>
    </row>
    <row r="12" spans="1:7" ht="14.25" customHeight="1">
      <c r="A12" s="662" t="s">
        <v>173</v>
      </c>
      <c r="C12" s="267" t="s">
        <v>181</v>
      </c>
      <c r="D12" s="268">
        <f>'cover&amp;variance'!M6</f>
        <v>0.16281047850100483</v>
      </c>
      <c r="E12" s="269">
        <f>'cover&amp;variance'!O6</f>
        <v>0.2</v>
      </c>
    </row>
    <row r="13" spans="1:7">
      <c r="A13" s="662"/>
      <c r="C13" s="256"/>
      <c r="D13" s="267"/>
    </row>
    <row r="14" spans="1:7">
      <c r="A14" s="259"/>
      <c r="C14" s="257" t="s">
        <v>174</v>
      </c>
      <c r="D14" s="270" t="s">
        <v>88</v>
      </c>
    </row>
    <row r="15" spans="1:7">
      <c r="A15" s="251" t="s">
        <v>160</v>
      </c>
      <c r="C15" s="235" t="s">
        <v>175</v>
      </c>
      <c r="D15" s="256"/>
    </row>
    <row r="16" spans="1:7">
      <c r="A16" s="251" t="s">
        <v>162</v>
      </c>
      <c r="C16" s="235" t="s">
        <v>176</v>
      </c>
      <c r="D16" s="256"/>
    </row>
    <row r="17" spans="1:4">
      <c r="A17" s="259"/>
      <c r="C17" s="235" t="s">
        <v>177</v>
      </c>
      <c r="D17" s="256"/>
    </row>
    <row r="18" spans="1:4">
      <c r="A18" s="259"/>
      <c r="C18" s="235" t="s">
        <v>178</v>
      </c>
      <c r="D18" s="256"/>
    </row>
    <row r="19" spans="1:4">
      <c r="A19" s="259"/>
    </row>
    <row r="20" spans="1:4">
      <c r="A20" s="259"/>
    </row>
    <row r="21" spans="1:4">
      <c r="A21" s="259"/>
    </row>
    <row r="22" spans="1:4">
      <c r="A22" s="259"/>
    </row>
    <row r="23" spans="1:4">
      <c r="A23" s="259"/>
    </row>
    <row r="24" spans="1:4">
      <c r="A24" s="259"/>
    </row>
    <row r="25" spans="1:4">
      <c r="A25" s="259"/>
    </row>
    <row r="26" spans="1:4">
      <c r="A26" s="259"/>
    </row>
    <row r="27" spans="1:4">
      <c r="A27" s="259"/>
    </row>
    <row r="28" spans="1:4">
      <c r="A28" s="259"/>
    </row>
    <row r="29" spans="1:4">
      <c r="A29" s="259"/>
    </row>
    <row r="30" spans="1:4">
      <c r="A30" s="259"/>
    </row>
    <row r="31" spans="1:4">
      <c r="A31" s="259"/>
    </row>
    <row r="32" spans="1:4">
      <c r="A32" s="259"/>
    </row>
    <row r="33" spans="1:1">
      <c r="A33" s="259"/>
    </row>
    <row r="34" spans="1:1">
      <c r="A34" s="259"/>
    </row>
    <row r="35" spans="1:1">
      <c r="A35" s="259"/>
    </row>
    <row r="36" spans="1:1">
      <c r="A36" s="259"/>
    </row>
    <row r="37" spans="1:1">
      <c r="A37" s="259"/>
    </row>
    <row r="38" spans="1:1">
      <c r="A38" s="259"/>
    </row>
    <row r="39" spans="1:1">
      <c r="A39" s="259"/>
    </row>
    <row r="40" spans="1:1">
      <c r="A40" s="259"/>
    </row>
    <row r="41" spans="1:1">
      <c r="A41" s="259"/>
    </row>
    <row r="42" spans="1:1">
      <c r="A42" s="259"/>
    </row>
    <row r="43" spans="1:1">
      <c r="A43" s="259"/>
    </row>
    <row r="44" spans="1:1">
      <c r="A44" s="259"/>
    </row>
    <row r="45" spans="1:1">
      <c r="A45" s="259"/>
    </row>
    <row r="46" spans="1:1">
      <c r="A46" s="259"/>
    </row>
    <row r="47" spans="1:1">
      <c r="A47" s="259"/>
    </row>
    <row r="48" spans="1:1">
      <c r="A48" s="259"/>
    </row>
    <row r="49" spans="1:1">
      <c r="A49" s="259"/>
    </row>
    <row r="50" spans="1:1">
      <c r="A50" s="259"/>
    </row>
    <row r="51" spans="1:1">
      <c r="A51" s="259"/>
    </row>
    <row r="52" spans="1:1">
      <c r="A52" s="259"/>
    </row>
    <row r="53" spans="1:1">
      <c r="A53" s="259"/>
    </row>
    <row r="54" spans="1:1">
      <c r="A54" s="259"/>
    </row>
    <row r="55" spans="1:1">
      <c r="A55" s="259"/>
    </row>
    <row r="56" spans="1:1">
      <c r="A56" s="259"/>
    </row>
    <row r="57" spans="1:1">
      <c r="A57" s="259"/>
    </row>
    <row r="58" spans="1:1">
      <c r="A58" s="259"/>
    </row>
    <row r="59" spans="1:1">
      <c r="A59" s="259"/>
    </row>
    <row r="60" spans="1:1">
      <c r="A60" s="271"/>
    </row>
    <row r="61" spans="1:1">
      <c r="A61" s="272"/>
    </row>
    <row r="62" spans="1:1">
      <c r="A62" s="272"/>
    </row>
    <row r="63" spans="1:1">
      <c r="A63" s="259"/>
    </row>
    <row r="64" spans="1:1">
      <c r="A64" s="259"/>
    </row>
    <row r="65" spans="1:1">
      <c r="A65" s="259"/>
    </row>
    <row r="66" spans="1:1">
      <c r="A66" s="259"/>
    </row>
    <row r="67" spans="1:1">
      <c r="A67" s="259"/>
    </row>
    <row r="68" spans="1:1">
      <c r="A68" s="259"/>
    </row>
    <row r="69" spans="1:1">
      <c r="A69" s="259"/>
    </row>
    <row r="70" spans="1:1">
      <c r="A70" s="259"/>
    </row>
    <row r="71" spans="1:1">
      <c r="A71" s="259"/>
    </row>
    <row r="72" spans="1:1">
      <c r="A72" s="259"/>
    </row>
    <row r="73" spans="1:1">
      <c r="A73" s="259"/>
    </row>
    <row r="74" spans="1:1">
      <c r="A74" s="271"/>
    </row>
    <row r="158" spans="4:4">
      <c r="D158" s="273"/>
    </row>
    <row r="159" spans="4:4">
      <c r="D159" s="273"/>
    </row>
    <row r="160" spans="4:4">
      <c r="D160" s="273"/>
    </row>
    <row r="161" spans="1:5">
      <c r="D161" s="273"/>
    </row>
    <row r="162" spans="1:5">
      <c r="D162" s="273"/>
    </row>
    <row r="163" spans="1:5">
      <c r="D163" s="273"/>
    </row>
    <row r="164" spans="1:5">
      <c r="D164" s="273"/>
      <c r="E164" s="274"/>
    </row>
    <row r="165" spans="1:5">
      <c r="D165" s="273"/>
      <c r="E165" s="274"/>
    </row>
    <row r="166" spans="1:5" s="274" customFormat="1">
      <c r="A166" s="253"/>
      <c r="B166" s="233"/>
      <c r="C166" s="255"/>
      <c r="D166" s="273"/>
    </row>
    <row r="167" spans="1:5" s="274" customFormat="1">
      <c r="A167" s="253"/>
      <c r="B167" s="233"/>
      <c r="C167" s="255"/>
      <c r="D167" s="273"/>
    </row>
    <row r="168" spans="1:5" s="274" customFormat="1">
      <c r="A168" s="253"/>
      <c r="B168" s="236"/>
      <c r="C168" s="255"/>
      <c r="D168" s="273"/>
    </row>
    <row r="169" spans="1:5" s="274" customFormat="1">
      <c r="A169" s="253"/>
      <c r="B169" s="236"/>
      <c r="C169" s="255"/>
      <c r="D169" s="273"/>
    </row>
    <row r="170" spans="1:5" s="274" customFormat="1">
      <c r="A170" s="253"/>
      <c r="B170" s="236"/>
      <c r="C170" s="255"/>
      <c r="D170" s="273"/>
    </row>
    <row r="171" spans="1:5" s="274" customFormat="1">
      <c r="A171" s="253"/>
      <c r="B171" s="236"/>
      <c r="C171" s="255"/>
      <c r="D171" s="273"/>
    </row>
    <row r="172" spans="1:5" s="274" customFormat="1">
      <c r="A172" s="253"/>
      <c r="B172" s="236"/>
      <c r="C172" s="255"/>
      <c r="D172" s="273"/>
    </row>
    <row r="173" spans="1:5" s="274" customFormat="1">
      <c r="A173" s="253"/>
      <c r="B173" s="236"/>
      <c r="C173" s="255"/>
      <c r="D173" s="255"/>
    </row>
    <row r="174" spans="1:5" s="274" customFormat="1">
      <c r="A174" s="253"/>
      <c r="B174" s="236"/>
      <c r="C174" s="255"/>
      <c r="D174" s="255"/>
    </row>
    <row r="175" spans="1:5" s="274" customFormat="1">
      <c r="A175" s="253"/>
      <c r="B175" s="236"/>
      <c r="C175" s="255"/>
      <c r="D175" s="255"/>
    </row>
    <row r="176" spans="1:5" s="274" customFormat="1">
      <c r="A176" s="253"/>
      <c r="B176" s="236"/>
      <c r="C176" s="255"/>
      <c r="D176" s="255"/>
    </row>
    <row r="177" spans="1:5" s="274" customFormat="1">
      <c r="A177" s="253"/>
      <c r="B177" s="236"/>
      <c r="C177" s="255"/>
      <c r="D177" s="255"/>
    </row>
    <row r="178" spans="1:5" s="274" customFormat="1">
      <c r="A178" s="253"/>
      <c r="B178" s="236"/>
      <c r="C178" s="255"/>
      <c r="D178" s="255"/>
    </row>
    <row r="179" spans="1:5" s="274" customFormat="1">
      <c r="A179" s="253"/>
      <c r="B179" s="236"/>
      <c r="C179" s="255"/>
      <c r="D179" s="255"/>
      <c r="E179" s="256"/>
    </row>
    <row r="180" spans="1:5" s="274" customFormat="1">
      <c r="A180" s="253"/>
      <c r="B180" s="236"/>
      <c r="C180" s="255"/>
      <c r="D180" s="255"/>
      <c r="E180" s="256"/>
    </row>
    <row r="181" spans="1:5">
      <c r="B181" s="236"/>
    </row>
    <row r="182" spans="1:5">
      <c r="B182" s="236"/>
    </row>
    <row r="183" spans="1:5">
      <c r="B183" s="236"/>
    </row>
    <row r="184" spans="1:5">
      <c r="B184" s="236"/>
    </row>
    <row r="185" spans="1:5">
      <c r="B185" s="236"/>
    </row>
    <row r="186" spans="1:5">
      <c r="B186" s="236"/>
    </row>
    <row r="187" spans="1:5">
      <c r="B187" s="236"/>
    </row>
    <row r="188" spans="1:5">
      <c r="B188" s="236"/>
    </row>
    <row r="189" spans="1:5">
      <c r="B189" s="236"/>
    </row>
    <row r="190" spans="1:5">
      <c r="B190" s="236"/>
    </row>
    <row r="191" spans="1:5">
      <c r="B191" s="236"/>
    </row>
    <row r="192" spans="1:5">
      <c r="B192" s="236"/>
    </row>
    <row r="193" spans="2:2">
      <c r="B193" s="236"/>
    </row>
    <row r="194" spans="2:2">
      <c r="B194" s="236"/>
    </row>
    <row r="195" spans="2:2">
      <c r="B195" s="236"/>
    </row>
    <row r="196" spans="2:2">
      <c r="B196" s="236"/>
    </row>
    <row r="197" spans="2:2">
      <c r="B197" s="236"/>
    </row>
  </sheetData>
  <mergeCells count="5">
    <mergeCell ref="C2:D2"/>
    <mergeCell ref="A3:A4"/>
    <mergeCell ref="A8:A9"/>
    <mergeCell ref="A10:A11"/>
    <mergeCell ref="A12:A13"/>
  </mergeCells>
  <dataValidations count="13">
    <dataValidation type="custom" showInputMessage="1" showErrorMessage="1" sqref="F6 JB6 SX6 ACT6 AMP6 AWL6 BGH6 BQD6 BZZ6 CJV6 CTR6 DDN6 DNJ6 DXF6 EHB6 EQX6 FAT6 FKP6 FUL6 GEH6 GOD6 GXZ6 HHV6 HRR6 IBN6 ILJ6 IVF6 JFB6 JOX6 JYT6 KIP6 KSL6 LCH6 LMD6 LVZ6 MFV6 MPR6 MZN6 NJJ6 NTF6 ODB6 OMX6 OWT6 PGP6 PQL6 QAH6 QKD6 QTZ6 RDV6 RNR6 RXN6 SHJ6 SRF6 TBB6 TKX6 TUT6 UEP6 UOL6 UYH6 VID6 VRZ6 WBV6 WLR6 WVN6 F65542 JB65542 SX65542 ACT65542 AMP65542 AWL65542 BGH65542 BQD65542 BZZ65542 CJV65542 CTR65542 DDN65542 DNJ65542 DXF65542 EHB65542 EQX65542 FAT65542 FKP65542 FUL65542 GEH65542 GOD65542 GXZ65542 HHV65542 HRR65542 IBN65542 ILJ65542 IVF65542 JFB65542 JOX65542 JYT65542 KIP65542 KSL65542 LCH65542 LMD65542 LVZ65542 MFV65542 MPR65542 MZN65542 NJJ65542 NTF65542 ODB65542 OMX65542 OWT65542 PGP65542 PQL65542 QAH65542 QKD65542 QTZ65542 RDV65542 RNR65542 RXN65542 SHJ65542 SRF65542 TBB65542 TKX65542 TUT65542 UEP65542 UOL65542 UYH65542 VID65542 VRZ65542 WBV65542 WLR65542 WVN65542 F131078 JB131078 SX131078 ACT131078 AMP131078 AWL131078 BGH131078 BQD131078 BZZ131078 CJV131078 CTR131078 DDN131078 DNJ131078 DXF131078 EHB131078 EQX131078 FAT131078 FKP131078 FUL131078 GEH131078 GOD131078 GXZ131078 HHV131078 HRR131078 IBN131078 ILJ131078 IVF131078 JFB131078 JOX131078 JYT131078 KIP131078 KSL131078 LCH131078 LMD131078 LVZ131078 MFV131078 MPR131078 MZN131078 NJJ131078 NTF131078 ODB131078 OMX131078 OWT131078 PGP131078 PQL131078 QAH131078 QKD131078 QTZ131078 RDV131078 RNR131078 RXN131078 SHJ131078 SRF131078 TBB131078 TKX131078 TUT131078 UEP131078 UOL131078 UYH131078 VID131078 VRZ131078 WBV131078 WLR131078 WVN131078 F196614 JB196614 SX196614 ACT196614 AMP196614 AWL196614 BGH196614 BQD196614 BZZ196614 CJV196614 CTR196614 DDN196614 DNJ196614 DXF196614 EHB196614 EQX196614 FAT196614 FKP196614 FUL196614 GEH196614 GOD196614 GXZ196614 HHV196614 HRR196614 IBN196614 ILJ196614 IVF196614 JFB196614 JOX196614 JYT196614 KIP196614 KSL196614 LCH196614 LMD196614 LVZ196614 MFV196614 MPR196614 MZN196614 NJJ196614 NTF196614 ODB196614 OMX196614 OWT196614 PGP196614 PQL196614 QAH196614 QKD196614 QTZ196614 RDV196614 RNR196614 RXN196614 SHJ196614 SRF196614 TBB196614 TKX196614 TUT196614 UEP196614 UOL196614 UYH196614 VID196614 VRZ196614 WBV196614 WLR196614 WVN196614 F262150 JB262150 SX262150 ACT262150 AMP262150 AWL262150 BGH262150 BQD262150 BZZ262150 CJV262150 CTR262150 DDN262150 DNJ262150 DXF262150 EHB262150 EQX262150 FAT262150 FKP262150 FUL262150 GEH262150 GOD262150 GXZ262150 HHV262150 HRR262150 IBN262150 ILJ262150 IVF262150 JFB262150 JOX262150 JYT262150 KIP262150 KSL262150 LCH262150 LMD262150 LVZ262150 MFV262150 MPR262150 MZN262150 NJJ262150 NTF262150 ODB262150 OMX262150 OWT262150 PGP262150 PQL262150 QAH262150 QKD262150 QTZ262150 RDV262150 RNR262150 RXN262150 SHJ262150 SRF262150 TBB262150 TKX262150 TUT262150 UEP262150 UOL262150 UYH262150 VID262150 VRZ262150 WBV262150 WLR262150 WVN262150 F327686 JB327686 SX327686 ACT327686 AMP327686 AWL327686 BGH327686 BQD327686 BZZ327686 CJV327686 CTR327686 DDN327686 DNJ327686 DXF327686 EHB327686 EQX327686 FAT327686 FKP327686 FUL327686 GEH327686 GOD327686 GXZ327686 HHV327686 HRR327686 IBN327686 ILJ327686 IVF327686 JFB327686 JOX327686 JYT327686 KIP327686 KSL327686 LCH327686 LMD327686 LVZ327686 MFV327686 MPR327686 MZN327686 NJJ327686 NTF327686 ODB327686 OMX327686 OWT327686 PGP327686 PQL327686 QAH327686 QKD327686 QTZ327686 RDV327686 RNR327686 RXN327686 SHJ327686 SRF327686 TBB327686 TKX327686 TUT327686 UEP327686 UOL327686 UYH327686 VID327686 VRZ327686 WBV327686 WLR327686 WVN327686 F393222 JB393222 SX393222 ACT393222 AMP393222 AWL393222 BGH393222 BQD393222 BZZ393222 CJV393222 CTR393222 DDN393222 DNJ393222 DXF393222 EHB393222 EQX393222 FAT393222 FKP393222 FUL393222 GEH393222 GOD393222 GXZ393222 HHV393222 HRR393222 IBN393222 ILJ393222 IVF393222 JFB393222 JOX393222 JYT393222 KIP393222 KSL393222 LCH393222 LMD393222 LVZ393222 MFV393222 MPR393222 MZN393222 NJJ393222 NTF393222 ODB393222 OMX393222 OWT393222 PGP393222 PQL393222 QAH393222 QKD393222 QTZ393222 RDV393222 RNR393222 RXN393222 SHJ393222 SRF393222 TBB393222 TKX393222 TUT393222 UEP393222 UOL393222 UYH393222 VID393222 VRZ393222 WBV393222 WLR393222 WVN393222 F458758 JB458758 SX458758 ACT458758 AMP458758 AWL458758 BGH458758 BQD458758 BZZ458758 CJV458758 CTR458758 DDN458758 DNJ458758 DXF458758 EHB458758 EQX458758 FAT458758 FKP458758 FUL458758 GEH458758 GOD458758 GXZ458758 HHV458758 HRR458758 IBN458758 ILJ458758 IVF458758 JFB458758 JOX458758 JYT458758 KIP458758 KSL458758 LCH458758 LMD458758 LVZ458758 MFV458758 MPR458758 MZN458758 NJJ458758 NTF458758 ODB458758 OMX458758 OWT458758 PGP458758 PQL458758 QAH458758 QKD458758 QTZ458758 RDV458758 RNR458758 RXN458758 SHJ458758 SRF458758 TBB458758 TKX458758 TUT458758 UEP458758 UOL458758 UYH458758 VID458758 VRZ458758 WBV458758 WLR458758 WVN458758 F524294 JB524294 SX524294 ACT524294 AMP524294 AWL524294 BGH524294 BQD524294 BZZ524294 CJV524294 CTR524294 DDN524294 DNJ524294 DXF524294 EHB524294 EQX524294 FAT524294 FKP524294 FUL524294 GEH524294 GOD524294 GXZ524294 HHV524294 HRR524294 IBN524294 ILJ524294 IVF524294 JFB524294 JOX524294 JYT524294 KIP524294 KSL524294 LCH524294 LMD524294 LVZ524294 MFV524294 MPR524294 MZN524294 NJJ524294 NTF524294 ODB524294 OMX524294 OWT524294 PGP524294 PQL524294 QAH524294 QKD524294 QTZ524294 RDV524294 RNR524294 RXN524294 SHJ524294 SRF524294 TBB524294 TKX524294 TUT524294 UEP524294 UOL524294 UYH524294 VID524294 VRZ524294 WBV524294 WLR524294 WVN524294 F589830 JB589830 SX589830 ACT589830 AMP589830 AWL589830 BGH589830 BQD589830 BZZ589830 CJV589830 CTR589830 DDN589830 DNJ589830 DXF589830 EHB589830 EQX589830 FAT589830 FKP589830 FUL589830 GEH589830 GOD589830 GXZ589830 HHV589830 HRR589830 IBN589830 ILJ589830 IVF589830 JFB589830 JOX589830 JYT589830 KIP589830 KSL589830 LCH589830 LMD589830 LVZ589830 MFV589830 MPR589830 MZN589830 NJJ589830 NTF589830 ODB589830 OMX589830 OWT589830 PGP589830 PQL589830 QAH589830 QKD589830 QTZ589830 RDV589830 RNR589830 RXN589830 SHJ589830 SRF589830 TBB589830 TKX589830 TUT589830 UEP589830 UOL589830 UYH589830 VID589830 VRZ589830 WBV589830 WLR589830 WVN589830 F655366 JB655366 SX655366 ACT655366 AMP655366 AWL655366 BGH655366 BQD655366 BZZ655366 CJV655366 CTR655366 DDN655366 DNJ655366 DXF655366 EHB655366 EQX655366 FAT655366 FKP655366 FUL655366 GEH655366 GOD655366 GXZ655366 HHV655366 HRR655366 IBN655366 ILJ655366 IVF655366 JFB655366 JOX655366 JYT655366 KIP655366 KSL655366 LCH655366 LMD655366 LVZ655366 MFV655366 MPR655366 MZN655366 NJJ655366 NTF655366 ODB655366 OMX655366 OWT655366 PGP655366 PQL655366 QAH655366 QKD655366 QTZ655366 RDV655366 RNR655366 RXN655366 SHJ655366 SRF655366 TBB655366 TKX655366 TUT655366 UEP655366 UOL655366 UYH655366 VID655366 VRZ655366 WBV655366 WLR655366 WVN655366 F720902 JB720902 SX720902 ACT720902 AMP720902 AWL720902 BGH720902 BQD720902 BZZ720902 CJV720902 CTR720902 DDN720902 DNJ720902 DXF720902 EHB720902 EQX720902 FAT720902 FKP720902 FUL720902 GEH720902 GOD720902 GXZ720902 HHV720902 HRR720902 IBN720902 ILJ720902 IVF720902 JFB720902 JOX720902 JYT720902 KIP720902 KSL720902 LCH720902 LMD720902 LVZ720902 MFV720902 MPR720902 MZN720902 NJJ720902 NTF720902 ODB720902 OMX720902 OWT720902 PGP720902 PQL720902 QAH720902 QKD720902 QTZ720902 RDV720902 RNR720902 RXN720902 SHJ720902 SRF720902 TBB720902 TKX720902 TUT720902 UEP720902 UOL720902 UYH720902 VID720902 VRZ720902 WBV720902 WLR720902 WVN720902 F786438 JB786438 SX786438 ACT786438 AMP786438 AWL786438 BGH786438 BQD786438 BZZ786438 CJV786438 CTR786438 DDN786438 DNJ786438 DXF786438 EHB786438 EQX786438 FAT786438 FKP786438 FUL786438 GEH786438 GOD786438 GXZ786438 HHV786438 HRR786438 IBN786438 ILJ786438 IVF786438 JFB786438 JOX786438 JYT786438 KIP786438 KSL786438 LCH786438 LMD786438 LVZ786438 MFV786438 MPR786438 MZN786438 NJJ786438 NTF786438 ODB786438 OMX786438 OWT786438 PGP786438 PQL786438 QAH786438 QKD786438 QTZ786438 RDV786438 RNR786438 RXN786438 SHJ786438 SRF786438 TBB786438 TKX786438 TUT786438 UEP786438 UOL786438 UYH786438 VID786438 VRZ786438 WBV786438 WLR786438 WVN786438 F851974 JB851974 SX851974 ACT851974 AMP851974 AWL851974 BGH851974 BQD851974 BZZ851974 CJV851974 CTR851974 DDN851974 DNJ851974 DXF851974 EHB851974 EQX851974 FAT851974 FKP851974 FUL851974 GEH851974 GOD851974 GXZ851974 HHV851974 HRR851974 IBN851974 ILJ851974 IVF851974 JFB851974 JOX851974 JYT851974 KIP851974 KSL851974 LCH851974 LMD851974 LVZ851974 MFV851974 MPR851974 MZN851974 NJJ851974 NTF851974 ODB851974 OMX851974 OWT851974 PGP851974 PQL851974 QAH851974 QKD851974 QTZ851974 RDV851974 RNR851974 RXN851974 SHJ851974 SRF851974 TBB851974 TKX851974 TUT851974 UEP851974 UOL851974 UYH851974 VID851974 VRZ851974 WBV851974 WLR851974 WVN851974 F917510 JB917510 SX917510 ACT917510 AMP917510 AWL917510 BGH917510 BQD917510 BZZ917510 CJV917510 CTR917510 DDN917510 DNJ917510 DXF917510 EHB917510 EQX917510 FAT917510 FKP917510 FUL917510 GEH917510 GOD917510 GXZ917510 HHV917510 HRR917510 IBN917510 ILJ917510 IVF917510 JFB917510 JOX917510 JYT917510 KIP917510 KSL917510 LCH917510 LMD917510 LVZ917510 MFV917510 MPR917510 MZN917510 NJJ917510 NTF917510 ODB917510 OMX917510 OWT917510 PGP917510 PQL917510 QAH917510 QKD917510 QTZ917510 RDV917510 RNR917510 RXN917510 SHJ917510 SRF917510 TBB917510 TKX917510 TUT917510 UEP917510 UOL917510 UYH917510 VID917510 VRZ917510 WBV917510 WLR917510 WVN917510 F983046 JB983046 SX983046 ACT983046 AMP983046 AWL983046 BGH983046 BQD983046 BZZ983046 CJV983046 CTR983046 DDN983046 DNJ983046 DXF983046 EHB983046 EQX983046 FAT983046 FKP983046 FUL983046 GEH983046 GOD983046 GXZ983046 HHV983046 HRR983046 IBN983046 ILJ983046 IVF983046 JFB983046 JOX983046 JYT983046 KIP983046 KSL983046 LCH983046 LMD983046 LVZ983046 MFV983046 MPR983046 MZN983046 NJJ983046 NTF983046 ODB983046 OMX983046 OWT983046 PGP983046 PQL983046 QAH983046 QKD983046 QTZ983046 RDV983046 RNR983046 RXN983046 SHJ983046 SRF983046 TBB983046 TKX983046 TUT983046 UEP983046 UOL983046 UYH983046 VID983046 VRZ983046 WBV983046 WLR983046 WVN983046" xr:uid="{28F44E6D-F543-46A7-8B50-75936ABDDBD9}">
      <formula1>"Commentary"</formula1>
    </dataValidation>
    <dataValidation type="custom" showInputMessage="1" showErrorMessage="1" sqref="JA9 SW9 ACS9 AMO9 AWK9 BGG9 BQC9 BZY9 CJU9 CTQ9 DDM9 DNI9 DXE9 EHA9 EQW9 FAS9 FKO9 FUK9 GEG9 GOC9 GXY9 HHU9 HRQ9 IBM9 ILI9 IVE9 JFA9 JOW9 JYS9 KIO9 KSK9 LCG9 LMC9 LVY9 MFU9 MPQ9 MZM9 NJI9 NTE9 ODA9 OMW9 OWS9 PGO9 PQK9 QAG9 QKC9 QTY9 RDU9 RNQ9 RXM9 SHI9 SRE9 TBA9 TKW9 TUS9 UEO9 UOK9 UYG9 VIC9 VRY9 WBU9 WLQ9 WVM9 E65547 JA65545 SW65545 ACS65545 AMO65545 AWK65545 BGG65545 BQC65545 BZY65545 CJU65545 CTQ65545 DDM65545 DNI65545 DXE65545 EHA65545 EQW65545 FAS65545 FKO65545 FUK65545 GEG65545 GOC65545 GXY65545 HHU65545 HRQ65545 IBM65545 ILI65545 IVE65545 JFA65545 JOW65545 JYS65545 KIO65545 KSK65545 LCG65545 LMC65545 LVY65545 MFU65545 MPQ65545 MZM65545 NJI65545 NTE65545 ODA65545 OMW65545 OWS65545 PGO65545 PQK65545 QAG65545 QKC65545 QTY65545 RDU65545 RNQ65545 RXM65545 SHI65545 SRE65545 TBA65545 TKW65545 TUS65545 UEO65545 UOK65545 UYG65545 VIC65545 VRY65545 WBU65545 WLQ65545 WVM65545 E131083 JA131081 SW131081 ACS131081 AMO131081 AWK131081 BGG131081 BQC131081 BZY131081 CJU131081 CTQ131081 DDM131081 DNI131081 DXE131081 EHA131081 EQW131081 FAS131081 FKO131081 FUK131081 GEG131081 GOC131081 GXY131081 HHU131081 HRQ131081 IBM131081 ILI131081 IVE131081 JFA131081 JOW131081 JYS131081 KIO131081 KSK131081 LCG131081 LMC131081 LVY131081 MFU131081 MPQ131081 MZM131081 NJI131081 NTE131081 ODA131081 OMW131081 OWS131081 PGO131081 PQK131081 QAG131081 QKC131081 QTY131081 RDU131081 RNQ131081 RXM131081 SHI131081 SRE131081 TBA131081 TKW131081 TUS131081 UEO131081 UOK131081 UYG131081 VIC131081 VRY131081 WBU131081 WLQ131081 WVM131081 E196619 JA196617 SW196617 ACS196617 AMO196617 AWK196617 BGG196617 BQC196617 BZY196617 CJU196617 CTQ196617 DDM196617 DNI196617 DXE196617 EHA196617 EQW196617 FAS196617 FKO196617 FUK196617 GEG196617 GOC196617 GXY196617 HHU196617 HRQ196617 IBM196617 ILI196617 IVE196617 JFA196617 JOW196617 JYS196617 KIO196617 KSK196617 LCG196617 LMC196617 LVY196617 MFU196617 MPQ196617 MZM196617 NJI196617 NTE196617 ODA196617 OMW196617 OWS196617 PGO196617 PQK196617 QAG196617 QKC196617 QTY196617 RDU196617 RNQ196617 RXM196617 SHI196617 SRE196617 TBA196617 TKW196617 TUS196617 UEO196617 UOK196617 UYG196617 VIC196617 VRY196617 WBU196617 WLQ196617 WVM196617 E262155 JA262153 SW262153 ACS262153 AMO262153 AWK262153 BGG262153 BQC262153 BZY262153 CJU262153 CTQ262153 DDM262153 DNI262153 DXE262153 EHA262153 EQW262153 FAS262153 FKO262153 FUK262153 GEG262153 GOC262153 GXY262153 HHU262153 HRQ262153 IBM262153 ILI262153 IVE262153 JFA262153 JOW262153 JYS262153 KIO262153 KSK262153 LCG262153 LMC262153 LVY262153 MFU262153 MPQ262153 MZM262153 NJI262153 NTE262153 ODA262153 OMW262153 OWS262153 PGO262153 PQK262153 QAG262153 QKC262153 QTY262153 RDU262153 RNQ262153 RXM262153 SHI262153 SRE262153 TBA262153 TKW262153 TUS262153 UEO262153 UOK262153 UYG262153 VIC262153 VRY262153 WBU262153 WLQ262153 WVM262153 E327691 JA327689 SW327689 ACS327689 AMO327689 AWK327689 BGG327689 BQC327689 BZY327689 CJU327689 CTQ327689 DDM327689 DNI327689 DXE327689 EHA327689 EQW327689 FAS327689 FKO327689 FUK327689 GEG327689 GOC327689 GXY327689 HHU327689 HRQ327689 IBM327689 ILI327689 IVE327689 JFA327689 JOW327689 JYS327689 KIO327689 KSK327689 LCG327689 LMC327689 LVY327689 MFU327689 MPQ327689 MZM327689 NJI327689 NTE327689 ODA327689 OMW327689 OWS327689 PGO327689 PQK327689 QAG327689 QKC327689 QTY327689 RDU327689 RNQ327689 RXM327689 SHI327689 SRE327689 TBA327689 TKW327689 TUS327689 UEO327689 UOK327689 UYG327689 VIC327689 VRY327689 WBU327689 WLQ327689 WVM327689 E393227 JA393225 SW393225 ACS393225 AMO393225 AWK393225 BGG393225 BQC393225 BZY393225 CJU393225 CTQ393225 DDM393225 DNI393225 DXE393225 EHA393225 EQW393225 FAS393225 FKO393225 FUK393225 GEG393225 GOC393225 GXY393225 HHU393225 HRQ393225 IBM393225 ILI393225 IVE393225 JFA393225 JOW393225 JYS393225 KIO393225 KSK393225 LCG393225 LMC393225 LVY393225 MFU393225 MPQ393225 MZM393225 NJI393225 NTE393225 ODA393225 OMW393225 OWS393225 PGO393225 PQK393225 QAG393225 QKC393225 QTY393225 RDU393225 RNQ393225 RXM393225 SHI393225 SRE393225 TBA393225 TKW393225 TUS393225 UEO393225 UOK393225 UYG393225 VIC393225 VRY393225 WBU393225 WLQ393225 WVM393225 E458763 JA458761 SW458761 ACS458761 AMO458761 AWK458761 BGG458761 BQC458761 BZY458761 CJU458761 CTQ458761 DDM458761 DNI458761 DXE458761 EHA458761 EQW458761 FAS458761 FKO458761 FUK458761 GEG458761 GOC458761 GXY458761 HHU458761 HRQ458761 IBM458761 ILI458761 IVE458761 JFA458761 JOW458761 JYS458761 KIO458761 KSK458761 LCG458761 LMC458761 LVY458761 MFU458761 MPQ458761 MZM458761 NJI458761 NTE458761 ODA458761 OMW458761 OWS458761 PGO458761 PQK458761 QAG458761 QKC458761 QTY458761 RDU458761 RNQ458761 RXM458761 SHI458761 SRE458761 TBA458761 TKW458761 TUS458761 UEO458761 UOK458761 UYG458761 VIC458761 VRY458761 WBU458761 WLQ458761 WVM458761 E524299 JA524297 SW524297 ACS524297 AMO524297 AWK524297 BGG524297 BQC524297 BZY524297 CJU524297 CTQ524297 DDM524297 DNI524297 DXE524297 EHA524297 EQW524297 FAS524297 FKO524297 FUK524297 GEG524297 GOC524297 GXY524297 HHU524297 HRQ524297 IBM524297 ILI524297 IVE524297 JFA524297 JOW524297 JYS524297 KIO524297 KSK524297 LCG524297 LMC524297 LVY524297 MFU524297 MPQ524297 MZM524297 NJI524297 NTE524297 ODA524297 OMW524297 OWS524297 PGO524297 PQK524297 QAG524297 QKC524297 QTY524297 RDU524297 RNQ524297 RXM524297 SHI524297 SRE524297 TBA524297 TKW524297 TUS524297 UEO524297 UOK524297 UYG524297 VIC524297 VRY524297 WBU524297 WLQ524297 WVM524297 E589835 JA589833 SW589833 ACS589833 AMO589833 AWK589833 BGG589833 BQC589833 BZY589833 CJU589833 CTQ589833 DDM589833 DNI589833 DXE589833 EHA589833 EQW589833 FAS589833 FKO589833 FUK589833 GEG589833 GOC589833 GXY589833 HHU589833 HRQ589833 IBM589833 ILI589833 IVE589833 JFA589833 JOW589833 JYS589833 KIO589833 KSK589833 LCG589833 LMC589833 LVY589833 MFU589833 MPQ589833 MZM589833 NJI589833 NTE589833 ODA589833 OMW589833 OWS589833 PGO589833 PQK589833 QAG589833 QKC589833 QTY589833 RDU589833 RNQ589833 RXM589833 SHI589833 SRE589833 TBA589833 TKW589833 TUS589833 UEO589833 UOK589833 UYG589833 VIC589833 VRY589833 WBU589833 WLQ589833 WVM589833 E655371 JA655369 SW655369 ACS655369 AMO655369 AWK655369 BGG655369 BQC655369 BZY655369 CJU655369 CTQ655369 DDM655369 DNI655369 DXE655369 EHA655369 EQW655369 FAS655369 FKO655369 FUK655369 GEG655369 GOC655369 GXY655369 HHU655369 HRQ655369 IBM655369 ILI655369 IVE655369 JFA655369 JOW655369 JYS655369 KIO655369 KSK655369 LCG655369 LMC655369 LVY655369 MFU655369 MPQ655369 MZM655369 NJI655369 NTE655369 ODA655369 OMW655369 OWS655369 PGO655369 PQK655369 QAG655369 QKC655369 QTY655369 RDU655369 RNQ655369 RXM655369 SHI655369 SRE655369 TBA655369 TKW655369 TUS655369 UEO655369 UOK655369 UYG655369 VIC655369 VRY655369 WBU655369 WLQ655369 WVM655369 E720907 JA720905 SW720905 ACS720905 AMO720905 AWK720905 BGG720905 BQC720905 BZY720905 CJU720905 CTQ720905 DDM720905 DNI720905 DXE720905 EHA720905 EQW720905 FAS720905 FKO720905 FUK720905 GEG720905 GOC720905 GXY720905 HHU720905 HRQ720905 IBM720905 ILI720905 IVE720905 JFA720905 JOW720905 JYS720905 KIO720905 KSK720905 LCG720905 LMC720905 LVY720905 MFU720905 MPQ720905 MZM720905 NJI720905 NTE720905 ODA720905 OMW720905 OWS720905 PGO720905 PQK720905 QAG720905 QKC720905 QTY720905 RDU720905 RNQ720905 RXM720905 SHI720905 SRE720905 TBA720905 TKW720905 TUS720905 UEO720905 UOK720905 UYG720905 VIC720905 VRY720905 WBU720905 WLQ720905 WVM720905 E786443 JA786441 SW786441 ACS786441 AMO786441 AWK786441 BGG786441 BQC786441 BZY786441 CJU786441 CTQ786441 DDM786441 DNI786441 DXE786441 EHA786441 EQW786441 FAS786441 FKO786441 FUK786441 GEG786441 GOC786441 GXY786441 HHU786441 HRQ786441 IBM786441 ILI786441 IVE786441 JFA786441 JOW786441 JYS786441 KIO786441 KSK786441 LCG786441 LMC786441 LVY786441 MFU786441 MPQ786441 MZM786441 NJI786441 NTE786441 ODA786441 OMW786441 OWS786441 PGO786441 PQK786441 QAG786441 QKC786441 QTY786441 RDU786441 RNQ786441 RXM786441 SHI786441 SRE786441 TBA786441 TKW786441 TUS786441 UEO786441 UOK786441 UYG786441 VIC786441 VRY786441 WBU786441 WLQ786441 WVM786441 E851979 JA851977 SW851977 ACS851977 AMO851977 AWK851977 BGG851977 BQC851977 BZY851977 CJU851977 CTQ851977 DDM851977 DNI851977 DXE851977 EHA851977 EQW851977 FAS851977 FKO851977 FUK851977 GEG851977 GOC851977 GXY851977 HHU851977 HRQ851977 IBM851977 ILI851977 IVE851977 JFA851977 JOW851977 JYS851977 KIO851977 KSK851977 LCG851977 LMC851977 LVY851977 MFU851977 MPQ851977 MZM851977 NJI851977 NTE851977 ODA851977 OMW851977 OWS851977 PGO851977 PQK851977 QAG851977 QKC851977 QTY851977 RDU851977 RNQ851977 RXM851977 SHI851977 SRE851977 TBA851977 TKW851977 TUS851977 UEO851977 UOK851977 UYG851977 VIC851977 VRY851977 WBU851977 WLQ851977 WVM851977 E917515 JA917513 SW917513 ACS917513 AMO917513 AWK917513 BGG917513 BQC917513 BZY917513 CJU917513 CTQ917513 DDM917513 DNI917513 DXE917513 EHA917513 EQW917513 FAS917513 FKO917513 FUK917513 GEG917513 GOC917513 GXY917513 HHU917513 HRQ917513 IBM917513 ILI917513 IVE917513 JFA917513 JOW917513 JYS917513 KIO917513 KSK917513 LCG917513 LMC917513 LVY917513 MFU917513 MPQ917513 MZM917513 NJI917513 NTE917513 ODA917513 OMW917513 OWS917513 PGO917513 PQK917513 QAG917513 QKC917513 QTY917513 RDU917513 RNQ917513 RXM917513 SHI917513 SRE917513 TBA917513 TKW917513 TUS917513 UEO917513 UOK917513 UYG917513 VIC917513 VRY917513 WBU917513 WLQ917513 WVM917513 E983051 JA983049 SW983049 ACS983049 AMO983049 AWK983049 BGG983049 BQC983049 BZY983049 CJU983049 CTQ983049 DDM983049 DNI983049 DXE983049 EHA983049 EQW983049 FAS983049 FKO983049 FUK983049 GEG983049 GOC983049 GXY983049 HHU983049 HRQ983049 IBM983049 ILI983049 IVE983049 JFA983049 JOW983049 JYS983049 KIO983049 KSK983049 LCG983049 LMC983049 LVY983049 MFU983049 MPQ983049 MZM983049 NJI983049 NTE983049 ODA983049 OMW983049 OWS983049 PGO983049 PQK983049 QAG983049 QKC983049 QTY983049 RDU983049 RNQ983049 RXM983049 SHI983049 SRE983049 TBA983049 TKW983049 TUS983049 UEO983049 UOK983049 UYG983049 VIC983049 VRY983049 WBU983049 WLQ983049 WVM983049 E9" xr:uid="{8DC096DE-1125-4472-869F-26EA126CD425}">
      <formula1>"Probability"</formula1>
    </dataValidation>
    <dataValidation type="custom" showInputMessage="1" showErrorMessage="1" sqref="IZ9 SV9 ACR9 AMN9 AWJ9 BGF9 BQB9 BZX9 CJT9 CTP9 DDL9 DNH9 DXD9 EGZ9 EQV9 FAR9 FKN9 FUJ9 GEF9 GOB9 GXX9 HHT9 HRP9 IBL9 ILH9 IVD9 JEZ9 JOV9 JYR9 KIN9 KSJ9 LCF9 LMB9 LVX9 MFT9 MPP9 MZL9 NJH9 NTD9 OCZ9 OMV9 OWR9 PGN9 PQJ9 QAF9 QKB9 QTX9 RDT9 RNP9 RXL9 SHH9 SRD9 TAZ9 TKV9 TUR9 UEN9 UOJ9 UYF9 VIB9 VRX9 WBT9 WLP9 WVL9 D65547 IZ65545 SV65545 ACR65545 AMN65545 AWJ65545 BGF65545 BQB65545 BZX65545 CJT65545 CTP65545 DDL65545 DNH65545 DXD65545 EGZ65545 EQV65545 FAR65545 FKN65545 FUJ65545 GEF65545 GOB65545 GXX65545 HHT65545 HRP65545 IBL65545 ILH65545 IVD65545 JEZ65545 JOV65545 JYR65545 KIN65545 KSJ65545 LCF65545 LMB65545 LVX65545 MFT65545 MPP65545 MZL65545 NJH65545 NTD65545 OCZ65545 OMV65545 OWR65545 PGN65545 PQJ65545 QAF65545 QKB65545 QTX65545 RDT65545 RNP65545 RXL65545 SHH65545 SRD65545 TAZ65545 TKV65545 TUR65545 UEN65545 UOJ65545 UYF65545 VIB65545 VRX65545 WBT65545 WLP65545 WVL65545 D131083 IZ131081 SV131081 ACR131081 AMN131081 AWJ131081 BGF131081 BQB131081 BZX131081 CJT131081 CTP131081 DDL131081 DNH131081 DXD131081 EGZ131081 EQV131081 FAR131081 FKN131081 FUJ131081 GEF131081 GOB131081 GXX131081 HHT131081 HRP131081 IBL131081 ILH131081 IVD131081 JEZ131081 JOV131081 JYR131081 KIN131081 KSJ131081 LCF131081 LMB131081 LVX131081 MFT131081 MPP131081 MZL131081 NJH131081 NTD131081 OCZ131081 OMV131081 OWR131081 PGN131081 PQJ131081 QAF131081 QKB131081 QTX131081 RDT131081 RNP131081 RXL131081 SHH131081 SRD131081 TAZ131081 TKV131081 TUR131081 UEN131081 UOJ131081 UYF131081 VIB131081 VRX131081 WBT131081 WLP131081 WVL131081 D196619 IZ196617 SV196617 ACR196617 AMN196617 AWJ196617 BGF196617 BQB196617 BZX196617 CJT196617 CTP196617 DDL196617 DNH196617 DXD196617 EGZ196617 EQV196617 FAR196617 FKN196617 FUJ196617 GEF196617 GOB196617 GXX196617 HHT196617 HRP196617 IBL196617 ILH196617 IVD196617 JEZ196617 JOV196617 JYR196617 KIN196617 KSJ196617 LCF196617 LMB196617 LVX196617 MFT196617 MPP196617 MZL196617 NJH196617 NTD196617 OCZ196617 OMV196617 OWR196617 PGN196617 PQJ196617 QAF196617 QKB196617 QTX196617 RDT196617 RNP196617 RXL196617 SHH196617 SRD196617 TAZ196617 TKV196617 TUR196617 UEN196617 UOJ196617 UYF196617 VIB196617 VRX196617 WBT196617 WLP196617 WVL196617 D262155 IZ262153 SV262153 ACR262153 AMN262153 AWJ262153 BGF262153 BQB262153 BZX262153 CJT262153 CTP262153 DDL262153 DNH262153 DXD262153 EGZ262153 EQV262153 FAR262153 FKN262153 FUJ262153 GEF262153 GOB262153 GXX262153 HHT262153 HRP262153 IBL262153 ILH262153 IVD262153 JEZ262153 JOV262153 JYR262153 KIN262153 KSJ262153 LCF262153 LMB262153 LVX262153 MFT262153 MPP262153 MZL262153 NJH262153 NTD262153 OCZ262153 OMV262153 OWR262153 PGN262153 PQJ262153 QAF262153 QKB262153 QTX262153 RDT262153 RNP262153 RXL262153 SHH262153 SRD262153 TAZ262153 TKV262153 TUR262153 UEN262153 UOJ262153 UYF262153 VIB262153 VRX262153 WBT262153 WLP262153 WVL262153 D327691 IZ327689 SV327689 ACR327689 AMN327689 AWJ327689 BGF327689 BQB327689 BZX327689 CJT327689 CTP327689 DDL327689 DNH327689 DXD327689 EGZ327689 EQV327689 FAR327689 FKN327689 FUJ327689 GEF327689 GOB327689 GXX327689 HHT327689 HRP327689 IBL327689 ILH327689 IVD327689 JEZ327689 JOV327689 JYR327689 KIN327689 KSJ327689 LCF327689 LMB327689 LVX327689 MFT327689 MPP327689 MZL327689 NJH327689 NTD327689 OCZ327689 OMV327689 OWR327689 PGN327689 PQJ327689 QAF327689 QKB327689 QTX327689 RDT327689 RNP327689 RXL327689 SHH327689 SRD327689 TAZ327689 TKV327689 TUR327689 UEN327689 UOJ327689 UYF327689 VIB327689 VRX327689 WBT327689 WLP327689 WVL327689 D393227 IZ393225 SV393225 ACR393225 AMN393225 AWJ393225 BGF393225 BQB393225 BZX393225 CJT393225 CTP393225 DDL393225 DNH393225 DXD393225 EGZ393225 EQV393225 FAR393225 FKN393225 FUJ393225 GEF393225 GOB393225 GXX393225 HHT393225 HRP393225 IBL393225 ILH393225 IVD393225 JEZ393225 JOV393225 JYR393225 KIN393225 KSJ393225 LCF393225 LMB393225 LVX393225 MFT393225 MPP393225 MZL393225 NJH393225 NTD393225 OCZ393225 OMV393225 OWR393225 PGN393225 PQJ393225 QAF393225 QKB393225 QTX393225 RDT393225 RNP393225 RXL393225 SHH393225 SRD393225 TAZ393225 TKV393225 TUR393225 UEN393225 UOJ393225 UYF393225 VIB393225 VRX393225 WBT393225 WLP393225 WVL393225 D458763 IZ458761 SV458761 ACR458761 AMN458761 AWJ458761 BGF458761 BQB458761 BZX458761 CJT458761 CTP458761 DDL458761 DNH458761 DXD458761 EGZ458761 EQV458761 FAR458761 FKN458761 FUJ458761 GEF458761 GOB458761 GXX458761 HHT458761 HRP458761 IBL458761 ILH458761 IVD458761 JEZ458761 JOV458761 JYR458761 KIN458761 KSJ458761 LCF458761 LMB458761 LVX458761 MFT458761 MPP458761 MZL458761 NJH458761 NTD458761 OCZ458761 OMV458761 OWR458761 PGN458761 PQJ458761 QAF458761 QKB458761 QTX458761 RDT458761 RNP458761 RXL458761 SHH458761 SRD458761 TAZ458761 TKV458761 TUR458761 UEN458761 UOJ458761 UYF458761 VIB458761 VRX458761 WBT458761 WLP458761 WVL458761 D524299 IZ524297 SV524297 ACR524297 AMN524297 AWJ524297 BGF524297 BQB524297 BZX524297 CJT524297 CTP524297 DDL524297 DNH524297 DXD524297 EGZ524297 EQV524297 FAR524297 FKN524297 FUJ524297 GEF524297 GOB524297 GXX524297 HHT524297 HRP524297 IBL524297 ILH524297 IVD524297 JEZ524297 JOV524297 JYR524297 KIN524297 KSJ524297 LCF524297 LMB524297 LVX524297 MFT524297 MPP524297 MZL524297 NJH524297 NTD524297 OCZ524297 OMV524297 OWR524297 PGN524297 PQJ524297 QAF524297 QKB524297 QTX524297 RDT524297 RNP524297 RXL524297 SHH524297 SRD524297 TAZ524297 TKV524297 TUR524297 UEN524297 UOJ524297 UYF524297 VIB524297 VRX524297 WBT524297 WLP524297 WVL524297 D589835 IZ589833 SV589833 ACR589833 AMN589833 AWJ589833 BGF589833 BQB589833 BZX589833 CJT589833 CTP589833 DDL589833 DNH589833 DXD589833 EGZ589833 EQV589833 FAR589833 FKN589833 FUJ589833 GEF589833 GOB589833 GXX589833 HHT589833 HRP589833 IBL589833 ILH589833 IVD589833 JEZ589833 JOV589833 JYR589833 KIN589833 KSJ589833 LCF589833 LMB589833 LVX589833 MFT589833 MPP589833 MZL589833 NJH589833 NTD589833 OCZ589833 OMV589833 OWR589833 PGN589833 PQJ589833 QAF589833 QKB589833 QTX589833 RDT589833 RNP589833 RXL589833 SHH589833 SRD589833 TAZ589833 TKV589833 TUR589833 UEN589833 UOJ589833 UYF589833 VIB589833 VRX589833 WBT589833 WLP589833 WVL589833 D655371 IZ655369 SV655369 ACR655369 AMN655369 AWJ655369 BGF655369 BQB655369 BZX655369 CJT655369 CTP655369 DDL655369 DNH655369 DXD655369 EGZ655369 EQV655369 FAR655369 FKN655369 FUJ655369 GEF655369 GOB655369 GXX655369 HHT655369 HRP655369 IBL655369 ILH655369 IVD655369 JEZ655369 JOV655369 JYR655369 KIN655369 KSJ655369 LCF655369 LMB655369 LVX655369 MFT655369 MPP655369 MZL655369 NJH655369 NTD655369 OCZ655369 OMV655369 OWR655369 PGN655369 PQJ655369 QAF655369 QKB655369 QTX655369 RDT655369 RNP655369 RXL655369 SHH655369 SRD655369 TAZ655369 TKV655369 TUR655369 UEN655369 UOJ655369 UYF655369 VIB655369 VRX655369 WBT655369 WLP655369 WVL655369 D720907 IZ720905 SV720905 ACR720905 AMN720905 AWJ720905 BGF720905 BQB720905 BZX720905 CJT720905 CTP720905 DDL720905 DNH720905 DXD720905 EGZ720905 EQV720905 FAR720905 FKN720905 FUJ720905 GEF720905 GOB720905 GXX720905 HHT720905 HRP720905 IBL720905 ILH720905 IVD720905 JEZ720905 JOV720905 JYR720905 KIN720905 KSJ720905 LCF720905 LMB720905 LVX720905 MFT720905 MPP720905 MZL720905 NJH720905 NTD720905 OCZ720905 OMV720905 OWR720905 PGN720905 PQJ720905 QAF720905 QKB720905 QTX720905 RDT720905 RNP720905 RXL720905 SHH720905 SRD720905 TAZ720905 TKV720905 TUR720905 UEN720905 UOJ720905 UYF720905 VIB720905 VRX720905 WBT720905 WLP720905 WVL720905 D786443 IZ786441 SV786441 ACR786441 AMN786441 AWJ786441 BGF786441 BQB786441 BZX786441 CJT786441 CTP786441 DDL786441 DNH786441 DXD786441 EGZ786441 EQV786441 FAR786441 FKN786441 FUJ786441 GEF786441 GOB786441 GXX786441 HHT786441 HRP786441 IBL786441 ILH786441 IVD786441 JEZ786441 JOV786441 JYR786441 KIN786441 KSJ786441 LCF786441 LMB786441 LVX786441 MFT786441 MPP786441 MZL786441 NJH786441 NTD786441 OCZ786441 OMV786441 OWR786441 PGN786441 PQJ786441 QAF786441 QKB786441 QTX786441 RDT786441 RNP786441 RXL786441 SHH786441 SRD786441 TAZ786441 TKV786441 TUR786441 UEN786441 UOJ786441 UYF786441 VIB786441 VRX786441 WBT786441 WLP786441 WVL786441 D851979 IZ851977 SV851977 ACR851977 AMN851977 AWJ851977 BGF851977 BQB851977 BZX851977 CJT851977 CTP851977 DDL851977 DNH851977 DXD851977 EGZ851977 EQV851977 FAR851977 FKN851977 FUJ851977 GEF851977 GOB851977 GXX851977 HHT851977 HRP851977 IBL851977 ILH851977 IVD851977 JEZ851977 JOV851977 JYR851977 KIN851977 KSJ851977 LCF851977 LMB851977 LVX851977 MFT851977 MPP851977 MZL851977 NJH851977 NTD851977 OCZ851977 OMV851977 OWR851977 PGN851977 PQJ851977 QAF851977 QKB851977 QTX851977 RDT851977 RNP851977 RXL851977 SHH851977 SRD851977 TAZ851977 TKV851977 TUR851977 UEN851977 UOJ851977 UYF851977 VIB851977 VRX851977 WBT851977 WLP851977 WVL851977 D917515 IZ917513 SV917513 ACR917513 AMN917513 AWJ917513 BGF917513 BQB917513 BZX917513 CJT917513 CTP917513 DDL917513 DNH917513 DXD917513 EGZ917513 EQV917513 FAR917513 FKN917513 FUJ917513 GEF917513 GOB917513 GXX917513 HHT917513 HRP917513 IBL917513 ILH917513 IVD917513 JEZ917513 JOV917513 JYR917513 KIN917513 KSJ917513 LCF917513 LMB917513 LVX917513 MFT917513 MPP917513 MZL917513 NJH917513 NTD917513 OCZ917513 OMV917513 OWR917513 PGN917513 PQJ917513 QAF917513 QKB917513 QTX917513 RDT917513 RNP917513 RXL917513 SHH917513 SRD917513 TAZ917513 TKV917513 TUR917513 UEN917513 UOJ917513 UYF917513 VIB917513 VRX917513 WBT917513 WLP917513 WVL917513 D983051 IZ983049 SV983049 ACR983049 AMN983049 AWJ983049 BGF983049 BQB983049 BZX983049 CJT983049 CTP983049 DDL983049 DNH983049 DXD983049 EGZ983049 EQV983049 FAR983049 FKN983049 FUJ983049 GEF983049 GOB983049 GXX983049 HHT983049 HRP983049 IBL983049 ILH983049 IVD983049 JEZ983049 JOV983049 JYR983049 KIN983049 KSJ983049 LCF983049 LMB983049 LVX983049 MFT983049 MPP983049 MZL983049 NJH983049 NTD983049 OCZ983049 OMV983049 OWR983049 PGN983049 PQJ983049 QAF983049 QKB983049 QTX983049 RDT983049 RNP983049 RXL983049 SHH983049 SRD983049 TAZ983049 TKV983049 TUR983049 UEN983049 UOJ983049 UYF983049 VIB983049 VRX983049 WBT983049 WLP983049 WVL983049 D9" xr:uid="{844DE618-ED16-4117-B867-5158A4E82E59}">
      <formula1>"Price"</formula1>
    </dataValidation>
    <dataValidation type="custom" showInputMessage="1" showErrorMessage="1" sqref="IY8:IY9 SU8:SU9 ACQ8:ACQ9 AMM8:AMM9 AWI8:AWI9 BGE8:BGE9 BQA8:BQA9 BZW8:BZW9 CJS8:CJS9 CTO8:CTO9 DDK8:DDK9 DNG8:DNG9 DXC8:DXC9 EGY8:EGY9 EQU8:EQU9 FAQ8:FAQ9 FKM8:FKM9 FUI8:FUI9 GEE8:GEE9 GOA8:GOA9 GXW8:GXW9 HHS8:HHS9 HRO8:HRO9 IBK8:IBK9 ILG8:ILG9 IVC8:IVC9 JEY8:JEY9 JOU8:JOU9 JYQ8:JYQ9 KIM8:KIM9 KSI8:KSI9 LCE8:LCE9 LMA8:LMA9 LVW8:LVW9 MFS8:MFS9 MPO8:MPO9 MZK8:MZK9 NJG8:NJG9 NTC8:NTC9 OCY8:OCY9 OMU8:OMU9 OWQ8:OWQ9 PGM8:PGM9 PQI8:PQI9 QAE8:QAE9 QKA8:QKA9 QTW8:QTW9 RDS8:RDS9 RNO8:RNO9 RXK8:RXK9 SHG8:SHG9 SRC8:SRC9 TAY8:TAY9 TKU8:TKU9 TUQ8:TUQ9 UEM8:UEM9 UOI8:UOI9 UYE8:UYE9 VIA8:VIA9 VRW8:VRW9 WBS8:WBS9 WLO8:WLO9 WVK8:WVK9 C65546:C65547 IY65544:IY65545 SU65544:SU65545 ACQ65544:ACQ65545 AMM65544:AMM65545 AWI65544:AWI65545 BGE65544:BGE65545 BQA65544:BQA65545 BZW65544:BZW65545 CJS65544:CJS65545 CTO65544:CTO65545 DDK65544:DDK65545 DNG65544:DNG65545 DXC65544:DXC65545 EGY65544:EGY65545 EQU65544:EQU65545 FAQ65544:FAQ65545 FKM65544:FKM65545 FUI65544:FUI65545 GEE65544:GEE65545 GOA65544:GOA65545 GXW65544:GXW65545 HHS65544:HHS65545 HRO65544:HRO65545 IBK65544:IBK65545 ILG65544:ILG65545 IVC65544:IVC65545 JEY65544:JEY65545 JOU65544:JOU65545 JYQ65544:JYQ65545 KIM65544:KIM65545 KSI65544:KSI65545 LCE65544:LCE65545 LMA65544:LMA65545 LVW65544:LVW65545 MFS65544:MFS65545 MPO65544:MPO65545 MZK65544:MZK65545 NJG65544:NJG65545 NTC65544:NTC65545 OCY65544:OCY65545 OMU65544:OMU65545 OWQ65544:OWQ65545 PGM65544:PGM65545 PQI65544:PQI65545 QAE65544:QAE65545 QKA65544:QKA65545 QTW65544:QTW65545 RDS65544:RDS65545 RNO65544:RNO65545 RXK65544:RXK65545 SHG65544:SHG65545 SRC65544:SRC65545 TAY65544:TAY65545 TKU65544:TKU65545 TUQ65544:TUQ65545 UEM65544:UEM65545 UOI65544:UOI65545 UYE65544:UYE65545 VIA65544:VIA65545 VRW65544:VRW65545 WBS65544:WBS65545 WLO65544:WLO65545 WVK65544:WVK65545 C131082:C131083 IY131080:IY131081 SU131080:SU131081 ACQ131080:ACQ131081 AMM131080:AMM131081 AWI131080:AWI131081 BGE131080:BGE131081 BQA131080:BQA131081 BZW131080:BZW131081 CJS131080:CJS131081 CTO131080:CTO131081 DDK131080:DDK131081 DNG131080:DNG131081 DXC131080:DXC131081 EGY131080:EGY131081 EQU131080:EQU131081 FAQ131080:FAQ131081 FKM131080:FKM131081 FUI131080:FUI131081 GEE131080:GEE131081 GOA131080:GOA131081 GXW131080:GXW131081 HHS131080:HHS131081 HRO131080:HRO131081 IBK131080:IBK131081 ILG131080:ILG131081 IVC131080:IVC131081 JEY131080:JEY131081 JOU131080:JOU131081 JYQ131080:JYQ131081 KIM131080:KIM131081 KSI131080:KSI131081 LCE131080:LCE131081 LMA131080:LMA131081 LVW131080:LVW131081 MFS131080:MFS131081 MPO131080:MPO131081 MZK131080:MZK131081 NJG131080:NJG131081 NTC131080:NTC131081 OCY131080:OCY131081 OMU131080:OMU131081 OWQ131080:OWQ131081 PGM131080:PGM131081 PQI131080:PQI131081 QAE131080:QAE131081 QKA131080:QKA131081 QTW131080:QTW131081 RDS131080:RDS131081 RNO131080:RNO131081 RXK131080:RXK131081 SHG131080:SHG131081 SRC131080:SRC131081 TAY131080:TAY131081 TKU131080:TKU131081 TUQ131080:TUQ131081 UEM131080:UEM131081 UOI131080:UOI131081 UYE131080:UYE131081 VIA131080:VIA131081 VRW131080:VRW131081 WBS131080:WBS131081 WLO131080:WLO131081 WVK131080:WVK131081 C196618:C196619 IY196616:IY196617 SU196616:SU196617 ACQ196616:ACQ196617 AMM196616:AMM196617 AWI196616:AWI196617 BGE196616:BGE196617 BQA196616:BQA196617 BZW196616:BZW196617 CJS196616:CJS196617 CTO196616:CTO196617 DDK196616:DDK196617 DNG196616:DNG196617 DXC196616:DXC196617 EGY196616:EGY196617 EQU196616:EQU196617 FAQ196616:FAQ196617 FKM196616:FKM196617 FUI196616:FUI196617 GEE196616:GEE196617 GOA196616:GOA196617 GXW196616:GXW196617 HHS196616:HHS196617 HRO196616:HRO196617 IBK196616:IBK196617 ILG196616:ILG196617 IVC196616:IVC196617 JEY196616:JEY196617 JOU196616:JOU196617 JYQ196616:JYQ196617 KIM196616:KIM196617 KSI196616:KSI196617 LCE196616:LCE196617 LMA196616:LMA196617 LVW196616:LVW196617 MFS196616:MFS196617 MPO196616:MPO196617 MZK196616:MZK196617 NJG196616:NJG196617 NTC196616:NTC196617 OCY196616:OCY196617 OMU196616:OMU196617 OWQ196616:OWQ196617 PGM196616:PGM196617 PQI196616:PQI196617 QAE196616:QAE196617 QKA196616:QKA196617 QTW196616:QTW196617 RDS196616:RDS196617 RNO196616:RNO196617 RXK196616:RXK196617 SHG196616:SHG196617 SRC196616:SRC196617 TAY196616:TAY196617 TKU196616:TKU196617 TUQ196616:TUQ196617 UEM196616:UEM196617 UOI196616:UOI196617 UYE196616:UYE196617 VIA196616:VIA196617 VRW196616:VRW196617 WBS196616:WBS196617 WLO196616:WLO196617 WVK196616:WVK196617 C262154:C262155 IY262152:IY262153 SU262152:SU262153 ACQ262152:ACQ262153 AMM262152:AMM262153 AWI262152:AWI262153 BGE262152:BGE262153 BQA262152:BQA262153 BZW262152:BZW262153 CJS262152:CJS262153 CTO262152:CTO262153 DDK262152:DDK262153 DNG262152:DNG262153 DXC262152:DXC262153 EGY262152:EGY262153 EQU262152:EQU262153 FAQ262152:FAQ262153 FKM262152:FKM262153 FUI262152:FUI262153 GEE262152:GEE262153 GOA262152:GOA262153 GXW262152:GXW262153 HHS262152:HHS262153 HRO262152:HRO262153 IBK262152:IBK262153 ILG262152:ILG262153 IVC262152:IVC262153 JEY262152:JEY262153 JOU262152:JOU262153 JYQ262152:JYQ262153 KIM262152:KIM262153 KSI262152:KSI262153 LCE262152:LCE262153 LMA262152:LMA262153 LVW262152:LVW262153 MFS262152:MFS262153 MPO262152:MPO262153 MZK262152:MZK262153 NJG262152:NJG262153 NTC262152:NTC262153 OCY262152:OCY262153 OMU262152:OMU262153 OWQ262152:OWQ262153 PGM262152:PGM262153 PQI262152:PQI262153 QAE262152:QAE262153 QKA262152:QKA262153 QTW262152:QTW262153 RDS262152:RDS262153 RNO262152:RNO262153 RXK262152:RXK262153 SHG262152:SHG262153 SRC262152:SRC262153 TAY262152:TAY262153 TKU262152:TKU262153 TUQ262152:TUQ262153 UEM262152:UEM262153 UOI262152:UOI262153 UYE262152:UYE262153 VIA262152:VIA262153 VRW262152:VRW262153 WBS262152:WBS262153 WLO262152:WLO262153 WVK262152:WVK262153 C327690:C327691 IY327688:IY327689 SU327688:SU327689 ACQ327688:ACQ327689 AMM327688:AMM327689 AWI327688:AWI327689 BGE327688:BGE327689 BQA327688:BQA327689 BZW327688:BZW327689 CJS327688:CJS327689 CTO327688:CTO327689 DDK327688:DDK327689 DNG327688:DNG327689 DXC327688:DXC327689 EGY327688:EGY327689 EQU327688:EQU327689 FAQ327688:FAQ327689 FKM327688:FKM327689 FUI327688:FUI327689 GEE327688:GEE327689 GOA327688:GOA327689 GXW327688:GXW327689 HHS327688:HHS327689 HRO327688:HRO327689 IBK327688:IBK327689 ILG327688:ILG327689 IVC327688:IVC327689 JEY327688:JEY327689 JOU327688:JOU327689 JYQ327688:JYQ327689 KIM327688:KIM327689 KSI327688:KSI327689 LCE327688:LCE327689 LMA327688:LMA327689 LVW327688:LVW327689 MFS327688:MFS327689 MPO327688:MPO327689 MZK327688:MZK327689 NJG327688:NJG327689 NTC327688:NTC327689 OCY327688:OCY327689 OMU327688:OMU327689 OWQ327688:OWQ327689 PGM327688:PGM327689 PQI327688:PQI327689 QAE327688:QAE327689 QKA327688:QKA327689 QTW327688:QTW327689 RDS327688:RDS327689 RNO327688:RNO327689 RXK327688:RXK327689 SHG327688:SHG327689 SRC327688:SRC327689 TAY327688:TAY327689 TKU327688:TKU327689 TUQ327688:TUQ327689 UEM327688:UEM327689 UOI327688:UOI327689 UYE327688:UYE327689 VIA327688:VIA327689 VRW327688:VRW327689 WBS327688:WBS327689 WLO327688:WLO327689 WVK327688:WVK327689 C393226:C393227 IY393224:IY393225 SU393224:SU393225 ACQ393224:ACQ393225 AMM393224:AMM393225 AWI393224:AWI393225 BGE393224:BGE393225 BQA393224:BQA393225 BZW393224:BZW393225 CJS393224:CJS393225 CTO393224:CTO393225 DDK393224:DDK393225 DNG393224:DNG393225 DXC393224:DXC393225 EGY393224:EGY393225 EQU393224:EQU393225 FAQ393224:FAQ393225 FKM393224:FKM393225 FUI393224:FUI393225 GEE393224:GEE393225 GOA393224:GOA393225 GXW393224:GXW393225 HHS393224:HHS393225 HRO393224:HRO393225 IBK393224:IBK393225 ILG393224:ILG393225 IVC393224:IVC393225 JEY393224:JEY393225 JOU393224:JOU393225 JYQ393224:JYQ393225 KIM393224:KIM393225 KSI393224:KSI393225 LCE393224:LCE393225 LMA393224:LMA393225 LVW393224:LVW393225 MFS393224:MFS393225 MPO393224:MPO393225 MZK393224:MZK393225 NJG393224:NJG393225 NTC393224:NTC393225 OCY393224:OCY393225 OMU393224:OMU393225 OWQ393224:OWQ393225 PGM393224:PGM393225 PQI393224:PQI393225 QAE393224:QAE393225 QKA393224:QKA393225 QTW393224:QTW393225 RDS393224:RDS393225 RNO393224:RNO393225 RXK393224:RXK393225 SHG393224:SHG393225 SRC393224:SRC393225 TAY393224:TAY393225 TKU393224:TKU393225 TUQ393224:TUQ393225 UEM393224:UEM393225 UOI393224:UOI393225 UYE393224:UYE393225 VIA393224:VIA393225 VRW393224:VRW393225 WBS393224:WBS393225 WLO393224:WLO393225 WVK393224:WVK393225 C458762:C458763 IY458760:IY458761 SU458760:SU458761 ACQ458760:ACQ458761 AMM458760:AMM458761 AWI458760:AWI458761 BGE458760:BGE458761 BQA458760:BQA458761 BZW458760:BZW458761 CJS458760:CJS458761 CTO458760:CTO458761 DDK458760:DDK458761 DNG458760:DNG458761 DXC458760:DXC458761 EGY458760:EGY458761 EQU458760:EQU458761 FAQ458760:FAQ458761 FKM458760:FKM458761 FUI458760:FUI458761 GEE458760:GEE458761 GOA458760:GOA458761 GXW458760:GXW458761 HHS458760:HHS458761 HRO458760:HRO458761 IBK458760:IBK458761 ILG458760:ILG458761 IVC458760:IVC458761 JEY458760:JEY458761 JOU458760:JOU458761 JYQ458760:JYQ458761 KIM458760:KIM458761 KSI458760:KSI458761 LCE458760:LCE458761 LMA458760:LMA458761 LVW458760:LVW458761 MFS458760:MFS458761 MPO458760:MPO458761 MZK458760:MZK458761 NJG458760:NJG458761 NTC458760:NTC458761 OCY458760:OCY458761 OMU458760:OMU458761 OWQ458760:OWQ458761 PGM458760:PGM458761 PQI458760:PQI458761 QAE458760:QAE458761 QKA458760:QKA458761 QTW458760:QTW458761 RDS458760:RDS458761 RNO458760:RNO458761 RXK458760:RXK458761 SHG458760:SHG458761 SRC458760:SRC458761 TAY458760:TAY458761 TKU458760:TKU458761 TUQ458760:TUQ458761 UEM458760:UEM458761 UOI458760:UOI458761 UYE458760:UYE458761 VIA458760:VIA458761 VRW458760:VRW458761 WBS458760:WBS458761 WLO458760:WLO458761 WVK458760:WVK458761 C524298:C524299 IY524296:IY524297 SU524296:SU524297 ACQ524296:ACQ524297 AMM524296:AMM524297 AWI524296:AWI524297 BGE524296:BGE524297 BQA524296:BQA524297 BZW524296:BZW524297 CJS524296:CJS524297 CTO524296:CTO524297 DDK524296:DDK524297 DNG524296:DNG524297 DXC524296:DXC524297 EGY524296:EGY524297 EQU524296:EQU524297 FAQ524296:FAQ524297 FKM524296:FKM524297 FUI524296:FUI524297 GEE524296:GEE524297 GOA524296:GOA524297 GXW524296:GXW524297 HHS524296:HHS524297 HRO524296:HRO524297 IBK524296:IBK524297 ILG524296:ILG524297 IVC524296:IVC524297 JEY524296:JEY524297 JOU524296:JOU524297 JYQ524296:JYQ524297 KIM524296:KIM524297 KSI524296:KSI524297 LCE524296:LCE524297 LMA524296:LMA524297 LVW524296:LVW524297 MFS524296:MFS524297 MPO524296:MPO524297 MZK524296:MZK524297 NJG524296:NJG524297 NTC524296:NTC524297 OCY524296:OCY524297 OMU524296:OMU524297 OWQ524296:OWQ524297 PGM524296:PGM524297 PQI524296:PQI524297 QAE524296:QAE524297 QKA524296:QKA524297 QTW524296:QTW524297 RDS524296:RDS524297 RNO524296:RNO524297 RXK524296:RXK524297 SHG524296:SHG524297 SRC524296:SRC524297 TAY524296:TAY524297 TKU524296:TKU524297 TUQ524296:TUQ524297 UEM524296:UEM524297 UOI524296:UOI524297 UYE524296:UYE524297 VIA524296:VIA524297 VRW524296:VRW524297 WBS524296:WBS524297 WLO524296:WLO524297 WVK524296:WVK524297 C589834:C589835 IY589832:IY589833 SU589832:SU589833 ACQ589832:ACQ589833 AMM589832:AMM589833 AWI589832:AWI589833 BGE589832:BGE589833 BQA589832:BQA589833 BZW589832:BZW589833 CJS589832:CJS589833 CTO589832:CTO589833 DDK589832:DDK589833 DNG589832:DNG589833 DXC589832:DXC589833 EGY589832:EGY589833 EQU589832:EQU589833 FAQ589832:FAQ589833 FKM589832:FKM589833 FUI589832:FUI589833 GEE589832:GEE589833 GOA589832:GOA589833 GXW589832:GXW589833 HHS589832:HHS589833 HRO589832:HRO589833 IBK589832:IBK589833 ILG589832:ILG589833 IVC589832:IVC589833 JEY589832:JEY589833 JOU589832:JOU589833 JYQ589832:JYQ589833 KIM589832:KIM589833 KSI589832:KSI589833 LCE589832:LCE589833 LMA589832:LMA589833 LVW589832:LVW589833 MFS589832:MFS589833 MPO589832:MPO589833 MZK589832:MZK589833 NJG589832:NJG589833 NTC589832:NTC589833 OCY589832:OCY589833 OMU589832:OMU589833 OWQ589832:OWQ589833 PGM589832:PGM589833 PQI589832:PQI589833 QAE589832:QAE589833 QKA589832:QKA589833 QTW589832:QTW589833 RDS589832:RDS589833 RNO589832:RNO589833 RXK589832:RXK589833 SHG589832:SHG589833 SRC589832:SRC589833 TAY589832:TAY589833 TKU589832:TKU589833 TUQ589832:TUQ589833 UEM589832:UEM589833 UOI589832:UOI589833 UYE589832:UYE589833 VIA589832:VIA589833 VRW589832:VRW589833 WBS589832:WBS589833 WLO589832:WLO589833 WVK589832:WVK589833 C655370:C655371 IY655368:IY655369 SU655368:SU655369 ACQ655368:ACQ655369 AMM655368:AMM655369 AWI655368:AWI655369 BGE655368:BGE655369 BQA655368:BQA655369 BZW655368:BZW655369 CJS655368:CJS655369 CTO655368:CTO655369 DDK655368:DDK655369 DNG655368:DNG655369 DXC655368:DXC655369 EGY655368:EGY655369 EQU655368:EQU655369 FAQ655368:FAQ655369 FKM655368:FKM655369 FUI655368:FUI655369 GEE655368:GEE655369 GOA655368:GOA655369 GXW655368:GXW655369 HHS655368:HHS655369 HRO655368:HRO655369 IBK655368:IBK655369 ILG655368:ILG655369 IVC655368:IVC655369 JEY655368:JEY655369 JOU655368:JOU655369 JYQ655368:JYQ655369 KIM655368:KIM655369 KSI655368:KSI655369 LCE655368:LCE655369 LMA655368:LMA655369 LVW655368:LVW655369 MFS655368:MFS655369 MPO655368:MPO655369 MZK655368:MZK655369 NJG655368:NJG655369 NTC655368:NTC655369 OCY655368:OCY655369 OMU655368:OMU655369 OWQ655368:OWQ655369 PGM655368:PGM655369 PQI655368:PQI655369 QAE655368:QAE655369 QKA655368:QKA655369 QTW655368:QTW655369 RDS655368:RDS655369 RNO655368:RNO655369 RXK655368:RXK655369 SHG655368:SHG655369 SRC655368:SRC655369 TAY655368:TAY655369 TKU655368:TKU655369 TUQ655368:TUQ655369 UEM655368:UEM655369 UOI655368:UOI655369 UYE655368:UYE655369 VIA655368:VIA655369 VRW655368:VRW655369 WBS655368:WBS655369 WLO655368:WLO655369 WVK655368:WVK655369 C720906:C720907 IY720904:IY720905 SU720904:SU720905 ACQ720904:ACQ720905 AMM720904:AMM720905 AWI720904:AWI720905 BGE720904:BGE720905 BQA720904:BQA720905 BZW720904:BZW720905 CJS720904:CJS720905 CTO720904:CTO720905 DDK720904:DDK720905 DNG720904:DNG720905 DXC720904:DXC720905 EGY720904:EGY720905 EQU720904:EQU720905 FAQ720904:FAQ720905 FKM720904:FKM720905 FUI720904:FUI720905 GEE720904:GEE720905 GOA720904:GOA720905 GXW720904:GXW720905 HHS720904:HHS720905 HRO720904:HRO720905 IBK720904:IBK720905 ILG720904:ILG720905 IVC720904:IVC720905 JEY720904:JEY720905 JOU720904:JOU720905 JYQ720904:JYQ720905 KIM720904:KIM720905 KSI720904:KSI720905 LCE720904:LCE720905 LMA720904:LMA720905 LVW720904:LVW720905 MFS720904:MFS720905 MPO720904:MPO720905 MZK720904:MZK720905 NJG720904:NJG720905 NTC720904:NTC720905 OCY720904:OCY720905 OMU720904:OMU720905 OWQ720904:OWQ720905 PGM720904:PGM720905 PQI720904:PQI720905 QAE720904:QAE720905 QKA720904:QKA720905 QTW720904:QTW720905 RDS720904:RDS720905 RNO720904:RNO720905 RXK720904:RXK720905 SHG720904:SHG720905 SRC720904:SRC720905 TAY720904:TAY720905 TKU720904:TKU720905 TUQ720904:TUQ720905 UEM720904:UEM720905 UOI720904:UOI720905 UYE720904:UYE720905 VIA720904:VIA720905 VRW720904:VRW720905 WBS720904:WBS720905 WLO720904:WLO720905 WVK720904:WVK720905 C786442:C786443 IY786440:IY786441 SU786440:SU786441 ACQ786440:ACQ786441 AMM786440:AMM786441 AWI786440:AWI786441 BGE786440:BGE786441 BQA786440:BQA786441 BZW786440:BZW786441 CJS786440:CJS786441 CTO786440:CTO786441 DDK786440:DDK786441 DNG786440:DNG786441 DXC786440:DXC786441 EGY786440:EGY786441 EQU786440:EQU786441 FAQ786440:FAQ786441 FKM786440:FKM786441 FUI786440:FUI786441 GEE786440:GEE786441 GOA786440:GOA786441 GXW786440:GXW786441 HHS786440:HHS786441 HRO786440:HRO786441 IBK786440:IBK786441 ILG786440:ILG786441 IVC786440:IVC786441 JEY786440:JEY786441 JOU786440:JOU786441 JYQ786440:JYQ786441 KIM786440:KIM786441 KSI786440:KSI786441 LCE786440:LCE786441 LMA786440:LMA786441 LVW786440:LVW786441 MFS786440:MFS786441 MPO786440:MPO786441 MZK786440:MZK786441 NJG786440:NJG786441 NTC786440:NTC786441 OCY786440:OCY786441 OMU786440:OMU786441 OWQ786440:OWQ786441 PGM786440:PGM786441 PQI786440:PQI786441 QAE786440:QAE786441 QKA786440:QKA786441 QTW786440:QTW786441 RDS786440:RDS786441 RNO786440:RNO786441 RXK786440:RXK786441 SHG786440:SHG786441 SRC786440:SRC786441 TAY786440:TAY786441 TKU786440:TKU786441 TUQ786440:TUQ786441 UEM786440:UEM786441 UOI786440:UOI786441 UYE786440:UYE786441 VIA786440:VIA786441 VRW786440:VRW786441 WBS786440:WBS786441 WLO786440:WLO786441 WVK786440:WVK786441 C851978:C851979 IY851976:IY851977 SU851976:SU851977 ACQ851976:ACQ851977 AMM851976:AMM851977 AWI851976:AWI851977 BGE851976:BGE851977 BQA851976:BQA851977 BZW851976:BZW851977 CJS851976:CJS851977 CTO851976:CTO851977 DDK851976:DDK851977 DNG851976:DNG851977 DXC851976:DXC851977 EGY851976:EGY851977 EQU851976:EQU851977 FAQ851976:FAQ851977 FKM851976:FKM851977 FUI851976:FUI851977 GEE851976:GEE851977 GOA851976:GOA851977 GXW851976:GXW851977 HHS851976:HHS851977 HRO851976:HRO851977 IBK851976:IBK851977 ILG851976:ILG851977 IVC851976:IVC851977 JEY851976:JEY851977 JOU851976:JOU851977 JYQ851976:JYQ851977 KIM851976:KIM851977 KSI851976:KSI851977 LCE851976:LCE851977 LMA851976:LMA851977 LVW851976:LVW851977 MFS851976:MFS851977 MPO851976:MPO851977 MZK851976:MZK851977 NJG851976:NJG851977 NTC851976:NTC851977 OCY851976:OCY851977 OMU851976:OMU851977 OWQ851976:OWQ851977 PGM851976:PGM851977 PQI851976:PQI851977 QAE851976:QAE851977 QKA851976:QKA851977 QTW851976:QTW851977 RDS851976:RDS851977 RNO851976:RNO851977 RXK851976:RXK851977 SHG851976:SHG851977 SRC851976:SRC851977 TAY851976:TAY851977 TKU851976:TKU851977 TUQ851976:TUQ851977 UEM851976:UEM851977 UOI851976:UOI851977 UYE851976:UYE851977 VIA851976:VIA851977 VRW851976:VRW851977 WBS851976:WBS851977 WLO851976:WLO851977 WVK851976:WVK851977 C917514:C917515 IY917512:IY917513 SU917512:SU917513 ACQ917512:ACQ917513 AMM917512:AMM917513 AWI917512:AWI917513 BGE917512:BGE917513 BQA917512:BQA917513 BZW917512:BZW917513 CJS917512:CJS917513 CTO917512:CTO917513 DDK917512:DDK917513 DNG917512:DNG917513 DXC917512:DXC917513 EGY917512:EGY917513 EQU917512:EQU917513 FAQ917512:FAQ917513 FKM917512:FKM917513 FUI917512:FUI917513 GEE917512:GEE917513 GOA917512:GOA917513 GXW917512:GXW917513 HHS917512:HHS917513 HRO917512:HRO917513 IBK917512:IBK917513 ILG917512:ILG917513 IVC917512:IVC917513 JEY917512:JEY917513 JOU917512:JOU917513 JYQ917512:JYQ917513 KIM917512:KIM917513 KSI917512:KSI917513 LCE917512:LCE917513 LMA917512:LMA917513 LVW917512:LVW917513 MFS917512:MFS917513 MPO917512:MPO917513 MZK917512:MZK917513 NJG917512:NJG917513 NTC917512:NTC917513 OCY917512:OCY917513 OMU917512:OMU917513 OWQ917512:OWQ917513 PGM917512:PGM917513 PQI917512:PQI917513 QAE917512:QAE917513 QKA917512:QKA917513 QTW917512:QTW917513 RDS917512:RDS917513 RNO917512:RNO917513 RXK917512:RXK917513 SHG917512:SHG917513 SRC917512:SRC917513 TAY917512:TAY917513 TKU917512:TKU917513 TUQ917512:TUQ917513 UEM917512:UEM917513 UOI917512:UOI917513 UYE917512:UYE917513 VIA917512:VIA917513 VRW917512:VRW917513 WBS917512:WBS917513 WLO917512:WLO917513 WVK917512:WVK917513 C983050:C983051 IY983048:IY983049 SU983048:SU983049 ACQ983048:ACQ983049 AMM983048:AMM983049 AWI983048:AWI983049 BGE983048:BGE983049 BQA983048:BQA983049 BZW983048:BZW983049 CJS983048:CJS983049 CTO983048:CTO983049 DDK983048:DDK983049 DNG983048:DNG983049 DXC983048:DXC983049 EGY983048:EGY983049 EQU983048:EQU983049 FAQ983048:FAQ983049 FKM983048:FKM983049 FUI983048:FUI983049 GEE983048:GEE983049 GOA983048:GOA983049 GXW983048:GXW983049 HHS983048:HHS983049 HRO983048:HRO983049 IBK983048:IBK983049 ILG983048:ILG983049 IVC983048:IVC983049 JEY983048:JEY983049 JOU983048:JOU983049 JYQ983048:JYQ983049 KIM983048:KIM983049 KSI983048:KSI983049 LCE983048:LCE983049 LMA983048:LMA983049 LVW983048:LVW983049 MFS983048:MFS983049 MPO983048:MPO983049 MZK983048:MZK983049 NJG983048:NJG983049 NTC983048:NTC983049 OCY983048:OCY983049 OMU983048:OMU983049 OWQ983048:OWQ983049 PGM983048:PGM983049 PQI983048:PQI983049 QAE983048:QAE983049 QKA983048:QKA983049 QTW983048:QTW983049 RDS983048:RDS983049 RNO983048:RNO983049 RXK983048:RXK983049 SHG983048:SHG983049 SRC983048:SRC983049 TAY983048:TAY983049 TKU983048:TKU983049 TUQ983048:TUQ983049 UEM983048:UEM983049 UOI983048:UOI983049 UYE983048:UYE983049 VIA983048:VIA983049 VRW983048:VRW983049 WBS983048:WBS983049 WLO983048:WLO983049 WVK983048:WVK983049 C8:C9" xr:uid="{BA6DD8BB-F7FD-4BB4-9676-61758D4234C3}">
      <formula1>"Price Scenarios"</formula1>
    </dataValidation>
    <dataValidation type="custom" showInputMessage="1" showErrorMessage="1" sqref="D14 IZ12 SV12 ACR12 AMN12 AWJ12 BGF12 BQB12 BZX12 CJT12 CTP12 DDL12 DNH12 DXD12 EGZ12 EQV12 FAR12 FKN12 FUJ12 GEF12 GOB12 GXX12 HHT12 HRP12 IBL12 ILH12 IVD12 JEZ12 JOV12 JYR12 KIN12 KSJ12 LCF12 LMB12 LVX12 MFT12 MPP12 MZL12 NJH12 NTD12 OCZ12 OMV12 OWR12 PGN12 PQJ12 QAF12 QKB12 QTX12 RDT12 RNP12 RXL12 SHH12 SRD12 TAZ12 TKV12 TUR12 UEN12 UOJ12 UYF12 VIB12 VRX12 WBT12 WLP12 WVL12 D65550 IZ65548 SV65548 ACR65548 AMN65548 AWJ65548 BGF65548 BQB65548 BZX65548 CJT65548 CTP65548 DDL65548 DNH65548 DXD65548 EGZ65548 EQV65548 FAR65548 FKN65548 FUJ65548 GEF65548 GOB65548 GXX65548 HHT65548 HRP65548 IBL65548 ILH65548 IVD65548 JEZ65548 JOV65548 JYR65548 KIN65548 KSJ65548 LCF65548 LMB65548 LVX65548 MFT65548 MPP65548 MZL65548 NJH65548 NTD65548 OCZ65548 OMV65548 OWR65548 PGN65548 PQJ65548 QAF65548 QKB65548 QTX65548 RDT65548 RNP65548 RXL65548 SHH65548 SRD65548 TAZ65548 TKV65548 TUR65548 UEN65548 UOJ65548 UYF65548 VIB65548 VRX65548 WBT65548 WLP65548 WVL65548 D131086 IZ131084 SV131084 ACR131084 AMN131084 AWJ131084 BGF131084 BQB131084 BZX131084 CJT131084 CTP131084 DDL131084 DNH131084 DXD131084 EGZ131084 EQV131084 FAR131084 FKN131084 FUJ131084 GEF131084 GOB131084 GXX131084 HHT131084 HRP131084 IBL131084 ILH131084 IVD131084 JEZ131084 JOV131084 JYR131084 KIN131084 KSJ131084 LCF131084 LMB131084 LVX131084 MFT131084 MPP131084 MZL131084 NJH131084 NTD131084 OCZ131084 OMV131084 OWR131084 PGN131084 PQJ131084 QAF131084 QKB131084 QTX131084 RDT131084 RNP131084 RXL131084 SHH131084 SRD131084 TAZ131084 TKV131084 TUR131084 UEN131084 UOJ131084 UYF131084 VIB131084 VRX131084 WBT131084 WLP131084 WVL131084 D196622 IZ196620 SV196620 ACR196620 AMN196620 AWJ196620 BGF196620 BQB196620 BZX196620 CJT196620 CTP196620 DDL196620 DNH196620 DXD196620 EGZ196620 EQV196620 FAR196620 FKN196620 FUJ196620 GEF196620 GOB196620 GXX196620 HHT196620 HRP196620 IBL196620 ILH196620 IVD196620 JEZ196620 JOV196620 JYR196620 KIN196620 KSJ196620 LCF196620 LMB196620 LVX196620 MFT196620 MPP196620 MZL196620 NJH196620 NTD196620 OCZ196620 OMV196620 OWR196620 PGN196620 PQJ196620 QAF196620 QKB196620 QTX196620 RDT196620 RNP196620 RXL196620 SHH196620 SRD196620 TAZ196620 TKV196620 TUR196620 UEN196620 UOJ196620 UYF196620 VIB196620 VRX196620 WBT196620 WLP196620 WVL196620 D262158 IZ262156 SV262156 ACR262156 AMN262156 AWJ262156 BGF262156 BQB262156 BZX262156 CJT262156 CTP262156 DDL262156 DNH262156 DXD262156 EGZ262156 EQV262156 FAR262156 FKN262156 FUJ262156 GEF262156 GOB262156 GXX262156 HHT262156 HRP262156 IBL262156 ILH262156 IVD262156 JEZ262156 JOV262156 JYR262156 KIN262156 KSJ262156 LCF262156 LMB262156 LVX262156 MFT262156 MPP262156 MZL262156 NJH262156 NTD262156 OCZ262156 OMV262156 OWR262156 PGN262156 PQJ262156 QAF262156 QKB262156 QTX262156 RDT262156 RNP262156 RXL262156 SHH262156 SRD262156 TAZ262156 TKV262156 TUR262156 UEN262156 UOJ262156 UYF262156 VIB262156 VRX262156 WBT262156 WLP262156 WVL262156 D327694 IZ327692 SV327692 ACR327692 AMN327692 AWJ327692 BGF327692 BQB327692 BZX327692 CJT327692 CTP327692 DDL327692 DNH327692 DXD327692 EGZ327692 EQV327692 FAR327692 FKN327692 FUJ327692 GEF327692 GOB327692 GXX327692 HHT327692 HRP327692 IBL327692 ILH327692 IVD327692 JEZ327692 JOV327692 JYR327692 KIN327692 KSJ327692 LCF327692 LMB327692 LVX327692 MFT327692 MPP327692 MZL327692 NJH327692 NTD327692 OCZ327692 OMV327692 OWR327692 PGN327692 PQJ327692 QAF327692 QKB327692 QTX327692 RDT327692 RNP327692 RXL327692 SHH327692 SRD327692 TAZ327692 TKV327692 TUR327692 UEN327692 UOJ327692 UYF327692 VIB327692 VRX327692 WBT327692 WLP327692 WVL327692 D393230 IZ393228 SV393228 ACR393228 AMN393228 AWJ393228 BGF393228 BQB393228 BZX393228 CJT393228 CTP393228 DDL393228 DNH393228 DXD393228 EGZ393228 EQV393228 FAR393228 FKN393228 FUJ393228 GEF393228 GOB393228 GXX393228 HHT393228 HRP393228 IBL393228 ILH393228 IVD393228 JEZ393228 JOV393228 JYR393228 KIN393228 KSJ393228 LCF393228 LMB393228 LVX393228 MFT393228 MPP393228 MZL393228 NJH393228 NTD393228 OCZ393228 OMV393228 OWR393228 PGN393228 PQJ393228 QAF393228 QKB393228 QTX393228 RDT393228 RNP393228 RXL393228 SHH393228 SRD393228 TAZ393228 TKV393228 TUR393228 UEN393228 UOJ393228 UYF393228 VIB393228 VRX393228 WBT393228 WLP393228 WVL393228 D458766 IZ458764 SV458764 ACR458764 AMN458764 AWJ458764 BGF458764 BQB458764 BZX458764 CJT458764 CTP458764 DDL458764 DNH458764 DXD458764 EGZ458764 EQV458764 FAR458764 FKN458764 FUJ458764 GEF458764 GOB458764 GXX458764 HHT458764 HRP458764 IBL458764 ILH458764 IVD458764 JEZ458764 JOV458764 JYR458764 KIN458764 KSJ458764 LCF458764 LMB458764 LVX458764 MFT458764 MPP458764 MZL458764 NJH458764 NTD458764 OCZ458764 OMV458764 OWR458764 PGN458764 PQJ458764 QAF458764 QKB458764 QTX458764 RDT458764 RNP458764 RXL458764 SHH458764 SRD458764 TAZ458764 TKV458764 TUR458764 UEN458764 UOJ458764 UYF458764 VIB458764 VRX458764 WBT458764 WLP458764 WVL458764 D524302 IZ524300 SV524300 ACR524300 AMN524300 AWJ524300 BGF524300 BQB524300 BZX524300 CJT524300 CTP524300 DDL524300 DNH524300 DXD524300 EGZ524300 EQV524300 FAR524300 FKN524300 FUJ524300 GEF524300 GOB524300 GXX524300 HHT524300 HRP524300 IBL524300 ILH524300 IVD524300 JEZ524300 JOV524300 JYR524300 KIN524300 KSJ524300 LCF524300 LMB524300 LVX524300 MFT524300 MPP524300 MZL524300 NJH524300 NTD524300 OCZ524300 OMV524300 OWR524300 PGN524300 PQJ524300 QAF524300 QKB524300 QTX524300 RDT524300 RNP524300 RXL524300 SHH524300 SRD524300 TAZ524300 TKV524300 TUR524300 UEN524300 UOJ524300 UYF524300 VIB524300 VRX524300 WBT524300 WLP524300 WVL524300 D589838 IZ589836 SV589836 ACR589836 AMN589836 AWJ589836 BGF589836 BQB589836 BZX589836 CJT589836 CTP589836 DDL589836 DNH589836 DXD589836 EGZ589836 EQV589836 FAR589836 FKN589836 FUJ589836 GEF589836 GOB589836 GXX589836 HHT589836 HRP589836 IBL589836 ILH589836 IVD589836 JEZ589836 JOV589836 JYR589836 KIN589836 KSJ589836 LCF589836 LMB589836 LVX589836 MFT589836 MPP589836 MZL589836 NJH589836 NTD589836 OCZ589836 OMV589836 OWR589836 PGN589836 PQJ589836 QAF589836 QKB589836 QTX589836 RDT589836 RNP589836 RXL589836 SHH589836 SRD589836 TAZ589836 TKV589836 TUR589836 UEN589836 UOJ589836 UYF589836 VIB589836 VRX589836 WBT589836 WLP589836 WVL589836 D655374 IZ655372 SV655372 ACR655372 AMN655372 AWJ655372 BGF655372 BQB655372 BZX655372 CJT655372 CTP655372 DDL655372 DNH655372 DXD655372 EGZ655372 EQV655372 FAR655372 FKN655372 FUJ655372 GEF655372 GOB655372 GXX655372 HHT655372 HRP655372 IBL655372 ILH655372 IVD655372 JEZ655372 JOV655372 JYR655372 KIN655372 KSJ655372 LCF655372 LMB655372 LVX655372 MFT655372 MPP655372 MZL655372 NJH655372 NTD655372 OCZ655372 OMV655372 OWR655372 PGN655372 PQJ655372 QAF655372 QKB655372 QTX655372 RDT655372 RNP655372 RXL655372 SHH655372 SRD655372 TAZ655372 TKV655372 TUR655372 UEN655372 UOJ655372 UYF655372 VIB655372 VRX655372 WBT655372 WLP655372 WVL655372 D720910 IZ720908 SV720908 ACR720908 AMN720908 AWJ720908 BGF720908 BQB720908 BZX720908 CJT720908 CTP720908 DDL720908 DNH720908 DXD720908 EGZ720908 EQV720908 FAR720908 FKN720908 FUJ720908 GEF720908 GOB720908 GXX720908 HHT720908 HRP720908 IBL720908 ILH720908 IVD720908 JEZ720908 JOV720908 JYR720908 KIN720908 KSJ720908 LCF720908 LMB720908 LVX720908 MFT720908 MPP720908 MZL720908 NJH720908 NTD720908 OCZ720908 OMV720908 OWR720908 PGN720908 PQJ720908 QAF720908 QKB720908 QTX720908 RDT720908 RNP720908 RXL720908 SHH720908 SRD720908 TAZ720908 TKV720908 TUR720908 UEN720908 UOJ720908 UYF720908 VIB720908 VRX720908 WBT720908 WLP720908 WVL720908 D786446 IZ786444 SV786444 ACR786444 AMN786444 AWJ786444 BGF786444 BQB786444 BZX786444 CJT786444 CTP786444 DDL786444 DNH786444 DXD786444 EGZ786444 EQV786444 FAR786444 FKN786444 FUJ786444 GEF786444 GOB786444 GXX786444 HHT786444 HRP786444 IBL786444 ILH786444 IVD786444 JEZ786444 JOV786444 JYR786444 KIN786444 KSJ786444 LCF786444 LMB786444 LVX786444 MFT786444 MPP786444 MZL786444 NJH786444 NTD786444 OCZ786444 OMV786444 OWR786444 PGN786444 PQJ786444 QAF786444 QKB786444 QTX786444 RDT786444 RNP786444 RXL786444 SHH786444 SRD786444 TAZ786444 TKV786444 TUR786444 UEN786444 UOJ786444 UYF786444 VIB786444 VRX786444 WBT786444 WLP786444 WVL786444 D851982 IZ851980 SV851980 ACR851980 AMN851980 AWJ851980 BGF851980 BQB851980 BZX851980 CJT851980 CTP851980 DDL851980 DNH851980 DXD851980 EGZ851980 EQV851980 FAR851980 FKN851980 FUJ851980 GEF851980 GOB851980 GXX851980 HHT851980 HRP851980 IBL851980 ILH851980 IVD851980 JEZ851980 JOV851980 JYR851980 KIN851980 KSJ851980 LCF851980 LMB851980 LVX851980 MFT851980 MPP851980 MZL851980 NJH851980 NTD851980 OCZ851980 OMV851980 OWR851980 PGN851980 PQJ851980 QAF851980 QKB851980 QTX851980 RDT851980 RNP851980 RXL851980 SHH851980 SRD851980 TAZ851980 TKV851980 TUR851980 UEN851980 UOJ851980 UYF851980 VIB851980 VRX851980 WBT851980 WLP851980 WVL851980 D917518 IZ917516 SV917516 ACR917516 AMN917516 AWJ917516 BGF917516 BQB917516 BZX917516 CJT917516 CTP917516 DDL917516 DNH917516 DXD917516 EGZ917516 EQV917516 FAR917516 FKN917516 FUJ917516 GEF917516 GOB917516 GXX917516 HHT917516 HRP917516 IBL917516 ILH917516 IVD917516 JEZ917516 JOV917516 JYR917516 KIN917516 KSJ917516 LCF917516 LMB917516 LVX917516 MFT917516 MPP917516 MZL917516 NJH917516 NTD917516 OCZ917516 OMV917516 OWR917516 PGN917516 PQJ917516 QAF917516 QKB917516 QTX917516 RDT917516 RNP917516 RXL917516 SHH917516 SRD917516 TAZ917516 TKV917516 TUR917516 UEN917516 UOJ917516 UYF917516 VIB917516 VRX917516 WBT917516 WLP917516 WVL917516 D983054 IZ983052 SV983052 ACR983052 AMN983052 AWJ983052 BGF983052 BQB983052 BZX983052 CJT983052 CTP983052 DDL983052 DNH983052 DXD983052 EGZ983052 EQV983052 FAR983052 FKN983052 FUJ983052 GEF983052 GOB983052 GXX983052 HHT983052 HRP983052 IBL983052 ILH983052 IVD983052 JEZ983052 JOV983052 JYR983052 KIN983052 KSJ983052 LCF983052 LMB983052 LVX983052 MFT983052 MPP983052 MZL983052 NJH983052 NTD983052 OCZ983052 OMV983052 OWR983052 PGN983052 PQJ983052 QAF983052 QKB983052 QTX983052 RDT983052 RNP983052 RXL983052 SHH983052 SRD983052 TAZ983052 TKV983052 TUR983052 UEN983052 UOJ983052 UYF983052 VIB983052 VRX983052 WBT983052 WLP983052 WVL983052" xr:uid="{8F5B3ECF-E5D7-4A9E-8154-734C0B31C6B4}">
      <formula1>"Value"</formula1>
    </dataValidation>
    <dataValidation type="custom" showInputMessage="1" showErrorMessage="1" sqref="C14 IY12 SU12 ACQ12 AMM12 AWI12 BGE12 BQA12 BZW12 CJS12 CTO12 DDK12 DNG12 DXC12 EGY12 EQU12 FAQ12 FKM12 FUI12 GEE12 GOA12 GXW12 HHS12 HRO12 IBK12 ILG12 IVC12 JEY12 JOU12 JYQ12 KIM12 KSI12 LCE12 LMA12 LVW12 MFS12 MPO12 MZK12 NJG12 NTC12 OCY12 OMU12 OWQ12 PGM12 PQI12 QAE12 QKA12 QTW12 RDS12 RNO12 RXK12 SHG12 SRC12 TAY12 TKU12 TUQ12 UEM12 UOI12 UYE12 VIA12 VRW12 WBS12 WLO12 WVK12 C65550 IY65548 SU65548 ACQ65548 AMM65548 AWI65548 BGE65548 BQA65548 BZW65548 CJS65548 CTO65548 DDK65548 DNG65548 DXC65548 EGY65548 EQU65548 FAQ65548 FKM65548 FUI65548 GEE65548 GOA65548 GXW65548 HHS65548 HRO65548 IBK65548 ILG65548 IVC65548 JEY65548 JOU65548 JYQ65548 KIM65548 KSI65548 LCE65548 LMA65548 LVW65548 MFS65548 MPO65548 MZK65548 NJG65548 NTC65548 OCY65548 OMU65548 OWQ65548 PGM65548 PQI65548 QAE65548 QKA65548 QTW65548 RDS65548 RNO65548 RXK65548 SHG65548 SRC65548 TAY65548 TKU65548 TUQ65548 UEM65548 UOI65548 UYE65548 VIA65548 VRW65548 WBS65548 WLO65548 WVK65548 C131086 IY131084 SU131084 ACQ131084 AMM131084 AWI131084 BGE131084 BQA131084 BZW131084 CJS131084 CTO131084 DDK131084 DNG131084 DXC131084 EGY131084 EQU131084 FAQ131084 FKM131084 FUI131084 GEE131084 GOA131084 GXW131084 HHS131084 HRO131084 IBK131084 ILG131084 IVC131084 JEY131084 JOU131084 JYQ131084 KIM131084 KSI131084 LCE131084 LMA131084 LVW131084 MFS131084 MPO131084 MZK131084 NJG131084 NTC131084 OCY131084 OMU131084 OWQ131084 PGM131084 PQI131084 QAE131084 QKA131084 QTW131084 RDS131084 RNO131084 RXK131084 SHG131084 SRC131084 TAY131084 TKU131084 TUQ131084 UEM131084 UOI131084 UYE131084 VIA131084 VRW131084 WBS131084 WLO131084 WVK131084 C196622 IY196620 SU196620 ACQ196620 AMM196620 AWI196620 BGE196620 BQA196620 BZW196620 CJS196620 CTO196620 DDK196620 DNG196620 DXC196620 EGY196620 EQU196620 FAQ196620 FKM196620 FUI196620 GEE196620 GOA196620 GXW196620 HHS196620 HRO196620 IBK196620 ILG196620 IVC196620 JEY196620 JOU196620 JYQ196620 KIM196620 KSI196620 LCE196620 LMA196620 LVW196620 MFS196620 MPO196620 MZK196620 NJG196620 NTC196620 OCY196620 OMU196620 OWQ196620 PGM196620 PQI196620 QAE196620 QKA196620 QTW196620 RDS196620 RNO196620 RXK196620 SHG196620 SRC196620 TAY196620 TKU196620 TUQ196620 UEM196620 UOI196620 UYE196620 VIA196620 VRW196620 WBS196620 WLO196620 WVK196620 C262158 IY262156 SU262156 ACQ262156 AMM262156 AWI262156 BGE262156 BQA262156 BZW262156 CJS262156 CTO262156 DDK262156 DNG262156 DXC262156 EGY262156 EQU262156 FAQ262156 FKM262156 FUI262156 GEE262156 GOA262156 GXW262156 HHS262156 HRO262156 IBK262156 ILG262156 IVC262156 JEY262156 JOU262156 JYQ262156 KIM262156 KSI262156 LCE262156 LMA262156 LVW262156 MFS262156 MPO262156 MZK262156 NJG262156 NTC262156 OCY262156 OMU262156 OWQ262156 PGM262156 PQI262156 QAE262156 QKA262156 QTW262156 RDS262156 RNO262156 RXK262156 SHG262156 SRC262156 TAY262156 TKU262156 TUQ262156 UEM262156 UOI262156 UYE262156 VIA262156 VRW262156 WBS262156 WLO262156 WVK262156 C327694 IY327692 SU327692 ACQ327692 AMM327692 AWI327692 BGE327692 BQA327692 BZW327692 CJS327692 CTO327692 DDK327692 DNG327692 DXC327692 EGY327692 EQU327692 FAQ327692 FKM327692 FUI327692 GEE327692 GOA327692 GXW327692 HHS327692 HRO327692 IBK327692 ILG327692 IVC327692 JEY327692 JOU327692 JYQ327692 KIM327692 KSI327692 LCE327692 LMA327692 LVW327692 MFS327692 MPO327692 MZK327692 NJG327692 NTC327692 OCY327692 OMU327692 OWQ327692 PGM327692 PQI327692 QAE327692 QKA327692 QTW327692 RDS327692 RNO327692 RXK327692 SHG327692 SRC327692 TAY327692 TKU327692 TUQ327692 UEM327692 UOI327692 UYE327692 VIA327692 VRW327692 WBS327692 WLO327692 WVK327692 C393230 IY393228 SU393228 ACQ393228 AMM393228 AWI393228 BGE393228 BQA393228 BZW393228 CJS393228 CTO393228 DDK393228 DNG393228 DXC393228 EGY393228 EQU393228 FAQ393228 FKM393228 FUI393228 GEE393228 GOA393228 GXW393228 HHS393228 HRO393228 IBK393228 ILG393228 IVC393228 JEY393228 JOU393228 JYQ393228 KIM393228 KSI393228 LCE393228 LMA393228 LVW393228 MFS393228 MPO393228 MZK393228 NJG393228 NTC393228 OCY393228 OMU393228 OWQ393228 PGM393228 PQI393228 QAE393228 QKA393228 QTW393228 RDS393228 RNO393228 RXK393228 SHG393228 SRC393228 TAY393228 TKU393228 TUQ393228 UEM393228 UOI393228 UYE393228 VIA393228 VRW393228 WBS393228 WLO393228 WVK393228 C458766 IY458764 SU458764 ACQ458764 AMM458764 AWI458764 BGE458764 BQA458764 BZW458764 CJS458764 CTO458764 DDK458764 DNG458764 DXC458764 EGY458764 EQU458764 FAQ458764 FKM458764 FUI458764 GEE458764 GOA458764 GXW458764 HHS458764 HRO458764 IBK458764 ILG458764 IVC458764 JEY458764 JOU458764 JYQ458764 KIM458764 KSI458764 LCE458764 LMA458764 LVW458764 MFS458764 MPO458764 MZK458764 NJG458764 NTC458764 OCY458764 OMU458764 OWQ458764 PGM458764 PQI458764 QAE458764 QKA458764 QTW458764 RDS458764 RNO458764 RXK458764 SHG458764 SRC458764 TAY458764 TKU458764 TUQ458764 UEM458764 UOI458764 UYE458764 VIA458764 VRW458764 WBS458764 WLO458764 WVK458764 C524302 IY524300 SU524300 ACQ524300 AMM524300 AWI524300 BGE524300 BQA524300 BZW524300 CJS524300 CTO524300 DDK524300 DNG524300 DXC524300 EGY524300 EQU524300 FAQ524300 FKM524300 FUI524300 GEE524300 GOA524300 GXW524300 HHS524300 HRO524300 IBK524300 ILG524300 IVC524300 JEY524300 JOU524300 JYQ524300 KIM524300 KSI524300 LCE524300 LMA524300 LVW524300 MFS524300 MPO524300 MZK524300 NJG524300 NTC524300 OCY524300 OMU524300 OWQ524300 PGM524300 PQI524300 QAE524300 QKA524300 QTW524300 RDS524300 RNO524300 RXK524300 SHG524300 SRC524300 TAY524300 TKU524300 TUQ524300 UEM524300 UOI524300 UYE524300 VIA524300 VRW524300 WBS524300 WLO524300 WVK524300 C589838 IY589836 SU589836 ACQ589836 AMM589836 AWI589836 BGE589836 BQA589836 BZW589836 CJS589836 CTO589836 DDK589836 DNG589836 DXC589836 EGY589836 EQU589836 FAQ589836 FKM589836 FUI589836 GEE589836 GOA589836 GXW589836 HHS589836 HRO589836 IBK589836 ILG589836 IVC589836 JEY589836 JOU589836 JYQ589836 KIM589836 KSI589836 LCE589836 LMA589836 LVW589836 MFS589836 MPO589836 MZK589836 NJG589836 NTC589836 OCY589836 OMU589836 OWQ589836 PGM589836 PQI589836 QAE589836 QKA589836 QTW589836 RDS589836 RNO589836 RXK589836 SHG589836 SRC589836 TAY589836 TKU589836 TUQ589836 UEM589836 UOI589836 UYE589836 VIA589836 VRW589836 WBS589836 WLO589836 WVK589836 C655374 IY655372 SU655372 ACQ655372 AMM655372 AWI655372 BGE655372 BQA655372 BZW655372 CJS655372 CTO655372 DDK655372 DNG655372 DXC655372 EGY655372 EQU655372 FAQ655372 FKM655372 FUI655372 GEE655372 GOA655372 GXW655372 HHS655372 HRO655372 IBK655372 ILG655372 IVC655372 JEY655372 JOU655372 JYQ655372 KIM655372 KSI655372 LCE655372 LMA655372 LVW655372 MFS655372 MPO655372 MZK655372 NJG655372 NTC655372 OCY655372 OMU655372 OWQ655372 PGM655372 PQI655372 QAE655372 QKA655372 QTW655372 RDS655372 RNO655372 RXK655372 SHG655372 SRC655372 TAY655372 TKU655372 TUQ655372 UEM655372 UOI655372 UYE655372 VIA655372 VRW655372 WBS655372 WLO655372 WVK655372 C720910 IY720908 SU720908 ACQ720908 AMM720908 AWI720908 BGE720908 BQA720908 BZW720908 CJS720908 CTO720908 DDK720908 DNG720908 DXC720908 EGY720908 EQU720908 FAQ720908 FKM720908 FUI720908 GEE720908 GOA720908 GXW720908 HHS720908 HRO720908 IBK720908 ILG720908 IVC720908 JEY720908 JOU720908 JYQ720908 KIM720908 KSI720908 LCE720908 LMA720908 LVW720908 MFS720908 MPO720908 MZK720908 NJG720908 NTC720908 OCY720908 OMU720908 OWQ720908 PGM720908 PQI720908 QAE720908 QKA720908 QTW720908 RDS720908 RNO720908 RXK720908 SHG720908 SRC720908 TAY720908 TKU720908 TUQ720908 UEM720908 UOI720908 UYE720908 VIA720908 VRW720908 WBS720908 WLO720908 WVK720908 C786446 IY786444 SU786444 ACQ786444 AMM786444 AWI786444 BGE786444 BQA786444 BZW786444 CJS786444 CTO786444 DDK786444 DNG786444 DXC786444 EGY786444 EQU786444 FAQ786444 FKM786444 FUI786444 GEE786444 GOA786444 GXW786444 HHS786444 HRO786444 IBK786444 ILG786444 IVC786444 JEY786444 JOU786444 JYQ786444 KIM786444 KSI786444 LCE786444 LMA786444 LVW786444 MFS786444 MPO786444 MZK786444 NJG786444 NTC786444 OCY786444 OMU786444 OWQ786444 PGM786444 PQI786444 QAE786444 QKA786444 QTW786444 RDS786444 RNO786444 RXK786444 SHG786444 SRC786444 TAY786444 TKU786444 TUQ786444 UEM786444 UOI786444 UYE786444 VIA786444 VRW786444 WBS786444 WLO786444 WVK786444 C851982 IY851980 SU851980 ACQ851980 AMM851980 AWI851980 BGE851980 BQA851980 BZW851980 CJS851980 CTO851980 DDK851980 DNG851980 DXC851980 EGY851980 EQU851980 FAQ851980 FKM851980 FUI851980 GEE851980 GOA851980 GXW851980 HHS851980 HRO851980 IBK851980 ILG851980 IVC851980 JEY851980 JOU851980 JYQ851980 KIM851980 KSI851980 LCE851980 LMA851980 LVW851980 MFS851980 MPO851980 MZK851980 NJG851980 NTC851980 OCY851980 OMU851980 OWQ851980 PGM851980 PQI851980 QAE851980 QKA851980 QTW851980 RDS851980 RNO851980 RXK851980 SHG851980 SRC851980 TAY851980 TKU851980 TUQ851980 UEM851980 UOI851980 UYE851980 VIA851980 VRW851980 WBS851980 WLO851980 WVK851980 C917518 IY917516 SU917516 ACQ917516 AMM917516 AWI917516 BGE917516 BQA917516 BZW917516 CJS917516 CTO917516 DDK917516 DNG917516 DXC917516 EGY917516 EQU917516 FAQ917516 FKM917516 FUI917516 GEE917516 GOA917516 GXW917516 HHS917516 HRO917516 IBK917516 ILG917516 IVC917516 JEY917516 JOU917516 JYQ917516 KIM917516 KSI917516 LCE917516 LMA917516 LVW917516 MFS917516 MPO917516 MZK917516 NJG917516 NTC917516 OCY917516 OMU917516 OWQ917516 PGM917516 PQI917516 QAE917516 QKA917516 QTW917516 RDS917516 RNO917516 RXK917516 SHG917516 SRC917516 TAY917516 TKU917516 TUQ917516 UEM917516 UOI917516 UYE917516 VIA917516 VRW917516 WBS917516 WLO917516 WVK917516 C983054 IY983052 SU983052 ACQ983052 AMM983052 AWI983052 BGE983052 BQA983052 BZW983052 CJS983052 CTO983052 DDK983052 DNG983052 DXC983052 EGY983052 EQU983052 FAQ983052 FKM983052 FUI983052 GEE983052 GOA983052 GXW983052 HHS983052 HRO983052 IBK983052 ILG983052 IVC983052 JEY983052 JOU983052 JYQ983052 KIM983052 KSI983052 LCE983052 LMA983052 LVW983052 MFS983052 MPO983052 MZK983052 NJG983052 NTC983052 OCY983052 OMU983052 OWQ983052 PGM983052 PQI983052 QAE983052 QKA983052 QTW983052 RDS983052 RNO983052 RXK983052 SHG983052 SRC983052 TAY983052 TKU983052 TUQ983052 UEM983052 UOI983052 UYE983052 VIA983052 VRW983052 WBS983052 WLO983052 WVK983052" xr:uid="{23FC066C-529A-4075-80D3-F6147674F697}">
      <formula1>"Reference Datapoint"</formula1>
    </dataValidation>
    <dataValidation showInputMessage="1" showErrorMessage="1" sqref="A1 IW1 SS1 ACO1 AMK1 AWG1 BGC1 BPY1 BZU1 CJQ1 CTM1 DDI1 DNE1 DXA1 EGW1 EQS1 FAO1 FKK1 FUG1 GEC1 GNY1 GXU1 HHQ1 HRM1 IBI1 ILE1 IVA1 JEW1 JOS1 JYO1 KIK1 KSG1 LCC1 LLY1 LVU1 MFQ1 MPM1 MZI1 NJE1 NTA1 OCW1 OMS1 OWO1 PGK1 PQG1 QAC1 QJY1 QTU1 RDQ1 RNM1 RXI1 SHE1 SRA1 TAW1 TKS1 TUO1 UEK1 UOG1 UYC1 VHY1 VRU1 WBQ1 WLM1 WVI1 A65537 IW65537 SS65537 ACO65537 AMK65537 AWG65537 BGC65537 BPY65537 BZU65537 CJQ65537 CTM65537 DDI65537 DNE65537 DXA65537 EGW65537 EQS65537 FAO65537 FKK65537 FUG65537 GEC65537 GNY65537 GXU65537 HHQ65537 HRM65537 IBI65537 ILE65537 IVA65537 JEW65537 JOS65537 JYO65537 KIK65537 KSG65537 LCC65537 LLY65537 LVU65537 MFQ65537 MPM65537 MZI65537 NJE65537 NTA65537 OCW65537 OMS65537 OWO65537 PGK65537 PQG65537 QAC65537 QJY65537 QTU65537 RDQ65537 RNM65537 RXI65537 SHE65537 SRA65537 TAW65537 TKS65537 TUO65537 UEK65537 UOG65537 UYC65537 VHY65537 VRU65537 WBQ65537 WLM65537 WVI65537 A131073 IW131073 SS131073 ACO131073 AMK131073 AWG131073 BGC131073 BPY131073 BZU131073 CJQ131073 CTM131073 DDI131073 DNE131073 DXA131073 EGW131073 EQS131073 FAO131073 FKK131073 FUG131073 GEC131073 GNY131073 GXU131073 HHQ131073 HRM131073 IBI131073 ILE131073 IVA131073 JEW131073 JOS131073 JYO131073 KIK131073 KSG131073 LCC131073 LLY131073 LVU131073 MFQ131073 MPM131073 MZI131073 NJE131073 NTA131073 OCW131073 OMS131073 OWO131073 PGK131073 PQG131073 QAC131073 QJY131073 QTU131073 RDQ131073 RNM131073 RXI131073 SHE131073 SRA131073 TAW131073 TKS131073 TUO131073 UEK131073 UOG131073 UYC131073 VHY131073 VRU131073 WBQ131073 WLM131073 WVI131073 A196609 IW196609 SS196609 ACO196609 AMK196609 AWG196609 BGC196609 BPY196609 BZU196609 CJQ196609 CTM196609 DDI196609 DNE196609 DXA196609 EGW196609 EQS196609 FAO196609 FKK196609 FUG196609 GEC196609 GNY196609 GXU196609 HHQ196609 HRM196609 IBI196609 ILE196609 IVA196609 JEW196609 JOS196609 JYO196609 KIK196609 KSG196609 LCC196609 LLY196609 LVU196609 MFQ196609 MPM196609 MZI196609 NJE196609 NTA196609 OCW196609 OMS196609 OWO196609 PGK196609 PQG196609 QAC196609 QJY196609 QTU196609 RDQ196609 RNM196609 RXI196609 SHE196609 SRA196609 TAW196609 TKS196609 TUO196609 UEK196609 UOG196609 UYC196609 VHY196609 VRU196609 WBQ196609 WLM196609 WVI196609 A262145 IW262145 SS262145 ACO262145 AMK262145 AWG262145 BGC262145 BPY262145 BZU262145 CJQ262145 CTM262145 DDI262145 DNE262145 DXA262145 EGW262145 EQS262145 FAO262145 FKK262145 FUG262145 GEC262145 GNY262145 GXU262145 HHQ262145 HRM262145 IBI262145 ILE262145 IVA262145 JEW262145 JOS262145 JYO262145 KIK262145 KSG262145 LCC262145 LLY262145 LVU262145 MFQ262145 MPM262145 MZI262145 NJE262145 NTA262145 OCW262145 OMS262145 OWO262145 PGK262145 PQG262145 QAC262145 QJY262145 QTU262145 RDQ262145 RNM262145 RXI262145 SHE262145 SRA262145 TAW262145 TKS262145 TUO262145 UEK262145 UOG262145 UYC262145 VHY262145 VRU262145 WBQ262145 WLM262145 WVI262145 A327681 IW327681 SS327681 ACO327681 AMK327681 AWG327681 BGC327681 BPY327681 BZU327681 CJQ327681 CTM327681 DDI327681 DNE327681 DXA327681 EGW327681 EQS327681 FAO327681 FKK327681 FUG327681 GEC327681 GNY327681 GXU327681 HHQ327681 HRM327681 IBI327681 ILE327681 IVA327681 JEW327681 JOS327681 JYO327681 KIK327681 KSG327681 LCC327681 LLY327681 LVU327681 MFQ327681 MPM327681 MZI327681 NJE327681 NTA327681 OCW327681 OMS327681 OWO327681 PGK327681 PQG327681 QAC327681 QJY327681 QTU327681 RDQ327681 RNM327681 RXI327681 SHE327681 SRA327681 TAW327681 TKS327681 TUO327681 UEK327681 UOG327681 UYC327681 VHY327681 VRU327681 WBQ327681 WLM327681 WVI327681 A393217 IW393217 SS393217 ACO393217 AMK393217 AWG393217 BGC393217 BPY393217 BZU393217 CJQ393217 CTM393217 DDI393217 DNE393217 DXA393217 EGW393217 EQS393217 FAO393217 FKK393217 FUG393217 GEC393217 GNY393217 GXU393217 HHQ393217 HRM393217 IBI393217 ILE393217 IVA393217 JEW393217 JOS393217 JYO393217 KIK393217 KSG393217 LCC393217 LLY393217 LVU393217 MFQ393217 MPM393217 MZI393217 NJE393217 NTA393217 OCW393217 OMS393217 OWO393217 PGK393217 PQG393217 QAC393217 QJY393217 QTU393217 RDQ393217 RNM393217 RXI393217 SHE393217 SRA393217 TAW393217 TKS393217 TUO393217 UEK393217 UOG393217 UYC393217 VHY393217 VRU393217 WBQ393217 WLM393217 WVI393217 A458753 IW458753 SS458753 ACO458753 AMK458753 AWG458753 BGC458753 BPY458753 BZU458753 CJQ458753 CTM458753 DDI458753 DNE458753 DXA458753 EGW458753 EQS458753 FAO458753 FKK458753 FUG458753 GEC458753 GNY458753 GXU458753 HHQ458753 HRM458753 IBI458753 ILE458753 IVA458753 JEW458753 JOS458753 JYO458753 KIK458753 KSG458753 LCC458753 LLY458753 LVU458753 MFQ458753 MPM458753 MZI458753 NJE458753 NTA458753 OCW458753 OMS458753 OWO458753 PGK458753 PQG458753 QAC458753 QJY458753 QTU458753 RDQ458753 RNM458753 RXI458753 SHE458753 SRA458753 TAW458753 TKS458753 TUO458753 UEK458753 UOG458753 UYC458753 VHY458753 VRU458753 WBQ458753 WLM458753 WVI458753 A524289 IW524289 SS524289 ACO524289 AMK524289 AWG524289 BGC524289 BPY524289 BZU524289 CJQ524289 CTM524289 DDI524289 DNE524289 DXA524289 EGW524289 EQS524289 FAO524289 FKK524289 FUG524289 GEC524289 GNY524289 GXU524289 HHQ524289 HRM524289 IBI524289 ILE524289 IVA524289 JEW524289 JOS524289 JYO524289 KIK524289 KSG524289 LCC524289 LLY524289 LVU524289 MFQ524289 MPM524289 MZI524289 NJE524289 NTA524289 OCW524289 OMS524289 OWO524289 PGK524289 PQG524289 QAC524289 QJY524289 QTU524289 RDQ524289 RNM524289 RXI524289 SHE524289 SRA524289 TAW524289 TKS524289 TUO524289 UEK524289 UOG524289 UYC524289 VHY524289 VRU524289 WBQ524289 WLM524289 WVI524289 A589825 IW589825 SS589825 ACO589825 AMK589825 AWG589825 BGC589825 BPY589825 BZU589825 CJQ589825 CTM589825 DDI589825 DNE589825 DXA589825 EGW589825 EQS589825 FAO589825 FKK589825 FUG589825 GEC589825 GNY589825 GXU589825 HHQ589825 HRM589825 IBI589825 ILE589825 IVA589825 JEW589825 JOS589825 JYO589825 KIK589825 KSG589825 LCC589825 LLY589825 LVU589825 MFQ589825 MPM589825 MZI589825 NJE589825 NTA589825 OCW589825 OMS589825 OWO589825 PGK589825 PQG589825 QAC589825 QJY589825 QTU589825 RDQ589825 RNM589825 RXI589825 SHE589825 SRA589825 TAW589825 TKS589825 TUO589825 UEK589825 UOG589825 UYC589825 VHY589825 VRU589825 WBQ589825 WLM589825 WVI589825 A655361 IW655361 SS655361 ACO655361 AMK655361 AWG655361 BGC655361 BPY655361 BZU655361 CJQ655361 CTM655361 DDI655361 DNE655361 DXA655361 EGW655361 EQS655361 FAO655361 FKK655361 FUG655361 GEC655361 GNY655361 GXU655361 HHQ655361 HRM655361 IBI655361 ILE655361 IVA655361 JEW655361 JOS655361 JYO655361 KIK655361 KSG655361 LCC655361 LLY655361 LVU655361 MFQ655361 MPM655361 MZI655361 NJE655361 NTA655361 OCW655361 OMS655361 OWO655361 PGK655361 PQG655361 QAC655361 QJY655361 QTU655361 RDQ655361 RNM655361 RXI655361 SHE655361 SRA655361 TAW655361 TKS655361 TUO655361 UEK655361 UOG655361 UYC655361 VHY655361 VRU655361 WBQ655361 WLM655361 WVI655361 A720897 IW720897 SS720897 ACO720897 AMK720897 AWG720897 BGC720897 BPY720897 BZU720897 CJQ720897 CTM720897 DDI720897 DNE720897 DXA720897 EGW720897 EQS720897 FAO720897 FKK720897 FUG720897 GEC720897 GNY720897 GXU720897 HHQ720897 HRM720897 IBI720897 ILE720897 IVA720897 JEW720897 JOS720897 JYO720897 KIK720897 KSG720897 LCC720897 LLY720897 LVU720897 MFQ720897 MPM720897 MZI720897 NJE720897 NTA720897 OCW720897 OMS720897 OWO720897 PGK720897 PQG720897 QAC720897 QJY720897 QTU720897 RDQ720897 RNM720897 RXI720897 SHE720897 SRA720897 TAW720897 TKS720897 TUO720897 UEK720897 UOG720897 UYC720897 VHY720897 VRU720897 WBQ720897 WLM720897 WVI720897 A786433 IW786433 SS786433 ACO786433 AMK786433 AWG786433 BGC786433 BPY786433 BZU786433 CJQ786433 CTM786433 DDI786433 DNE786433 DXA786433 EGW786433 EQS786433 FAO786433 FKK786433 FUG786433 GEC786433 GNY786433 GXU786433 HHQ786433 HRM786433 IBI786433 ILE786433 IVA786433 JEW786433 JOS786433 JYO786433 KIK786433 KSG786433 LCC786433 LLY786433 LVU786433 MFQ786433 MPM786433 MZI786433 NJE786433 NTA786433 OCW786433 OMS786433 OWO786433 PGK786433 PQG786433 QAC786433 QJY786433 QTU786433 RDQ786433 RNM786433 RXI786433 SHE786433 SRA786433 TAW786433 TKS786433 TUO786433 UEK786433 UOG786433 UYC786433 VHY786433 VRU786433 WBQ786433 WLM786433 WVI786433 A851969 IW851969 SS851969 ACO851969 AMK851969 AWG851969 BGC851969 BPY851969 BZU851969 CJQ851969 CTM851969 DDI851969 DNE851969 DXA851969 EGW851969 EQS851969 FAO851969 FKK851969 FUG851969 GEC851969 GNY851969 GXU851969 HHQ851969 HRM851969 IBI851969 ILE851969 IVA851969 JEW851969 JOS851969 JYO851969 KIK851969 KSG851969 LCC851969 LLY851969 LVU851969 MFQ851969 MPM851969 MZI851969 NJE851969 NTA851969 OCW851969 OMS851969 OWO851969 PGK851969 PQG851969 QAC851969 QJY851969 QTU851969 RDQ851969 RNM851969 RXI851969 SHE851969 SRA851969 TAW851969 TKS851969 TUO851969 UEK851969 UOG851969 UYC851969 VHY851969 VRU851969 WBQ851969 WLM851969 WVI851969 A917505 IW917505 SS917505 ACO917505 AMK917505 AWG917505 BGC917505 BPY917505 BZU917505 CJQ917505 CTM917505 DDI917505 DNE917505 DXA917505 EGW917505 EQS917505 FAO917505 FKK917505 FUG917505 GEC917505 GNY917505 GXU917505 HHQ917505 HRM917505 IBI917505 ILE917505 IVA917505 JEW917505 JOS917505 JYO917505 KIK917505 KSG917505 LCC917505 LLY917505 LVU917505 MFQ917505 MPM917505 MZI917505 NJE917505 NTA917505 OCW917505 OMS917505 OWO917505 PGK917505 PQG917505 QAC917505 QJY917505 QTU917505 RDQ917505 RNM917505 RXI917505 SHE917505 SRA917505 TAW917505 TKS917505 TUO917505 UEK917505 UOG917505 UYC917505 VHY917505 VRU917505 WBQ917505 WLM917505 WVI917505 A983041 IW983041 SS983041 ACO983041 AMK983041 AWG983041 BGC983041 BPY983041 BZU983041 CJQ983041 CTM983041 DDI983041 DNE983041 DXA983041 EGW983041 EQS983041 FAO983041 FKK983041 FUG983041 GEC983041 GNY983041 GXU983041 HHQ983041 HRM983041 IBI983041 ILE983041 IVA983041 JEW983041 JOS983041 JYO983041 KIK983041 KSG983041 LCC983041 LLY983041 LVU983041 MFQ983041 MPM983041 MZI983041 NJE983041 NTA983041 OCW983041 OMS983041 OWO983041 PGK983041 PQG983041 QAC983041 QJY983041 QTU983041 RDQ983041 RNM983041 RXI983041 SHE983041 SRA983041 TAW983041 TKS983041 TUO983041 UEK983041 UOG983041 UYC983041 VHY983041 VRU983041 WBQ983041 WLM983041 WVI983041" xr:uid="{79608320-0655-42B4-A363-B3490531E820}"/>
    <dataValidation type="custom" showInputMessage="1" showErrorMessage="1" sqref="C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C65544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C131080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C196616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C262152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C327688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C393224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C458760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C524296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C589832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C655368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C720904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C786440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C851976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C917512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C983048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xr:uid="{479710BF-1975-46F2-A6BC-BEAC9C633F28}">
      <formula1>"Rating"</formula1>
    </dataValidation>
    <dataValidation type="custom" showInputMessage="1" showErrorMessage="1" sqref="C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C65542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C131078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C196614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C262150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C327686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C393222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C458758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C524294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C589830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C655366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C720902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C786438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C851974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C917510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C983046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xr:uid="{5C0C0A3C-3697-4C29-9C82-82855EAADFF8}">
      <formula1>"Ticker"</formula1>
    </dataValidation>
    <dataValidation type="custom" showInputMessage="1" showErrorMessage="1" sqref="C2:D2 IY2:IZ2 SU2:SV2 ACQ2:ACR2 AMM2:AMN2 AWI2:AWJ2 BGE2:BGF2 BQA2:BQB2 BZW2:BZX2 CJS2:CJT2 CTO2:CTP2 DDK2:DDL2 DNG2:DNH2 DXC2:DXD2 EGY2:EGZ2 EQU2:EQV2 FAQ2:FAR2 FKM2:FKN2 FUI2:FUJ2 GEE2:GEF2 GOA2:GOB2 GXW2:GXX2 HHS2:HHT2 HRO2:HRP2 IBK2:IBL2 ILG2:ILH2 IVC2:IVD2 JEY2:JEZ2 JOU2:JOV2 JYQ2:JYR2 KIM2:KIN2 KSI2:KSJ2 LCE2:LCF2 LMA2:LMB2 LVW2:LVX2 MFS2:MFT2 MPO2:MPP2 MZK2:MZL2 NJG2:NJH2 NTC2:NTD2 OCY2:OCZ2 OMU2:OMV2 OWQ2:OWR2 PGM2:PGN2 PQI2:PQJ2 QAE2:QAF2 QKA2:QKB2 QTW2:QTX2 RDS2:RDT2 RNO2:RNP2 RXK2:RXL2 SHG2:SHH2 SRC2:SRD2 TAY2:TAZ2 TKU2:TKV2 TUQ2:TUR2 UEM2:UEN2 UOI2:UOJ2 UYE2:UYF2 VIA2:VIB2 VRW2:VRX2 WBS2:WBT2 WLO2:WLP2 WVK2:WVL2 C65540:D65540 IY65538:IZ65538 SU65538:SV65538 ACQ65538:ACR65538 AMM65538:AMN65538 AWI65538:AWJ65538 BGE65538:BGF65538 BQA65538:BQB65538 BZW65538:BZX65538 CJS65538:CJT65538 CTO65538:CTP65538 DDK65538:DDL65538 DNG65538:DNH65538 DXC65538:DXD65538 EGY65538:EGZ65538 EQU65538:EQV65538 FAQ65538:FAR65538 FKM65538:FKN65538 FUI65538:FUJ65538 GEE65538:GEF65538 GOA65538:GOB65538 GXW65538:GXX65538 HHS65538:HHT65538 HRO65538:HRP65538 IBK65538:IBL65538 ILG65538:ILH65538 IVC65538:IVD65538 JEY65538:JEZ65538 JOU65538:JOV65538 JYQ65538:JYR65538 KIM65538:KIN65538 KSI65538:KSJ65538 LCE65538:LCF65538 LMA65538:LMB65538 LVW65538:LVX65538 MFS65538:MFT65538 MPO65538:MPP65538 MZK65538:MZL65538 NJG65538:NJH65538 NTC65538:NTD65538 OCY65538:OCZ65538 OMU65538:OMV65538 OWQ65538:OWR65538 PGM65538:PGN65538 PQI65538:PQJ65538 QAE65538:QAF65538 QKA65538:QKB65538 QTW65538:QTX65538 RDS65538:RDT65538 RNO65538:RNP65538 RXK65538:RXL65538 SHG65538:SHH65538 SRC65538:SRD65538 TAY65538:TAZ65538 TKU65538:TKV65538 TUQ65538:TUR65538 UEM65538:UEN65538 UOI65538:UOJ65538 UYE65538:UYF65538 VIA65538:VIB65538 VRW65538:VRX65538 WBS65538:WBT65538 WLO65538:WLP65538 WVK65538:WVL65538 C131076:D131076 IY131074:IZ131074 SU131074:SV131074 ACQ131074:ACR131074 AMM131074:AMN131074 AWI131074:AWJ131074 BGE131074:BGF131074 BQA131074:BQB131074 BZW131074:BZX131074 CJS131074:CJT131074 CTO131074:CTP131074 DDK131074:DDL131074 DNG131074:DNH131074 DXC131074:DXD131074 EGY131074:EGZ131074 EQU131074:EQV131074 FAQ131074:FAR131074 FKM131074:FKN131074 FUI131074:FUJ131074 GEE131074:GEF131074 GOA131074:GOB131074 GXW131074:GXX131074 HHS131074:HHT131074 HRO131074:HRP131074 IBK131074:IBL131074 ILG131074:ILH131074 IVC131074:IVD131074 JEY131074:JEZ131074 JOU131074:JOV131074 JYQ131074:JYR131074 KIM131074:KIN131074 KSI131074:KSJ131074 LCE131074:LCF131074 LMA131074:LMB131074 LVW131074:LVX131074 MFS131074:MFT131074 MPO131074:MPP131074 MZK131074:MZL131074 NJG131074:NJH131074 NTC131074:NTD131074 OCY131074:OCZ131074 OMU131074:OMV131074 OWQ131074:OWR131074 PGM131074:PGN131074 PQI131074:PQJ131074 QAE131074:QAF131074 QKA131074:QKB131074 QTW131074:QTX131074 RDS131074:RDT131074 RNO131074:RNP131074 RXK131074:RXL131074 SHG131074:SHH131074 SRC131074:SRD131074 TAY131074:TAZ131074 TKU131074:TKV131074 TUQ131074:TUR131074 UEM131074:UEN131074 UOI131074:UOJ131074 UYE131074:UYF131074 VIA131074:VIB131074 VRW131074:VRX131074 WBS131074:WBT131074 WLO131074:WLP131074 WVK131074:WVL131074 C196612:D196612 IY196610:IZ196610 SU196610:SV196610 ACQ196610:ACR196610 AMM196610:AMN196610 AWI196610:AWJ196610 BGE196610:BGF196610 BQA196610:BQB196610 BZW196610:BZX196610 CJS196610:CJT196610 CTO196610:CTP196610 DDK196610:DDL196610 DNG196610:DNH196610 DXC196610:DXD196610 EGY196610:EGZ196610 EQU196610:EQV196610 FAQ196610:FAR196610 FKM196610:FKN196610 FUI196610:FUJ196610 GEE196610:GEF196610 GOA196610:GOB196610 GXW196610:GXX196610 HHS196610:HHT196610 HRO196610:HRP196610 IBK196610:IBL196610 ILG196610:ILH196610 IVC196610:IVD196610 JEY196610:JEZ196610 JOU196610:JOV196610 JYQ196610:JYR196610 KIM196610:KIN196610 KSI196610:KSJ196610 LCE196610:LCF196610 LMA196610:LMB196610 LVW196610:LVX196610 MFS196610:MFT196610 MPO196610:MPP196610 MZK196610:MZL196610 NJG196610:NJH196610 NTC196610:NTD196610 OCY196610:OCZ196610 OMU196610:OMV196610 OWQ196610:OWR196610 PGM196610:PGN196610 PQI196610:PQJ196610 QAE196610:QAF196610 QKA196610:QKB196610 QTW196610:QTX196610 RDS196610:RDT196610 RNO196610:RNP196610 RXK196610:RXL196610 SHG196610:SHH196610 SRC196610:SRD196610 TAY196610:TAZ196610 TKU196610:TKV196610 TUQ196610:TUR196610 UEM196610:UEN196610 UOI196610:UOJ196610 UYE196610:UYF196610 VIA196610:VIB196610 VRW196610:VRX196610 WBS196610:WBT196610 WLO196610:WLP196610 WVK196610:WVL196610 C262148:D262148 IY262146:IZ262146 SU262146:SV262146 ACQ262146:ACR262146 AMM262146:AMN262146 AWI262146:AWJ262146 BGE262146:BGF262146 BQA262146:BQB262146 BZW262146:BZX262146 CJS262146:CJT262146 CTO262146:CTP262146 DDK262146:DDL262146 DNG262146:DNH262146 DXC262146:DXD262146 EGY262146:EGZ262146 EQU262146:EQV262146 FAQ262146:FAR262146 FKM262146:FKN262146 FUI262146:FUJ262146 GEE262146:GEF262146 GOA262146:GOB262146 GXW262146:GXX262146 HHS262146:HHT262146 HRO262146:HRP262146 IBK262146:IBL262146 ILG262146:ILH262146 IVC262146:IVD262146 JEY262146:JEZ262146 JOU262146:JOV262146 JYQ262146:JYR262146 KIM262146:KIN262146 KSI262146:KSJ262146 LCE262146:LCF262146 LMA262146:LMB262146 LVW262146:LVX262146 MFS262146:MFT262146 MPO262146:MPP262146 MZK262146:MZL262146 NJG262146:NJH262146 NTC262146:NTD262146 OCY262146:OCZ262146 OMU262146:OMV262146 OWQ262146:OWR262146 PGM262146:PGN262146 PQI262146:PQJ262146 QAE262146:QAF262146 QKA262146:QKB262146 QTW262146:QTX262146 RDS262146:RDT262146 RNO262146:RNP262146 RXK262146:RXL262146 SHG262146:SHH262146 SRC262146:SRD262146 TAY262146:TAZ262146 TKU262146:TKV262146 TUQ262146:TUR262146 UEM262146:UEN262146 UOI262146:UOJ262146 UYE262146:UYF262146 VIA262146:VIB262146 VRW262146:VRX262146 WBS262146:WBT262146 WLO262146:WLP262146 WVK262146:WVL262146 C327684:D327684 IY327682:IZ327682 SU327682:SV327682 ACQ327682:ACR327682 AMM327682:AMN327682 AWI327682:AWJ327682 BGE327682:BGF327682 BQA327682:BQB327682 BZW327682:BZX327682 CJS327682:CJT327682 CTO327682:CTP327682 DDK327682:DDL327682 DNG327682:DNH327682 DXC327682:DXD327682 EGY327682:EGZ327682 EQU327682:EQV327682 FAQ327682:FAR327682 FKM327682:FKN327682 FUI327682:FUJ327682 GEE327682:GEF327682 GOA327682:GOB327682 GXW327682:GXX327682 HHS327682:HHT327682 HRO327682:HRP327682 IBK327682:IBL327682 ILG327682:ILH327682 IVC327682:IVD327682 JEY327682:JEZ327682 JOU327682:JOV327682 JYQ327682:JYR327682 KIM327682:KIN327682 KSI327682:KSJ327682 LCE327682:LCF327682 LMA327682:LMB327682 LVW327682:LVX327682 MFS327682:MFT327682 MPO327682:MPP327682 MZK327682:MZL327682 NJG327682:NJH327682 NTC327682:NTD327682 OCY327682:OCZ327682 OMU327682:OMV327682 OWQ327682:OWR327682 PGM327682:PGN327682 PQI327682:PQJ327682 QAE327682:QAF327682 QKA327682:QKB327682 QTW327682:QTX327682 RDS327682:RDT327682 RNO327682:RNP327682 RXK327682:RXL327682 SHG327682:SHH327682 SRC327682:SRD327682 TAY327682:TAZ327682 TKU327682:TKV327682 TUQ327682:TUR327682 UEM327682:UEN327682 UOI327682:UOJ327682 UYE327682:UYF327682 VIA327682:VIB327682 VRW327682:VRX327682 WBS327682:WBT327682 WLO327682:WLP327682 WVK327682:WVL327682 C393220:D393220 IY393218:IZ393218 SU393218:SV393218 ACQ393218:ACR393218 AMM393218:AMN393218 AWI393218:AWJ393218 BGE393218:BGF393218 BQA393218:BQB393218 BZW393218:BZX393218 CJS393218:CJT393218 CTO393218:CTP393218 DDK393218:DDL393218 DNG393218:DNH393218 DXC393218:DXD393218 EGY393218:EGZ393218 EQU393218:EQV393218 FAQ393218:FAR393218 FKM393218:FKN393218 FUI393218:FUJ393218 GEE393218:GEF393218 GOA393218:GOB393218 GXW393218:GXX393218 HHS393218:HHT393218 HRO393218:HRP393218 IBK393218:IBL393218 ILG393218:ILH393218 IVC393218:IVD393218 JEY393218:JEZ393218 JOU393218:JOV393218 JYQ393218:JYR393218 KIM393218:KIN393218 KSI393218:KSJ393218 LCE393218:LCF393218 LMA393218:LMB393218 LVW393218:LVX393218 MFS393218:MFT393218 MPO393218:MPP393218 MZK393218:MZL393218 NJG393218:NJH393218 NTC393218:NTD393218 OCY393218:OCZ393218 OMU393218:OMV393218 OWQ393218:OWR393218 PGM393218:PGN393218 PQI393218:PQJ393218 QAE393218:QAF393218 QKA393218:QKB393218 QTW393218:QTX393218 RDS393218:RDT393218 RNO393218:RNP393218 RXK393218:RXL393218 SHG393218:SHH393218 SRC393218:SRD393218 TAY393218:TAZ393218 TKU393218:TKV393218 TUQ393218:TUR393218 UEM393218:UEN393218 UOI393218:UOJ393218 UYE393218:UYF393218 VIA393218:VIB393218 VRW393218:VRX393218 WBS393218:WBT393218 WLO393218:WLP393218 WVK393218:WVL393218 C458756:D458756 IY458754:IZ458754 SU458754:SV458754 ACQ458754:ACR458754 AMM458754:AMN458754 AWI458754:AWJ458754 BGE458754:BGF458754 BQA458754:BQB458754 BZW458754:BZX458754 CJS458754:CJT458754 CTO458754:CTP458754 DDK458754:DDL458754 DNG458754:DNH458754 DXC458754:DXD458754 EGY458754:EGZ458754 EQU458754:EQV458754 FAQ458754:FAR458754 FKM458754:FKN458754 FUI458754:FUJ458754 GEE458754:GEF458754 GOA458754:GOB458754 GXW458754:GXX458754 HHS458754:HHT458754 HRO458754:HRP458754 IBK458754:IBL458754 ILG458754:ILH458754 IVC458754:IVD458754 JEY458754:JEZ458754 JOU458754:JOV458754 JYQ458754:JYR458754 KIM458754:KIN458754 KSI458754:KSJ458754 LCE458754:LCF458754 LMA458754:LMB458754 LVW458754:LVX458754 MFS458754:MFT458754 MPO458754:MPP458754 MZK458754:MZL458754 NJG458754:NJH458754 NTC458754:NTD458754 OCY458754:OCZ458754 OMU458754:OMV458754 OWQ458754:OWR458754 PGM458754:PGN458754 PQI458754:PQJ458754 QAE458754:QAF458754 QKA458754:QKB458754 QTW458754:QTX458754 RDS458754:RDT458754 RNO458754:RNP458754 RXK458754:RXL458754 SHG458754:SHH458754 SRC458754:SRD458754 TAY458754:TAZ458754 TKU458754:TKV458754 TUQ458754:TUR458754 UEM458754:UEN458754 UOI458754:UOJ458754 UYE458754:UYF458754 VIA458754:VIB458754 VRW458754:VRX458754 WBS458754:WBT458754 WLO458754:WLP458754 WVK458754:WVL458754 C524292:D524292 IY524290:IZ524290 SU524290:SV524290 ACQ524290:ACR524290 AMM524290:AMN524290 AWI524290:AWJ524290 BGE524290:BGF524290 BQA524290:BQB524290 BZW524290:BZX524290 CJS524290:CJT524290 CTO524290:CTP524290 DDK524290:DDL524290 DNG524290:DNH524290 DXC524290:DXD524290 EGY524290:EGZ524290 EQU524290:EQV524290 FAQ524290:FAR524290 FKM524290:FKN524290 FUI524290:FUJ524290 GEE524290:GEF524290 GOA524290:GOB524290 GXW524290:GXX524290 HHS524290:HHT524290 HRO524290:HRP524290 IBK524290:IBL524290 ILG524290:ILH524290 IVC524290:IVD524290 JEY524290:JEZ524290 JOU524290:JOV524290 JYQ524290:JYR524290 KIM524290:KIN524290 KSI524290:KSJ524290 LCE524290:LCF524290 LMA524290:LMB524290 LVW524290:LVX524290 MFS524290:MFT524290 MPO524290:MPP524290 MZK524290:MZL524290 NJG524290:NJH524290 NTC524290:NTD524290 OCY524290:OCZ524290 OMU524290:OMV524290 OWQ524290:OWR524290 PGM524290:PGN524290 PQI524290:PQJ524290 QAE524290:QAF524290 QKA524290:QKB524290 QTW524290:QTX524290 RDS524290:RDT524290 RNO524290:RNP524290 RXK524290:RXL524290 SHG524290:SHH524290 SRC524290:SRD524290 TAY524290:TAZ524290 TKU524290:TKV524290 TUQ524290:TUR524290 UEM524290:UEN524290 UOI524290:UOJ524290 UYE524290:UYF524290 VIA524290:VIB524290 VRW524290:VRX524290 WBS524290:WBT524290 WLO524290:WLP524290 WVK524290:WVL524290 C589828:D589828 IY589826:IZ589826 SU589826:SV589826 ACQ589826:ACR589826 AMM589826:AMN589826 AWI589826:AWJ589826 BGE589826:BGF589826 BQA589826:BQB589826 BZW589826:BZX589826 CJS589826:CJT589826 CTO589826:CTP589826 DDK589826:DDL589826 DNG589826:DNH589826 DXC589826:DXD589826 EGY589826:EGZ589826 EQU589826:EQV589826 FAQ589826:FAR589826 FKM589826:FKN589826 FUI589826:FUJ589826 GEE589826:GEF589826 GOA589826:GOB589826 GXW589826:GXX589826 HHS589826:HHT589826 HRO589826:HRP589826 IBK589826:IBL589826 ILG589826:ILH589826 IVC589826:IVD589826 JEY589826:JEZ589826 JOU589826:JOV589826 JYQ589826:JYR589826 KIM589826:KIN589826 KSI589826:KSJ589826 LCE589826:LCF589826 LMA589826:LMB589826 LVW589826:LVX589826 MFS589826:MFT589826 MPO589826:MPP589826 MZK589826:MZL589826 NJG589826:NJH589826 NTC589826:NTD589826 OCY589826:OCZ589826 OMU589826:OMV589826 OWQ589826:OWR589826 PGM589826:PGN589826 PQI589826:PQJ589826 QAE589826:QAF589826 QKA589826:QKB589826 QTW589826:QTX589826 RDS589826:RDT589826 RNO589826:RNP589826 RXK589826:RXL589826 SHG589826:SHH589826 SRC589826:SRD589826 TAY589826:TAZ589826 TKU589826:TKV589826 TUQ589826:TUR589826 UEM589826:UEN589826 UOI589826:UOJ589826 UYE589826:UYF589826 VIA589826:VIB589826 VRW589826:VRX589826 WBS589826:WBT589826 WLO589826:WLP589826 WVK589826:WVL589826 C655364:D655364 IY655362:IZ655362 SU655362:SV655362 ACQ655362:ACR655362 AMM655362:AMN655362 AWI655362:AWJ655362 BGE655362:BGF655362 BQA655362:BQB655362 BZW655362:BZX655362 CJS655362:CJT655362 CTO655362:CTP655362 DDK655362:DDL655362 DNG655362:DNH655362 DXC655362:DXD655362 EGY655362:EGZ655362 EQU655362:EQV655362 FAQ655362:FAR655362 FKM655362:FKN655362 FUI655362:FUJ655362 GEE655362:GEF655362 GOA655362:GOB655362 GXW655362:GXX655362 HHS655362:HHT655362 HRO655362:HRP655362 IBK655362:IBL655362 ILG655362:ILH655362 IVC655362:IVD655362 JEY655362:JEZ655362 JOU655362:JOV655362 JYQ655362:JYR655362 KIM655362:KIN655362 KSI655362:KSJ655362 LCE655362:LCF655362 LMA655362:LMB655362 LVW655362:LVX655362 MFS655362:MFT655362 MPO655362:MPP655362 MZK655362:MZL655362 NJG655362:NJH655362 NTC655362:NTD655362 OCY655362:OCZ655362 OMU655362:OMV655362 OWQ655362:OWR655362 PGM655362:PGN655362 PQI655362:PQJ655362 QAE655362:QAF655362 QKA655362:QKB655362 QTW655362:QTX655362 RDS655362:RDT655362 RNO655362:RNP655362 RXK655362:RXL655362 SHG655362:SHH655362 SRC655362:SRD655362 TAY655362:TAZ655362 TKU655362:TKV655362 TUQ655362:TUR655362 UEM655362:UEN655362 UOI655362:UOJ655362 UYE655362:UYF655362 VIA655362:VIB655362 VRW655362:VRX655362 WBS655362:WBT655362 WLO655362:WLP655362 WVK655362:WVL655362 C720900:D720900 IY720898:IZ720898 SU720898:SV720898 ACQ720898:ACR720898 AMM720898:AMN720898 AWI720898:AWJ720898 BGE720898:BGF720898 BQA720898:BQB720898 BZW720898:BZX720898 CJS720898:CJT720898 CTO720898:CTP720898 DDK720898:DDL720898 DNG720898:DNH720898 DXC720898:DXD720898 EGY720898:EGZ720898 EQU720898:EQV720898 FAQ720898:FAR720898 FKM720898:FKN720898 FUI720898:FUJ720898 GEE720898:GEF720898 GOA720898:GOB720898 GXW720898:GXX720898 HHS720898:HHT720898 HRO720898:HRP720898 IBK720898:IBL720898 ILG720898:ILH720898 IVC720898:IVD720898 JEY720898:JEZ720898 JOU720898:JOV720898 JYQ720898:JYR720898 KIM720898:KIN720898 KSI720898:KSJ720898 LCE720898:LCF720898 LMA720898:LMB720898 LVW720898:LVX720898 MFS720898:MFT720898 MPO720898:MPP720898 MZK720898:MZL720898 NJG720898:NJH720898 NTC720898:NTD720898 OCY720898:OCZ720898 OMU720898:OMV720898 OWQ720898:OWR720898 PGM720898:PGN720898 PQI720898:PQJ720898 QAE720898:QAF720898 QKA720898:QKB720898 QTW720898:QTX720898 RDS720898:RDT720898 RNO720898:RNP720898 RXK720898:RXL720898 SHG720898:SHH720898 SRC720898:SRD720898 TAY720898:TAZ720898 TKU720898:TKV720898 TUQ720898:TUR720898 UEM720898:UEN720898 UOI720898:UOJ720898 UYE720898:UYF720898 VIA720898:VIB720898 VRW720898:VRX720898 WBS720898:WBT720898 WLO720898:WLP720898 WVK720898:WVL720898 C786436:D786436 IY786434:IZ786434 SU786434:SV786434 ACQ786434:ACR786434 AMM786434:AMN786434 AWI786434:AWJ786434 BGE786434:BGF786434 BQA786434:BQB786434 BZW786434:BZX786434 CJS786434:CJT786434 CTO786434:CTP786434 DDK786434:DDL786434 DNG786434:DNH786434 DXC786434:DXD786434 EGY786434:EGZ786434 EQU786434:EQV786434 FAQ786434:FAR786434 FKM786434:FKN786434 FUI786434:FUJ786434 GEE786434:GEF786434 GOA786434:GOB786434 GXW786434:GXX786434 HHS786434:HHT786434 HRO786434:HRP786434 IBK786434:IBL786434 ILG786434:ILH786434 IVC786434:IVD786434 JEY786434:JEZ786434 JOU786434:JOV786434 JYQ786434:JYR786434 KIM786434:KIN786434 KSI786434:KSJ786434 LCE786434:LCF786434 LMA786434:LMB786434 LVW786434:LVX786434 MFS786434:MFT786434 MPO786434:MPP786434 MZK786434:MZL786434 NJG786434:NJH786434 NTC786434:NTD786434 OCY786434:OCZ786434 OMU786434:OMV786434 OWQ786434:OWR786434 PGM786434:PGN786434 PQI786434:PQJ786434 QAE786434:QAF786434 QKA786434:QKB786434 QTW786434:QTX786434 RDS786434:RDT786434 RNO786434:RNP786434 RXK786434:RXL786434 SHG786434:SHH786434 SRC786434:SRD786434 TAY786434:TAZ786434 TKU786434:TKV786434 TUQ786434:TUR786434 UEM786434:UEN786434 UOI786434:UOJ786434 UYE786434:UYF786434 VIA786434:VIB786434 VRW786434:VRX786434 WBS786434:WBT786434 WLO786434:WLP786434 WVK786434:WVL786434 C851972:D851972 IY851970:IZ851970 SU851970:SV851970 ACQ851970:ACR851970 AMM851970:AMN851970 AWI851970:AWJ851970 BGE851970:BGF851970 BQA851970:BQB851970 BZW851970:BZX851970 CJS851970:CJT851970 CTO851970:CTP851970 DDK851970:DDL851970 DNG851970:DNH851970 DXC851970:DXD851970 EGY851970:EGZ851970 EQU851970:EQV851970 FAQ851970:FAR851970 FKM851970:FKN851970 FUI851970:FUJ851970 GEE851970:GEF851970 GOA851970:GOB851970 GXW851970:GXX851970 HHS851970:HHT851970 HRO851970:HRP851970 IBK851970:IBL851970 ILG851970:ILH851970 IVC851970:IVD851970 JEY851970:JEZ851970 JOU851970:JOV851970 JYQ851970:JYR851970 KIM851970:KIN851970 KSI851970:KSJ851970 LCE851970:LCF851970 LMA851970:LMB851970 LVW851970:LVX851970 MFS851970:MFT851970 MPO851970:MPP851970 MZK851970:MZL851970 NJG851970:NJH851970 NTC851970:NTD851970 OCY851970:OCZ851970 OMU851970:OMV851970 OWQ851970:OWR851970 PGM851970:PGN851970 PQI851970:PQJ851970 QAE851970:QAF851970 QKA851970:QKB851970 QTW851970:QTX851970 RDS851970:RDT851970 RNO851970:RNP851970 RXK851970:RXL851970 SHG851970:SHH851970 SRC851970:SRD851970 TAY851970:TAZ851970 TKU851970:TKV851970 TUQ851970:TUR851970 UEM851970:UEN851970 UOI851970:UOJ851970 UYE851970:UYF851970 VIA851970:VIB851970 VRW851970:VRX851970 WBS851970:WBT851970 WLO851970:WLP851970 WVK851970:WVL851970 C917508:D917508 IY917506:IZ917506 SU917506:SV917506 ACQ917506:ACR917506 AMM917506:AMN917506 AWI917506:AWJ917506 BGE917506:BGF917506 BQA917506:BQB917506 BZW917506:BZX917506 CJS917506:CJT917506 CTO917506:CTP917506 DDK917506:DDL917506 DNG917506:DNH917506 DXC917506:DXD917506 EGY917506:EGZ917506 EQU917506:EQV917506 FAQ917506:FAR917506 FKM917506:FKN917506 FUI917506:FUJ917506 GEE917506:GEF917506 GOA917506:GOB917506 GXW917506:GXX917506 HHS917506:HHT917506 HRO917506:HRP917506 IBK917506:IBL917506 ILG917506:ILH917506 IVC917506:IVD917506 JEY917506:JEZ917506 JOU917506:JOV917506 JYQ917506:JYR917506 KIM917506:KIN917506 KSI917506:KSJ917506 LCE917506:LCF917506 LMA917506:LMB917506 LVW917506:LVX917506 MFS917506:MFT917506 MPO917506:MPP917506 MZK917506:MZL917506 NJG917506:NJH917506 NTC917506:NTD917506 OCY917506:OCZ917506 OMU917506:OMV917506 OWQ917506:OWR917506 PGM917506:PGN917506 PQI917506:PQJ917506 QAE917506:QAF917506 QKA917506:QKB917506 QTW917506:QTX917506 RDS917506:RDT917506 RNO917506:RNP917506 RXK917506:RXL917506 SHG917506:SHH917506 SRC917506:SRD917506 TAY917506:TAZ917506 TKU917506:TKV917506 TUQ917506:TUR917506 UEM917506:UEN917506 UOI917506:UOJ917506 UYE917506:UYF917506 VIA917506:VIB917506 VRW917506:VRX917506 WBS917506:WBT917506 WLO917506:WLP917506 WVK917506:WVL917506 C983044:D983044 IY983042:IZ983042 SU983042:SV983042 ACQ983042:ACR983042 AMM983042:AMN983042 AWI983042:AWJ983042 BGE983042:BGF983042 BQA983042:BQB983042 BZW983042:BZX983042 CJS983042:CJT983042 CTO983042:CTP983042 DDK983042:DDL983042 DNG983042:DNH983042 DXC983042:DXD983042 EGY983042:EGZ983042 EQU983042:EQV983042 FAQ983042:FAR983042 FKM983042:FKN983042 FUI983042:FUJ983042 GEE983042:GEF983042 GOA983042:GOB983042 GXW983042:GXX983042 HHS983042:HHT983042 HRO983042:HRP983042 IBK983042:IBL983042 ILG983042:ILH983042 IVC983042:IVD983042 JEY983042:JEZ983042 JOU983042:JOV983042 JYQ983042:JYR983042 KIM983042:KIN983042 KSI983042:KSJ983042 LCE983042:LCF983042 LMA983042:LMB983042 LVW983042:LVX983042 MFS983042:MFT983042 MPO983042:MPP983042 MZK983042:MZL983042 NJG983042:NJH983042 NTC983042:NTD983042 OCY983042:OCZ983042 OMU983042:OMV983042 OWQ983042:OWR983042 PGM983042:PGN983042 PQI983042:PQJ983042 QAE983042:QAF983042 QKA983042:QKB983042 QTW983042:QTX983042 RDS983042:RDT983042 RNO983042:RNP983042 RXK983042:RXL983042 SHG983042:SHH983042 SRC983042:SRD983042 TAY983042:TAZ983042 TKU983042:TKV983042 TUQ983042:TUR983042 UEM983042:UEN983042 UOI983042:UOJ983042 UYE983042:UYF983042 VIA983042:VIB983042 VRW983042:VRX983042 WBS983042:WBT983042 WLO983042:WLP983042 WVK983042:WVL983042" xr:uid="{1A6C7408-333B-4D96-AD1A-E2CC6FDF70A3}">
      <formula1>"CORE Reference Data Upload"</formula1>
    </dataValidation>
    <dataValidation type="list" errorStyle="information" showInputMessage="1" showErrorMessage="1" sqref="B1 IX1 ST1 ACP1 AML1 AWH1 BGD1 BPZ1 BZV1 CJR1 CTN1 DDJ1 DNF1 DXB1 EGX1 EQT1 FAP1 FKL1 FUH1 GED1 GNZ1 GXV1 HHR1 HRN1 IBJ1 ILF1 IVB1 JEX1 JOT1 JYP1 KIL1 KSH1 LCD1 LLZ1 LVV1 MFR1 MPN1 MZJ1 NJF1 NTB1 OCX1 OMT1 OWP1 PGL1 PQH1 QAD1 QJZ1 QTV1 RDR1 RNN1 RXJ1 SHF1 SRB1 TAX1 TKT1 TUP1 UEL1 UOH1 UYD1 VHZ1 VRV1 WBR1 WLN1 WVJ1 B65537 IX65537 ST65537 ACP65537 AML65537 AWH65537 BGD65537 BPZ65537 BZV65537 CJR65537 CTN65537 DDJ65537 DNF65537 DXB65537 EGX65537 EQT65537 FAP65537 FKL65537 FUH65537 GED65537 GNZ65537 GXV65537 HHR65537 HRN65537 IBJ65537 ILF65537 IVB65537 JEX65537 JOT65537 JYP65537 KIL65537 KSH65537 LCD65537 LLZ65537 LVV65537 MFR65537 MPN65537 MZJ65537 NJF65537 NTB65537 OCX65537 OMT65537 OWP65537 PGL65537 PQH65537 QAD65537 QJZ65537 QTV65537 RDR65537 RNN65537 RXJ65537 SHF65537 SRB65537 TAX65537 TKT65537 TUP65537 UEL65537 UOH65537 UYD65537 VHZ65537 VRV65537 WBR65537 WLN65537 WVJ65537 B131073 IX131073 ST131073 ACP131073 AML131073 AWH131073 BGD131073 BPZ131073 BZV131073 CJR131073 CTN131073 DDJ131073 DNF131073 DXB131073 EGX131073 EQT131073 FAP131073 FKL131073 FUH131073 GED131073 GNZ131073 GXV131073 HHR131073 HRN131073 IBJ131073 ILF131073 IVB131073 JEX131073 JOT131073 JYP131073 KIL131073 KSH131073 LCD131073 LLZ131073 LVV131073 MFR131073 MPN131073 MZJ131073 NJF131073 NTB131073 OCX131073 OMT131073 OWP131073 PGL131073 PQH131073 QAD131073 QJZ131073 QTV131073 RDR131073 RNN131073 RXJ131073 SHF131073 SRB131073 TAX131073 TKT131073 TUP131073 UEL131073 UOH131073 UYD131073 VHZ131073 VRV131073 WBR131073 WLN131073 WVJ131073 B196609 IX196609 ST196609 ACP196609 AML196609 AWH196609 BGD196609 BPZ196609 BZV196609 CJR196609 CTN196609 DDJ196609 DNF196609 DXB196609 EGX196609 EQT196609 FAP196609 FKL196609 FUH196609 GED196609 GNZ196609 GXV196609 HHR196609 HRN196609 IBJ196609 ILF196609 IVB196609 JEX196609 JOT196609 JYP196609 KIL196609 KSH196609 LCD196609 LLZ196609 LVV196609 MFR196609 MPN196609 MZJ196609 NJF196609 NTB196609 OCX196609 OMT196609 OWP196609 PGL196609 PQH196609 QAD196609 QJZ196609 QTV196609 RDR196609 RNN196609 RXJ196609 SHF196609 SRB196609 TAX196609 TKT196609 TUP196609 UEL196609 UOH196609 UYD196609 VHZ196609 VRV196609 WBR196609 WLN196609 WVJ196609 B262145 IX262145 ST262145 ACP262145 AML262145 AWH262145 BGD262145 BPZ262145 BZV262145 CJR262145 CTN262145 DDJ262145 DNF262145 DXB262145 EGX262145 EQT262145 FAP262145 FKL262145 FUH262145 GED262145 GNZ262145 GXV262145 HHR262145 HRN262145 IBJ262145 ILF262145 IVB262145 JEX262145 JOT262145 JYP262145 KIL262145 KSH262145 LCD262145 LLZ262145 LVV262145 MFR262145 MPN262145 MZJ262145 NJF262145 NTB262145 OCX262145 OMT262145 OWP262145 PGL262145 PQH262145 QAD262145 QJZ262145 QTV262145 RDR262145 RNN262145 RXJ262145 SHF262145 SRB262145 TAX262145 TKT262145 TUP262145 UEL262145 UOH262145 UYD262145 VHZ262145 VRV262145 WBR262145 WLN262145 WVJ262145 B327681 IX327681 ST327681 ACP327681 AML327681 AWH327681 BGD327681 BPZ327681 BZV327681 CJR327681 CTN327681 DDJ327681 DNF327681 DXB327681 EGX327681 EQT327681 FAP327681 FKL327681 FUH327681 GED327681 GNZ327681 GXV327681 HHR327681 HRN327681 IBJ327681 ILF327681 IVB327681 JEX327681 JOT327681 JYP327681 KIL327681 KSH327681 LCD327681 LLZ327681 LVV327681 MFR327681 MPN327681 MZJ327681 NJF327681 NTB327681 OCX327681 OMT327681 OWP327681 PGL327681 PQH327681 QAD327681 QJZ327681 QTV327681 RDR327681 RNN327681 RXJ327681 SHF327681 SRB327681 TAX327681 TKT327681 TUP327681 UEL327681 UOH327681 UYD327681 VHZ327681 VRV327681 WBR327681 WLN327681 WVJ327681 B393217 IX393217 ST393217 ACP393217 AML393217 AWH393217 BGD393217 BPZ393217 BZV393217 CJR393217 CTN393217 DDJ393217 DNF393217 DXB393217 EGX393217 EQT393217 FAP393217 FKL393217 FUH393217 GED393217 GNZ393217 GXV393217 HHR393217 HRN393217 IBJ393217 ILF393217 IVB393217 JEX393217 JOT393217 JYP393217 KIL393217 KSH393217 LCD393217 LLZ393217 LVV393217 MFR393217 MPN393217 MZJ393217 NJF393217 NTB393217 OCX393217 OMT393217 OWP393217 PGL393217 PQH393217 QAD393217 QJZ393217 QTV393217 RDR393217 RNN393217 RXJ393217 SHF393217 SRB393217 TAX393217 TKT393217 TUP393217 UEL393217 UOH393217 UYD393217 VHZ393217 VRV393217 WBR393217 WLN393217 WVJ393217 B458753 IX458753 ST458753 ACP458753 AML458753 AWH458753 BGD458753 BPZ458753 BZV458753 CJR458753 CTN458753 DDJ458753 DNF458753 DXB458753 EGX458753 EQT458753 FAP458753 FKL458753 FUH458753 GED458753 GNZ458753 GXV458753 HHR458753 HRN458753 IBJ458753 ILF458753 IVB458753 JEX458753 JOT458753 JYP458753 KIL458753 KSH458753 LCD458753 LLZ458753 LVV458753 MFR458753 MPN458753 MZJ458753 NJF458753 NTB458753 OCX458753 OMT458753 OWP458753 PGL458753 PQH458753 QAD458753 QJZ458753 QTV458753 RDR458753 RNN458753 RXJ458753 SHF458753 SRB458753 TAX458753 TKT458753 TUP458753 UEL458753 UOH458753 UYD458753 VHZ458753 VRV458753 WBR458753 WLN458753 WVJ458753 B524289 IX524289 ST524289 ACP524289 AML524289 AWH524289 BGD524289 BPZ524289 BZV524289 CJR524289 CTN524289 DDJ524289 DNF524289 DXB524289 EGX524289 EQT524289 FAP524289 FKL524289 FUH524289 GED524289 GNZ524289 GXV524289 HHR524289 HRN524289 IBJ524289 ILF524289 IVB524289 JEX524289 JOT524289 JYP524289 KIL524289 KSH524289 LCD524289 LLZ524289 LVV524289 MFR524289 MPN524289 MZJ524289 NJF524289 NTB524289 OCX524289 OMT524289 OWP524289 PGL524289 PQH524289 QAD524289 QJZ524289 QTV524289 RDR524289 RNN524289 RXJ524289 SHF524289 SRB524289 TAX524289 TKT524289 TUP524289 UEL524289 UOH524289 UYD524289 VHZ524289 VRV524289 WBR524289 WLN524289 WVJ524289 B589825 IX589825 ST589825 ACP589825 AML589825 AWH589825 BGD589825 BPZ589825 BZV589825 CJR589825 CTN589825 DDJ589825 DNF589825 DXB589825 EGX589825 EQT589825 FAP589825 FKL589825 FUH589825 GED589825 GNZ589825 GXV589825 HHR589825 HRN589825 IBJ589825 ILF589825 IVB589825 JEX589825 JOT589825 JYP589825 KIL589825 KSH589825 LCD589825 LLZ589825 LVV589825 MFR589825 MPN589825 MZJ589825 NJF589825 NTB589825 OCX589825 OMT589825 OWP589825 PGL589825 PQH589825 QAD589825 QJZ589825 QTV589825 RDR589825 RNN589825 RXJ589825 SHF589825 SRB589825 TAX589825 TKT589825 TUP589825 UEL589825 UOH589825 UYD589825 VHZ589825 VRV589825 WBR589825 WLN589825 WVJ589825 B655361 IX655361 ST655361 ACP655361 AML655361 AWH655361 BGD655361 BPZ655361 BZV655361 CJR655361 CTN655361 DDJ655361 DNF655361 DXB655361 EGX655361 EQT655361 FAP655361 FKL655361 FUH655361 GED655361 GNZ655361 GXV655361 HHR655361 HRN655361 IBJ655361 ILF655361 IVB655361 JEX655361 JOT655361 JYP655361 KIL655361 KSH655361 LCD655361 LLZ655361 LVV655361 MFR655361 MPN655361 MZJ655361 NJF655361 NTB655361 OCX655361 OMT655361 OWP655361 PGL655361 PQH655361 QAD655361 QJZ655361 QTV655361 RDR655361 RNN655361 RXJ655361 SHF655361 SRB655361 TAX655361 TKT655361 TUP655361 UEL655361 UOH655361 UYD655361 VHZ655361 VRV655361 WBR655361 WLN655361 WVJ655361 B720897 IX720897 ST720897 ACP720897 AML720897 AWH720897 BGD720897 BPZ720897 BZV720897 CJR720897 CTN720897 DDJ720897 DNF720897 DXB720897 EGX720897 EQT720897 FAP720897 FKL720897 FUH720897 GED720897 GNZ720897 GXV720897 HHR720897 HRN720897 IBJ720897 ILF720897 IVB720897 JEX720897 JOT720897 JYP720897 KIL720897 KSH720897 LCD720897 LLZ720897 LVV720897 MFR720897 MPN720897 MZJ720897 NJF720897 NTB720897 OCX720897 OMT720897 OWP720897 PGL720897 PQH720897 QAD720897 QJZ720897 QTV720897 RDR720897 RNN720897 RXJ720897 SHF720897 SRB720897 TAX720897 TKT720897 TUP720897 UEL720897 UOH720897 UYD720897 VHZ720897 VRV720897 WBR720897 WLN720897 WVJ720897 B786433 IX786433 ST786433 ACP786433 AML786433 AWH786433 BGD786433 BPZ786433 BZV786433 CJR786433 CTN786433 DDJ786433 DNF786433 DXB786433 EGX786433 EQT786433 FAP786433 FKL786433 FUH786433 GED786433 GNZ786433 GXV786433 HHR786433 HRN786433 IBJ786433 ILF786433 IVB786433 JEX786433 JOT786433 JYP786433 KIL786433 KSH786433 LCD786433 LLZ786433 LVV786433 MFR786433 MPN786433 MZJ786433 NJF786433 NTB786433 OCX786433 OMT786433 OWP786433 PGL786433 PQH786433 QAD786433 QJZ786433 QTV786433 RDR786433 RNN786433 RXJ786433 SHF786433 SRB786433 TAX786433 TKT786433 TUP786433 UEL786433 UOH786433 UYD786433 VHZ786433 VRV786433 WBR786433 WLN786433 WVJ786433 B851969 IX851969 ST851969 ACP851969 AML851969 AWH851969 BGD851969 BPZ851969 BZV851969 CJR851969 CTN851969 DDJ851969 DNF851969 DXB851969 EGX851969 EQT851969 FAP851969 FKL851969 FUH851969 GED851969 GNZ851969 GXV851969 HHR851969 HRN851969 IBJ851969 ILF851969 IVB851969 JEX851969 JOT851969 JYP851969 KIL851969 KSH851969 LCD851969 LLZ851969 LVV851969 MFR851969 MPN851969 MZJ851969 NJF851969 NTB851969 OCX851969 OMT851969 OWP851969 PGL851969 PQH851969 QAD851969 QJZ851969 QTV851969 RDR851969 RNN851969 RXJ851969 SHF851969 SRB851969 TAX851969 TKT851969 TUP851969 UEL851969 UOH851969 UYD851969 VHZ851969 VRV851969 WBR851969 WLN851969 WVJ851969 B917505 IX917505 ST917505 ACP917505 AML917505 AWH917505 BGD917505 BPZ917505 BZV917505 CJR917505 CTN917505 DDJ917505 DNF917505 DXB917505 EGX917505 EQT917505 FAP917505 FKL917505 FUH917505 GED917505 GNZ917505 GXV917505 HHR917505 HRN917505 IBJ917505 ILF917505 IVB917505 JEX917505 JOT917505 JYP917505 KIL917505 KSH917505 LCD917505 LLZ917505 LVV917505 MFR917505 MPN917505 MZJ917505 NJF917505 NTB917505 OCX917505 OMT917505 OWP917505 PGL917505 PQH917505 QAD917505 QJZ917505 QTV917505 RDR917505 RNN917505 RXJ917505 SHF917505 SRB917505 TAX917505 TKT917505 TUP917505 UEL917505 UOH917505 UYD917505 VHZ917505 VRV917505 WBR917505 WLN917505 WVJ917505 B983041 IX983041 ST983041 ACP983041 AML983041 AWH983041 BGD983041 BPZ983041 BZV983041 CJR983041 CTN983041 DDJ983041 DNF983041 DXB983041 EGX983041 EQT983041 FAP983041 FKL983041 FUH983041 GED983041 GNZ983041 GXV983041 HHR983041 HRN983041 IBJ983041 ILF983041 IVB983041 JEX983041 JOT983041 JYP983041 KIL983041 KSH983041 LCD983041 LLZ983041 LVV983041 MFR983041 MPN983041 MZJ983041 NJF983041 NTB983041 OCX983041 OMT983041 OWP983041 PGL983041 PQH983041 QAD983041 QJZ983041 QTV983041 RDR983041 RNN983041 RXJ983041 SHF983041 SRB983041 TAX983041 TKT983041 TUP983041 UEL983041 UOH983041 UYD983041 VHZ983041 VRV983041 WBR983041 WLN983041 WVJ983041" xr:uid="{2C66AEEB-441E-4048-8669-774C824021ED}">
      <formula1>"per share,ratio,thousands,units"</formula1>
    </dataValidation>
    <dataValidation type="list" errorStyle="information" showInputMessage="1" showErrorMessage="1" sqref="WVL98304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xr:uid="{627D6007-C88D-4F3C-8711-801A70615387}">
      <formula1>"---,Strong Buy,Buy,Hold,Sell,Strong Sell"</formula1>
    </dataValidation>
    <dataValidation type="list" errorStyle="information" showInputMessage="1" showErrorMessage="1" sqref="D6" xr:uid="{EFB95BE7-E786-4B9C-90B4-D39373DD723C}">
      <formula1>"---,Strong Buy,Buy,Hold,Sell,Strong Sell"</formula1>
    </dataValidation>
  </dataValidations>
  <pageMargins left="0.7" right="0.7" top="0.75" bottom="0.75" header="0.3" footer="0.3"/>
  <pageSetup paperSize="9" orientation="portrait" r:id="rId1"/>
  <customProperties>
    <customPr name="PDRUploadSheet" r:id="rId2"/>
    <customPr name="UniqueWorksheetId" r:id="rId3"/>
  </customProperties>
  <legacy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780FE-1D20-436D-B178-DC8FABC6A16D}">
  <sheetPr codeName="Sheet7"/>
  <dimension ref="A1:T23"/>
  <sheetViews>
    <sheetView workbookViewId="0">
      <selection activeCell="V14" sqref="V14"/>
    </sheetView>
  </sheetViews>
  <sheetFormatPr defaultColWidth="9.1796875" defaultRowHeight="14" outlineLevelCol="1"/>
  <cols>
    <col min="1" max="1" width="50" style="253" customWidth="1" outlineLevel="1"/>
    <col min="2" max="2" width="2.81640625" style="233" customWidth="1"/>
    <col min="3" max="3" width="27.7265625" style="241" customWidth="1"/>
    <col min="4" max="20" width="12" style="236" customWidth="1"/>
    <col min="21" max="200" width="9.1796875" style="236"/>
    <col min="201" max="201" width="50" style="236" customWidth="1"/>
    <col min="202" max="202" width="2.81640625" style="236" customWidth="1"/>
    <col min="203" max="203" width="27.7265625" style="236" customWidth="1"/>
    <col min="204" max="218" width="11.453125" style="236" customWidth="1"/>
    <col min="219" max="256" width="9.1796875" style="236"/>
    <col min="257" max="257" width="50" style="236" customWidth="1"/>
    <col min="258" max="258" width="2.81640625" style="236" customWidth="1"/>
    <col min="259" max="259" width="27.7265625" style="236" customWidth="1"/>
    <col min="260" max="274" width="11.453125" style="236" customWidth="1"/>
    <col min="275" max="456" width="9.1796875" style="236"/>
    <col min="457" max="457" width="50" style="236" customWidth="1"/>
    <col min="458" max="458" width="2.81640625" style="236" customWidth="1"/>
    <col min="459" max="459" width="27.7265625" style="236" customWidth="1"/>
    <col min="460" max="474" width="11.453125" style="236" customWidth="1"/>
    <col min="475" max="512" width="9.1796875" style="236"/>
    <col min="513" max="513" width="50" style="236" customWidth="1"/>
    <col min="514" max="514" width="2.81640625" style="236" customWidth="1"/>
    <col min="515" max="515" width="27.7265625" style="236" customWidth="1"/>
    <col min="516" max="530" width="11.453125" style="236" customWidth="1"/>
    <col min="531" max="712" width="9.1796875" style="236"/>
    <col min="713" max="713" width="50" style="236" customWidth="1"/>
    <col min="714" max="714" width="2.81640625" style="236" customWidth="1"/>
    <col min="715" max="715" width="27.7265625" style="236" customWidth="1"/>
    <col min="716" max="730" width="11.453125" style="236" customWidth="1"/>
    <col min="731" max="768" width="9.1796875" style="236"/>
    <col min="769" max="769" width="50" style="236" customWidth="1"/>
    <col min="770" max="770" width="2.81640625" style="236" customWidth="1"/>
    <col min="771" max="771" width="27.7265625" style="236" customWidth="1"/>
    <col min="772" max="786" width="11.453125" style="236" customWidth="1"/>
    <col min="787" max="968" width="9.1796875" style="236"/>
    <col min="969" max="969" width="50" style="236" customWidth="1"/>
    <col min="970" max="970" width="2.81640625" style="236" customWidth="1"/>
    <col min="971" max="971" width="27.7265625" style="236" customWidth="1"/>
    <col min="972" max="986" width="11.453125" style="236" customWidth="1"/>
    <col min="987" max="1024" width="9.1796875" style="236"/>
    <col min="1025" max="1025" width="50" style="236" customWidth="1"/>
    <col min="1026" max="1026" width="2.81640625" style="236" customWidth="1"/>
    <col min="1027" max="1027" width="27.7265625" style="236" customWidth="1"/>
    <col min="1028" max="1042" width="11.453125" style="236" customWidth="1"/>
    <col min="1043" max="1224" width="9.1796875" style="236"/>
    <col min="1225" max="1225" width="50" style="236" customWidth="1"/>
    <col min="1226" max="1226" width="2.81640625" style="236" customWidth="1"/>
    <col min="1227" max="1227" width="27.7265625" style="236" customWidth="1"/>
    <col min="1228" max="1242" width="11.453125" style="236" customWidth="1"/>
    <col min="1243" max="1280" width="9.1796875" style="236"/>
    <col min="1281" max="1281" width="50" style="236" customWidth="1"/>
    <col min="1282" max="1282" width="2.81640625" style="236" customWidth="1"/>
    <col min="1283" max="1283" width="27.7265625" style="236" customWidth="1"/>
    <col min="1284" max="1298" width="11.453125" style="236" customWidth="1"/>
    <col min="1299" max="1480" width="9.1796875" style="236"/>
    <col min="1481" max="1481" width="50" style="236" customWidth="1"/>
    <col min="1482" max="1482" width="2.81640625" style="236" customWidth="1"/>
    <col min="1483" max="1483" width="27.7265625" style="236" customWidth="1"/>
    <col min="1484" max="1498" width="11.453125" style="236" customWidth="1"/>
    <col min="1499" max="1536" width="9.1796875" style="236"/>
    <col min="1537" max="1537" width="50" style="236" customWidth="1"/>
    <col min="1538" max="1538" width="2.81640625" style="236" customWidth="1"/>
    <col min="1539" max="1539" width="27.7265625" style="236" customWidth="1"/>
    <col min="1540" max="1554" width="11.453125" style="236" customWidth="1"/>
    <col min="1555" max="1736" width="9.1796875" style="236"/>
    <col min="1737" max="1737" width="50" style="236" customWidth="1"/>
    <col min="1738" max="1738" width="2.81640625" style="236" customWidth="1"/>
    <col min="1739" max="1739" width="27.7265625" style="236" customWidth="1"/>
    <col min="1740" max="1754" width="11.453125" style="236" customWidth="1"/>
    <col min="1755" max="1792" width="9.1796875" style="236"/>
    <col min="1793" max="1793" width="50" style="236" customWidth="1"/>
    <col min="1794" max="1794" width="2.81640625" style="236" customWidth="1"/>
    <col min="1795" max="1795" width="27.7265625" style="236" customWidth="1"/>
    <col min="1796" max="1810" width="11.453125" style="236" customWidth="1"/>
    <col min="1811" max="1992" width="9.1796875" style="236"/>
    <col min="1993" max="1993" width="50" style="236" customWidth="1"/>
    <col min="1994" max="1994" width="2.81640625" style="236" customWidth="1"/>
    <col min="1995" max="1995" width="27.7265625" style="236" customWidth="1"/>
    <col min="1996" max="2010" width="11.453125" style="236" customWidth="1"/>
    <col min="2011" max="2048" width="9.1796875" style="236"/>
    <col min="2049" max="2049" width="50" style="236" customWidth="1"/>
    <col min="2050" max="2050" width="2.81640625" style="236" customWidth="1"/>
    <col min="2051" max="2051" width="27.7265625" style="236" customWidth="1"/>
    <col min="2052" max="2066" width="11.453125" style="236" customWidth="1"/>
    <col min="2067" max="2248" width="9.1796875" style="236"/>
    <col min="2249" max="2249" width="50" style="236" customWidth="1"/>
    <col min="2250" max="2250" width="2.81640625" style="236" customWidth="1"/>
    <col min="2251" max="2251" width="27.7265625" style="236" customWidth="1"/>
    <col min="2252" max="2266" width="11.453125" style="236" customWidth="1"/>
    <col min="2267" max="2304" width="9.1796875" style="236"/>
    <col min="2305" max="2305" width="50" style="236" customWidth="1"/>
    <col min="2306" max="2306" width="2.81640625" style="236" customWidth="1"/>
    <col min="2307" max="2307" width="27.7265625" style="236" customWidth="1"/>
    <col min="2308" max="2322" width="11.453125" style="236" customWidth="1"/>
    <col min="2323" max="2504" width="9.1796875" style="236"/>
    <col min="2505" max="2505" width="50" style="236" customWidth="1"/>
    <col min="2506" max="2506" width="2.81640625" style="236" customWidth="1"/>
    <col min="2507" max="2507" width="27.7265625" style="236" customWidth="1"/>
    <col min="2508" max="2522" width="11.453125" style="236" customWidth="1"/>
    <col min="2523" max="2560" width="9.1796875" style="236"/>
    <col min="2561" max="2561" width="50" style="236" customWidth="1"/>
    <col min="2562" max="2562" width="2.81640625" style="236" customWidth="1"/>
    <col min="2563" max="2563" width="27.7265625" style="236" customWidth="1"/>
    <col min="2564" max="2578" width="11.453125" style="236" customWidth="1"/>
    <col min="2579" max="2760" width="9.1796875" style="236"/>
    <col min="2761" max="2761" width="50" style="236" customWidth="1"/>
    <col min="2762" max="2762" width="2.81640625" style="236" customWidth="1"/>
    <col min="2763" max="2763" width="27.7265625" style="236" customWidth="1"/>
    <col min="2764" max="2778" width="11.453125" style="236" customWidth="1"/>
    <col min="2779" max="2816" width="9.1796875" style="236"/>
    <col min="2817" max="2817" width="50" style="236" customWidth="1"/>
    <col min="2818" max="2818" width="2.81640625" style="236" customWidth="1"/>
    <col min="2819" max="2819" width="27.7265625" style="236" customWidth="1"/>
    <col min="2820" max="2834" width="11.453125" style="236" customWidth="1"/>
    <col min="2835" max="3016" width="9.1796875" style="236"/>
    <col min="3017" max="3017" width="50" style="236" customWidth="1"/>
    <col min="3018" max="3018" width="2.81640625" style="236" customWidth="1"/>
    <col min="3019" max="3019" width="27.7265625" style="236" customWidth="1"/>
    <col min="3020" max="3034" width="11.453125" style="236" customWidth="1"/>
    <col min="3035" max="3072" width="9.1796875" style="236"/>
    <col min="3073" max="3073" width="50" style="236" customWidth="1"/>
    <col min="3074" max="3074" width="2.81640625" style="236" customWidth="1"/>
    <col min="3075" max="3075" width="27.7265625" style="236" customWidth="1"/>
    <col min="3076" max="3090" width="11.453125" style="236" customWidth="1"/>
    <col min="3091" max="3272" width="9.1796875" style="236"/>
    <col min="3273" max="3273" width="50" style="236" customWidth="1"/>
    <col min="3274" max="3274" width="2.81640625" style="236" customWidth="1"/>
    <col min="3275" max="3275" width="27.7265625" style="236" customWidth="1"/>
    <col min="3276" max="3290" width="11.453125" style="236" customWidth="1"/>
    <col min="3291" max="3328" width="9.1796875" style="236"/>
    <col min="3329" max="3329" width="50" style="236" customWidth="1"/>
    <col min="3330" max="3330" width="2.81640625" style="236" customWidth="1"/>
    <col min="3331" max="3331" width="27.7265625" style="236" customWidth="1"/>
    <col min="3332" max="3346" width="11.453125" style="236" customWidth="1"/>
    <col min="3347" max="3528" width="9.1796875" style="236"/>
    <col min="3529" max="3529" width="50" style="236" customWidth="1"/>
    <col min="3530" max="3530" width="2.81640625" style="236" customWidth="1"/>
    <col min="3531" max="3531" width="27.7265625" style="236" customWidth="1"/>
    <col min="3532" max="3546" width="11.453125" style="236" customWidth="1"/>
    <col min="3547" max="3584" width="9.1796875" style="236"/>
    <col min="3585" max="3585" width="50" style="236" customWidth="1"/>
    <col min="3586" max="3586" width="2.81640625" style="236" customWidth="1"/>
    <col min="3587" max="3587" width="27.7265625" style="236" customWidth="1"/>
    <col min="3588" max="3602" width="11.453125" style="236" customWidth="1"/>
    <col min="3603" max="3784" width="9.1796875" style="236"/>
    <col min="3785" max="3785" width="50" style="236" customWidth="1"/>
    <col min="3786" max="3786" width="2.81640625" style="236" customWidth="1"/>
    <col min="3787" max="3787" width="27.7265625" style="236" customWidth="1"/>
    <col min="3788" max="3802" width="11.453125" style="236" customWidth="1"/>
    <col min="3803" max="3840" width="9.1796875" style="236"/>
    <col min="3841" max="3841" width="50" style="236" customWidth="1"/>
    <col min="3842" max="3842" width="2.81640625" style="236" customWidth="1"/>
    <col min="3843" max="3843" width="27.7265625" style="236" customWidth="1"/>
    <col min="3844" max="3858" width="11.453125" style="236" customWidth="1"/>
    <col min="3859" max="4040" width="9.1796875" style="236"/>
    <col min="4041" max="4041" width="50" style="236" customWidth="1"/>
    <col min="4042" max="4042" width="2.81640625" style="236" customWidth="1"/>
    <col min="4043" max="4043" width="27.7265625" style="236" customWidth="1"/>
    <col min="4044" max="4058" width="11.453125" style="236" customWidth="1"/>
    <col min="4059" max="4096" width="9.1796875" style="236"/>
    <col min="4097" max="4097" width="50" style="236" customWidth="1"/>
    <col min="4098" max="4098" width="2.81640625" style="236" customWidth="1"/>
    <col min="4099" max="4099" width="27.7265625" style="236" customWidth="1"/>
    <col min="4100" max="4114" width="11.453125" style="236" customWidth="1"/>
    <col min="4115" max="4296" width="9.1796875" style="236"/>
    <col min="4297" max="4297" width="50" style="236" customWidth="1"/>
    <col min="4298" max="4298" width="2.81640625" style="236" customWidth="1"/>
    <col min="4299" max="4299" width="27.7265625" style="236" customWidth="1"/>
    <col min="4300" max="4314" width="11.453125" style="236" customWidth="1"/>
    <col min="4315" max="4352" width="9.1796875" style="236"/>
    <col min="4353" max="4353" width="50" style="236" customWidth="1"/>
    <col min="4354" max="4354" width="2.81640625" style="236" customWidth="1"/>
    <col min="4355" max="4355" width="27.7265625" style="236" customWidth="1"/>
    <col min="4356" max="4370" width="11.453125" style="236" customWidth="1"/>
    <col min="4371" max="4552" width="9.1796875" style="236"/>
    <col min="4553" max="4553" width="50" style="236" customWidth="1"/>
    <col min="4554" max="4554" width="2.81640625" style="236" customWidth="1"/>
    <col min="4555" max="4555" width="27.7265625" style="236" customWidth="1"/>
    <col min="4556" max="4570" width="11.453125" style="236" customWidth="1"/>
    <col min="4571" max="4608" width="9.1796875" style="236"/>
    <col min="4609" max="4609" width="50" style="236" customWidth="1"/>
    <col min="4610" max="4610" width="2.81640625" style="236" customWidth="1"/>
    <col min="4611" max="4611" width="27.7265625" style="236" customWidth="1"/>
    <col min="4612" max="4626" width="11.453125" style="236" customWidth="1"/>
    <col min="4627" max="4808" width="9.1796875" style="236"/>
    <col min="4809" max="4809" width="50" style="236" customWidth="1"/>
    <col min="4810" max="4810" width="2.81640625" style="236" customWidth="1"/>
    <col min="4811" max="4811" width="27.7265625" style="236" customWidth="1"/>
    <col min="4812" max="4826" width="11.453125" style="236" customWidth="1"/>
    <col min="4827" max="4864" width="9.1796875" style="236"/>
    <col min="4865" max="4865" width="50" style="236" customWidth="1"/>
    <col min="4866" max="4866" width="2.81640625" style="236" customWidth="1"/>
    <col min="4867" max="4867" width="27.7265625" style="236" customWidth="1"/>
    <col min="4868" max="4882" width="11.453125" style="236" customWidth="1"/>
    <col min="4883" max="5064" width="9.1796875" style="236"/>
    <col min="5065" max="5065" width="50" style="236" customWidth="1"/>
    <col min="5066" max="5066" width="2.81640625" style="236" customWidth="1"/>
    <col min="5067" max="5067" width="27.7265625" style="236" customWidth="1"/>
    <col min="5068" max="5082" width="11.453125" style="236" customWidth="1"/>
    <col min="5083" max="5120" width="9.1796875" style="236"/>
    <col min="5121" max="5121" width="50" style="236" customWidth="1"/>
    <col min="5122" max="5122" width="2.81640625" style="236" customWidth="1"/>
    <col min="5123" max="5123" width="27.7265625" style="236" customWidth="1"/>
    <col min="5124" max="5138" width="11.453125" style="236" customWidth="1"/>
    <col min="5139" max="5320" width="9.1796875" style="236"/>
    <col min="5321" max="5321" width="50" style="236" customWidth="1"/>
    <col min="5322" max="5322" width="2.81640625" style="236" customWidth="1"/>
    <col min="5323" max="5323" width="27.7265625" style="236" customWidth="1"/>
    <col min="5324" max="5338" width="11.453125" style="236" customWidth="1"/>
    <col min="5339" max="5376" width="9.1796875" style="236"/>
    <col min="5377" max="5377" width="50" style="236" customWidth="1"/>
    <col min="5378" max="5378" width="2.81640625" style="236" customWidth="1"/>
    <col min="5379" max="5379" width="27.7265625" style="236" customWidth="1"/>
    <col min="5380" max="5394" width="11.453125" style="236" customWidth="1"/>
    <col min="5395" max="5576" width="9.1796875" style="236"/>
    <col min="5577" max="5577" width="50" style="236" customWidth="1"/>
    <col min="5578" max="5578" width="2.81640625" style="236" customWidth="1"/>
    <col min="5579" max="5579" width="27.7265625" style="236" customWidth="1"/>
    <col min="5580" max="5594" width="11.453125" style="236" customWidth="1"/>
    <col min="5595" max="5632" width="9.1796875" style="236"/>
    <col min="5633" max="5633" width="50" style="236" customWidth="1"/>
    <col min="5634" max="5634" width="2.81640625" style="236" customWidth="1"/>
    <col min="5635" max="5635" width="27.7265625" style="236" customWidth="1"/>
    <col min="5636" max="5650" width="11.453125" style="236" customWidth="1"/>
    <col min="5651" max="5832" width="9.1796875" style="236"/>
    <col min="5833" max="5833" width="50" style="236" customWidth="1"/>
    <col min="5834" max="5834" width="2.81640625" style="236" customWidth="1"/>
    <col min="5835" max="5835" width="27.7265625" style="236" customWidth="1"/>
    <col min="5836" max="5850" width="11.453125" style="236" customWidth="1"/>
    <col min="5851" max="5888" width="9.1796875" style="236"/>
    <col min="5889" max="5889" width="50" style="236" customWidth="1"/>
    <col min="5890" max="5890" width="2.81640625" style="236" customWidth="1"/>
    <col min="5891" max="5891" width="27.7265625" style="236" customWidth="1"/>
    <col min="5892" max="5906" width="11.453125" style="236" customWidth="1"/>
    <col min="5907" max="6088" width="9.1796875" style="236"/>
    <col min="6089" max="6089" width="50" style="236" customWidth="1"/>
    <col min="6090" max="6090" width="2.81640625" style="236" customWidth="1"/>
    <col min="6091" max="6091" width="27.7265625" style="236" customWidth="1"/>
    <col min="6092" max="6106" width="11.453125" style="236" customWidth="1"/>
    <col min="6107" max="6144" width="9.1796875" style="236"/>
    <col min="6145" max="6145" width="50" style="236" customWidth="1"/>
    <col min="6146" max="6146" width="2.81640625" style="236" customWidth="1"/>
    <col min="6147" max="6147" width="27.7265625" style="236" customWidth="1"/>
    <col min="6148" max="6162" width="11.453125" style="236" customWidth="1"/>
    <col min="6163" max="6344" width="9.1796875" style="236"/>
    <col min="6345" max="6345" width="50" style="236" customWidth="1"/>
    <col min="6346" max="6346" width="2.81640625" style="236" customWidth="1"/>
    <col min="6347" max="6347" width="27.7265625" style="236" customWidth="1"/>
    <col min="6348" max="6362" width="11.453125" style="236" customWidth="1"/>
    <col min="6363" max="6400" width="9.1796875" style="236"/>
    <col min="6401" max="6401" width="50" style="236" customWidth="1"/>
    <col min="6402" max="6402" width="2.81640625" style="236" customWidth="1"/>
    <col min="6403" max="6403" width="27.7265625" style="236" customWidth="1"/>
    <col min="6404" max="6418" width="11.453125" style="236" customWidth="1"/>
    <col min="6419" max="6600" width="9.1796875" style="236"/>
    <col min="6601" max="6601" width="50" style="236" customWidth="1"/>
    <col min="6602" max="6602" width="2.81640625" style="236" customWidth="1"/>
    <col min="6603" max="6603" width="27.7265625" style="236" customWidth="1"/>
    <col min="6604" max="6618" width="11.453125" style="236" customWidth="1"/>
    <col min="6619" max="6656" width="9.1796875" style="236"/>
    <col min="6657" max="6657" width="50" style="236" customWidth="1"/>
    <col min="6658" max="6658" width="2.81640625" style="236" customWidth="1"/>
    <col min="6659" max="6659" width="27.7265625" style="236" customWidth="1"/>
    <col min="6660" max="6674" width="11.453125" style="236" customWidth="1"/>
    <col min="6675" max="6856" width="9.1796875" style="236"/>
    <col min="6857" max="6857" width="50" style="236" customWidth="1"/>
    <col min="6858" max="6858" width="2.81640625" style="236" customWidth="1"/>
    <col min="6859" max="6859" width="27.7265625" style="236" customWidth="1"/>
    <col min="6860" max="6874" width="11.453125" style="236" customWidth="1"/>
    <col min="6875" max="6912" width="9.1796875" style="236"/>
    <col min="6913" max="6913" width="50" style="236" customWidth="1"/>
    <col min="6914" max="6914" width="2.81640625" style="236" customWidth="1"/>
    <col min="6915" max="6915" width="27.7265625" style="236" customWidth="1"/>
    <col min="6916" max="6930" width="11.453125" style="236" customWidth="1"/>
    <col min="6931" max="7112" width="9.1796875" style="236"/>
    <col min="7113" max="7113" width="50" style="236" customWidth="1"/>
    <col min="7114" max="7114" width="2.81640625" style="236" customWidth="1"/>
    <col min="7115" max="7115" width="27.7265625" style="236" customWidth="1"/>
    <col min="7116" max="7130" width="11.453125" style="236" customWidth="1"/>
    <col min="7131" max="7168" width="9.1796875" style="236"/>
    <col min="7169" max="7169" width="50" style="236" customWidth="1"/>
    <col min="7170" max="7170" width="2.81640625" style="236" customWidth="1"/>
    <col min="7171" max="7171" width="27.7265625" style="236" customWidth="1"/>
    <col min="7172" max="7186" width="11.453125" style="236" customWidth="1"/>
    <col min="7187" max="7368" width="9.1796875" style="236"/>
    <col min="7369" max="7369" width="50" style="236" customWidth="1"/>
    <col min="7370" max="7370" width="2.81640625" style="236" customWidth="1"/>
    <col min="7371" max="7371" width="27.7265625" style="236" customWidth="1"/>
    <col min="7372" max="7386" width="11.453125" style="236" customWidth="1"/>
    <col min="7387" max="7424" width="9.1796875" style="236"/>
    <col min="7425" max="7425" width="50" style="236" customWidth="1"/>
    <col min="7426" max="7426" width="2.81640625" style="236" customWidth="1"/>
    <col min="7427" max="7427" width="27.7265625" style="236" customWidth="1"/>
    <col min="7428" max="7442" width="11.453125" style="236" customWidth="1"/>
    <col min="7443" max="7624" width="9.1796875" style="236"/>
    <col min="7625" max="7625" width="50" style="236" customWidth="1"/>
    <col min="7626" max="7626" width="2.81640625" style="236" customWidth="1"/>
    <col min="7627" max="7627" width="27.7265625" style="236" customWidth="1"/>
    <col min="7628" max="7642" width="11.453125" style="236" customWidth="1"/>
    <col min="7643" max="7680" width="9.1796875" style="236"/>
    <col min="7681" max="7681" width="50" style="236" customWidth="1"/>
    <col min="7682" max="7682" width="2.81640625" style="236" customWidth="1"/>
    <col min="7683" max="7683" width="27.7265625" style="236" customWidth="1"/>
    <col min="7684" max="7698" width="11.453125" style="236" customWidth="1"/>
    <col min="7699" max="7880" width="9.1796875" style="236"/>
    <col min="7881" max="7881" width="50" style="236" customWidth="1"/>
    <col min="7882" max="7882" width="2.81640625" style="236" customWidth="1"/>
    <col min="7883" max="7883" width="27.7265625" style="236" customWidth="1"/>
    <col min="7884" max="7898" width="11.453125" style="236" customWidth="1"/>
    <col min="7899" max="7936" width="9.1796875" style="236"/>
    <col min="7937" max="7937" width="50" style="236" customWidth="1"/>
    <col min="7938" max="7938" width="2.81640625" style="236" customWidth="1"/>
    <col min="7939" max="7939" width="27.7265625" style="236" customWidth="1"/>
    <col min="7940" max="7954" width="11.453125" style="236" customWidth="1"/>
    <col min="7955" max="8136" width="9.1796875" style="236"/>
    <col min="8137" max="8137" width="50" style="236" customWidth="1"/>
    <col min="8138" max="8138" width="2.81640625" style="236" customWidth="1"/>
    <col min="8139" max="8139" width="27.7265625" style="236" customWidth="1"/>
    <col min="8140" max="8154" width="11.453125" style="236" customWidth="1"/>
    <col min="8155" max="8192" width="9.1796875" style="236"/>
    <col min="8193" max="8193" width="50" style="236" customWidth="1"/>
    <col min="8194" max="8194" width="2.81640625" style="236" customWidth="1"/>
    <col min="8195" max="8195" width="27.7265625" style="236" customWidth="1"/>
    <col min="8196" max="8210" width="11.453125" style="236" customWidth="1"/>
    <col min="8211" max="8392" width="9.1796875" style="236"/>
    <col min="8393" max="8393" width="50" style="236" customWidth="1"/>
    <col min="8394" max="8394" width="2.81640625" style="236" customWidth="1"/>
    <col min="8395" max="8395" width="27.7265625" style="236" customWidth="1"/>
    <col min="8396" max="8410" width="11.453125" style="236" customWidth="1"/>
    <col min="8411" max="8448" width="9.1796875" style="236"/>
    <col min="8449" max="8449" width="50" style="236" customWidth="1"/>
    <col min="8450" max="8450" width="2.81640625" style="236" customWidth="1"/>
    <col min="8451" max="8451" width="27.7265625" style="236" customWidth="1"/>
    <col min="8452" max="8466" width="11.453125" style="236" customWidth="1"/>
    <col min="8467" max="8648" width="9.1796875" style="236"/>
    <col min="8649" max="8649" width="50" style="236" customWidth="1"/>
    <col min="8650" max="8650" width="2.81640625" style="236" customWidth="1"/>
    <col min="8651" max="8651" width="27.7265625" style="236" customWidth="1"/>
    <col min="8652" max="8666" width="11.453125" style="236" customWidth="1"/>
    <col min="8667" max="8704" width="9.1796875" style="236"/>
    <col min="8705" max="8705" width="50" style="236" customWidth="1"/>
    <col min="8706" max="8706" width="2.81640625" style="236" customWidth="1"/>
    <col min="8707" max="8707" width="27.7265625" style="236" customWidth="1"/>
    <col min="8708" max="8722" width="11.453125" style="236" customWidth="1"/>
    <col min="8723" max="8904" width="9.1796875" style="236"/>
    <col min="8905" max="8905" width="50" style="236" customWidth="1"/>
    <col min="8906" max="8906" width="2.81640625" style="236" customWidth="1"/>
    <col min="8907" max="8907" width="27.7265625" style="236" customWidth="1"/>
    <col min="8908" max="8922" width="11.453125" style="236" customWidth="1"/>
    <col min="8923" max="8960" width="9.1796875" style="236"/>
    <col min="8961" max="8961" width="50" style="236" customWidth="1"/>
    <col min="8962" max="8962" width="2.81640625" style="236" customWidth="1"/>
    <col min="8963" max="8963" width="27.7265625" style="236" customWidth="1"/>
    <col min="8964" max="8978" width="11.453125" style="236" customWidth="1"/>
    <col min="8979" max="9160" width="9.1796875" style="236"/>
    <col min="9161" max="9161" width="50" style="236" customWidth="1"/>
    <col min="9162" max="9162" width="2.81640625" style="236" customWidth="1"/>
    <col min="9163" max="9163" width="27.7265625" style="236" customWidth="1"/>
    <col min="9164" max="9178" width="11.453125" style="236" customWidth="1"/>
    <col min="9179" max="9216" width="9.1796875" style="236"/>
    <col min="9217" max="9217" width="50" style="236" customWidth="1"/>
    <col min="9218" max="9218" width="2.81640625" style="236" customWidth="1"/>
    <col min="9219" max="9219" width="27.7265625" style="236" customWidth="1"/>
    <col min="9220" max="9234" width="11.453125" style="236" customWidth="1"/>
    <col min="9235" max="9416" width="9.1796875" style="236"/>
    <col min="9417" max="9417" width="50" style="236" customWidth="1"/>
    <col min="9418" max="9418" width="2.81640625" style="236" customWidth="1"/>
    <col min="9419" max="9419" width="27.7265625" style="236" customWidth="1"/>
    <col min="9420" max="9434" width="11.453125" style="236" customWidth="1"/>
    <col min="9435" max="9472" width="9.1796875" style="236"/>
    <col min="9473" max="9473" width="50" style="236" customWidth="1"/>
    <col min="9474" max="9474" width="2.81640625" style="236" customWidth="1"/>
    <col min="9475" max="9475" width="27.7265625" style="236" customWidth="1"/>
    <col min="9476" max="9490" width="11.453125" style="236" customWidth="1"/>
    <col min="9491" max="9672" width="9.1796875" style="236"/>
    <col min="9673" max="9673" width="50" style="236" customWidth="1"/>
    <col min="9674" max="9674" width="2.81640625" style="236" customWidth="1"/>
    <col min="9675" max="9675" width="27.7265625" style="236" customWidth="1"/>
    <col min="9676" max="9690" width="11.453125" style="236" customWidth="1"/>
    <col min="9691" max="9728" width="9.1796875" style="236"/>
    <col min="9729" max="9729" width="50" style="236" customWidth="1"/>
    <col min="9730" max="9730" width="2.81640625" style="236" customWidth="1"/>
    <col min="9731" max="9731" width="27.7265625" style="236" customWidth="1"/>
    <col min="9732" max="9746" width="11.453125" style="236" customWidth="1"/>
    <col min="9747" max="9928" width="9.1796875" style="236"/>
    <col min="9929" max="9929" width="50" style="236" customWidth="1"/>
    <col min="9930" max="9930" width="2.81640625" style="236" customWidth="1"/>
    <col min="9931" max="9931" width="27.7265625" style="236" customWidth="1"/>
    <col min="9932" max="9946" width="11.453125" style="236" customWidth="1"/>
    <col min="9947" max="9984" width="9.1796875" style="236"/>
    <col min="9985" max="9985" width="50" style="236" customWidth="1"/>
    <col min="9986" max="9986" width="2.81640625" style="236" customWidth="1"/>
    <col min="9987" max="9987" width="27.7265625" style="236" customWidth="1"/>
    <col min="9988" max="10002" width="11.453125" style="236" customWidth="1"/>
    <col min="10003" max="10184" width="9.1796875" style="236"/>
    <col min="10185" max="10185" width="50" style="236" customWidth="1"/>
    <col min="10186" max="10186" width="2.81640625" style="236" customWidth="1"/>
    <col min="10187" max="10187" width="27.7265625" style="236" customWidth="1"/>
    <col min="10188" max="10202" width="11.453125" style="236" customWidth="1"/>
    <col min="10203" max="10240" width="9.1796875" style="236"/>
    <col min="10241" max="10241" width="50" style="236" customWidth="1"/>
    <col min="10242" max="10242" width="2.81640625" style="236" customWidth="1"/>
    <col min="10243" max="10243" width="27.7265625" style="236" customWidth="1"/>
    <col min="10244" max="10258" width="11.453125" style="236" customWidth="1"/>
    <col min="10259" max="10440" width="9.1796875" style="236"/>
    <col min="10441" max="10441" width="50" style="236" customWidth="1"/>
    <col min="10442" max="10442" width="2.81640625" style="236" customWidth="1"/>
    <col min="10443" max="10443" width="27.7265625" style="236" customWidth="1"/>
    <col min="10444" max="10458" width="11.453125" style="236" customWidth="1"/>
    <col min="10459" max="10496" width="9.1796875" style="236"/>
    <col min="10497" max="10497" width="50" style="236" customWidth="1"/>
    <col min="10498" max="10498" width="2.81640625" style="236" customWidth="1"/>
    <col min="10499" max="10499" width="27.7265625" style="236" customWidth="1"/>
    <col min="10500" max="10514" width="11.453125" style="236" customWidth="1"/>
    <col min="10515" max="10696" width="9.1796875" style="236"/>
    <col min="10697" max="10697" width="50" style="236" customWidth="1"/>
    <col min="10698" max="10698" width="2.81640625" style="236" customWidth="1"/>
    <col min="10699" max="10699" width="27.7265625" style="236" customWidth="1"/>
    <col min="10700" max="10714" width="11.453125" style="236" customWidth="1"/>
    <col min="10715" max="10752" width="9.1796875" style="236"/>
    <col min="10753" max="10753" width="50" style="236" customWidth="1"/>
    <col min="10754" max="10754" width="2.81640625" style="236" customWidth="1"/>
    <col min="10755" max="10755" width="27.7265625" style="236" customWidth="1"/>
    <col min="10756" max="10770" width="11.453125" style="236" customWidth="1"/>
    <col min="10771" max="10952" width="9.1796875" style="236"/>
    <col min="10953" max="10953" width="50" style="236" customWidth="1"/>
    <col min="10954" max="10954" width="2.81640625" style="236" customWidth="1"/>
    <col min="10955" max="10955" width="27.7265625" style="236" customWidth="1"/>
    <col min="10956" max="10970" width="11.453125" style="236" customWidth="1"/>
    <col min="10971" max="11008" width="9.1796875" style="236"/>
    <col min="11009" max="11009" width="50" style="236" customWidth="1"/>
    <col min="11010" max="11010" width="2.81640625" style="236" customWidth="1"/>
    <col min="11011" max="11011" width="27.7265625" style="236" customWidth="1"/>
    <col min="11012" max="11026" width="11.453125" style="236" customWidth="1"/>
    <col min="11027" max="11208" width="9.1796875" style="236"/>
    <col min="11209" max="11209" width="50" style="236" customWidth="1"/>
    <col min="11210" max="11210" width="2.81640625" style="236" customWidth="1"/>
    <col min="11211" max="11211" width="27.7265625" style="236" customWidth="1"/>
    <col min="11212" max="11226" width="11.453125" style="236" customWidth="1"/>
    <col min="11227" max="11264" width="9.1796875" style="236"/>
    <col min="11265" max="11265" width="50" style="236" customWidth="1"/>
    <col min="11266" max="11266" width="2.81640625" style="236" customWidth="1"/>
    <col min="11267" max="11267" width="27.7265625" style="236" customWidth="1"/>
    <col min="11268" max="11282" width="11.453125" style="236" customWidth="1"/>
    <col min="11283" max="11464" width="9.1796875" style="236"/>
    <col min="11465" max="11465" width="50" style="236" customWidth="1"/>
    <col min="11466" max="11466" width="2.81640625" style="236" customWidth="1"/>
    <col min="11467" max="11467" width="27.7265625" style="236" customWidth="1"/>
    <col min="11468" max="11482" width="11.453125" style="236" customWidth="1"/>
    <col min="11483" max="11520" width="9.1796875" style="236"/>
    <col min="11521" max="11521" width="50" style="236" customWidth="1"/>
    <col min="11522" max="11522" width="2.81640625" style="236" customWidth="1"/>
    <col min="11523" max="11523" width="27.7265625" style="236" customWidth="1"/>
    <col min="11524" max="11538" width="11.453125" style="236" customWidth="1"/>
    <col min="11539" max="11720" width="9.1796875" style="236"/>
    <col min="11721" max="11721" width="50" style="236" customWidth="1"/>
    <col min="11722" max="11722" width="2.81640625" style="236" customWidth="1"/>
    <col min="11723" max="11723" width="27.7265625" style="236" customWidth="1"/>
    <col min="11724" max="11738" width="11.453125" style="236" customWidth="1"/>
    <col min="11739" max="11776" width="9.1796875" style="236"/>
    <col min="11777" max="11777" width="50" style="236" customWidth="1"/>
    <col min="11778" max="11778" width="2.81640625" style="236" customWidth="1"/>
    <col min="11779" max="11779" width="27.7265625" style="236" customWidth="1"/>
    <col min="11780" max="11794" width="11.453125" style="236" customWidth="1"/>
    <col min="11795" max="11976" width="9.1796875" style="236"/>
    <col min="11977" max="11977" width="50" style="236" customWidth="1"/>
    <col min="11978" max="11978" width="2.81640625" style="236" customWidth="1"/>
    <col min="11979" max="11979" width="27.7265625" style="236" customWidth="1"/>
    <col min="11980" max="11994" width="11.453125" style="236" customWidth="1"/>
    <col min="11995" max="12032" width="9.1796875" style="236"/>
    <col min="12033" max="12033" width="50" style="236" customWidth="1"/>
    <col min="12034" max="12034" width="2.81640625" style="236" customWidth="1"/>
    <col min="12035" max="12035" width="27.7265625" style="236" customWidth="1"/>
    <col min="12036" max="12050" width="11.453125" style="236" customWidth="1"/>
    <col min="12051" max="12232" width="9.1796875" style="236"/>
    <col min="12233" max="12233" width="50" style="236" customWidth="1"/>
    <col min="12234" max="12234" width="2.81640625" style="236" customWidth="1"/>
    <col min="12235" max="12235" width="27.7265625" style="236" customWidth="1"/>
    <col min="12236" max="12250" width="11.453125" style="236" customWidth="1"/>
    <col min="12251" max="12288" width="9.1796875" style="236"/>
    <col min="12289" max="12289" width="50" style="236" customWidth="1"/>
    <col min="12290" max="12290" width="2.81640625" style="236" customWidth="1"/>
    <col min="12291" max="12291" width="27.7265625" style="236" customWidth="1"/>
    <col min="12292" max="12306" width="11.453125" style="236" customWidth="1"/>
    <col min="12307" max="12488" width="9.1796875" style="236"/>
    <col min="12489" max="12489" width="50" style="236" customWidth="1"/>
    <col min="12490" max="12490" width="2.81640625" style="236" customWidth="1"/>
    <col min="12491" max="12491" width="27.7265625" style="236" customWidth="1"/>
    <col min="12492" max="12506" width="11.453125" style="236" customWidth="1"/>
    <col min="12507" max="12544" width="9.1796875" style="236"/>
    <col min="12545" max="12545" width="50" style="236" customWidth="1"/>
    <col min="12546" max="12546" width="2.81640625" style="236" customWidth="1"/>
    <col min="12547" max="12547" width="27.7265625" style="236" customWidth="1"/>
    <col min="12548" max="12562" width="11.453125" style="236" customWidth="1"/>
    <col min="12563" max="12744" width="9.1796875" style="236"/>
    <col min="12745" max="12745" width="50" style="236" customWidth="1"/>
    <col min="12746" max="12746" width="2.81640625" style="236" customWidth="1"/>
    <col min="12747" max="12747" width="27.7265625" style="236" customWidth="1"/>
    <col min="12748" max="12762" width="11.453125" style="236" customWidth="1"/>
    <col min="12763" max="12800" width="9.1796875" style="236"/>
    <col min="12801" max="12801" width="50" style="236" customWidth="1"/>
    <col min="12802" max="12802" width="2.81640625" style="236" customWidth="1"/>
    <col min="12803" max="12803" width="27.7265625" style="236" customWidth="1"/>
    <col min="12804" max="12818" width="11.453125" style="236" customWidth="1"/>
    <col min="12819" max="13000" width="9.1796875" style="236"/>
    <col min="13001" max="13001" width="50" style="236" customWidth="1"/>
    <col min="13002" max="13002" width="2.81640625" style="236" customWidth="1"/>
    <col min="13003" max="13003" width="27.7265625" style="236" customWidth="1"/>
    <col min="13004" max="13018" width="11.453125" style="236" customWidth="1"/>
    <col min="13019" max="13056" width="9.1796875" style="236"/>
    <col min="13057" max="13057" width="50" style="236" customWidth="1"/>
    <col min="13058" max="13058" width="2.81640625" style="236" customWidth="1"/>
    <col min="13059" max="13059" width="27.7265625" style="236" customWidth="1"/>
    <col min="13060" max="13074" width="11.453125" style="236" customWidth="1"/>
    <col min="13075" max="13256" width="9.1796875" style="236"/>
    <col min="13257" max="13257" width="50" style="236" customWidth="1"/>
    <col min="13258" max="13258" width="2.81640625" style="236" customWidth="1"/>
    <col min="13259" max="13259" width="27.7265625" style="236" customWidth="1"/>
    <col min="13260" max="13274" width="11.453125" style="236" customWidth="1"/>
    <col min="13275" max="13312" width="9.1796875" style="236"/>
    <col min="13313" max="13313" width="50" style="236" customWidth="1"/>
    <col min="13314" max="13314" width="2.81640625" style="236" customWidth="1"/>
    <col min="13315" max="13315" width="27.7265625" style="236" customWidth="1"/>
    <col min="13316" max="13330" width="11.453125" style="236" customWidth="1"/>
    <col min="13331" max="13512" width="9.1796875" style="236"/>
    <col min="13513" max="13513" width="50" style="236" customWidth="1"/>
    <col min="13514" max="13514" width="2.81640625" style="236" customWidth="1"/>
    <col min="13515" max="13515" width="27.7265625" style="236" customWidth="1"/>
    <col min="13516" max="13530" width="11.453125" style="236" customWidth="1"/>
    <col min="13531" max="13568" width="9.1796875" style="236"/>
    <col min="13569" max="13569" width="50" style="236" customWidth="1"/>
    <col min="13570" max="13570" width="2.81640625" style="236" customWidth="1"/>
    <col min="13571" max="13571" width="27.7265625" style="236" customWidth="1"/>
    <col min="13572" max="13586" width="11.453125" style="236" customWidth="1"/>
    <col min="13587" max="13768" width="9.1796875" style="236"/>
    <col min="13769" max="13769" width="50" style="236" customWidth="1"/>
    <col min="13770" max="13770" width="2.81640625" style="236" customWidth="1"/>
    <col min="13771" max="13771" width="27.7265625" style="236" customWidth="1"/>
    <col min="13772" max="13786" width="11.453125" style="236" customWidth="1"/>
    <col min="13787" max="13824" width="9.1796875" style="236"/>
    <col min="13825" max="13825" width="50" style="236" customWidth="1"/>
    <col min="13826" max="13826" width="2.81640625" style="236" customWidth="1"/>
    <col min="13827" max="13827" width="27.7265625" style="236" customWidth="1"/>
    <col min="13828" max="13842" width="11.453125" style="236" customWidth="1"/>
    <col min="13843" max="14024" width="9.1796875" style="236"/>
    <col min="14025" max="14025" width="50" style="236" customWidth="1"/>
    <col min="14026" max="14026" width="2.81640625" style="236" customWidth="1"/>
    <col min="14027" max="14027" width="27.7265625" style="236" customWidth="1"/>
    <col min="14028" max="14042" width="11.453125" style="236" customWidth="1"/>
    <col min="14043" max="14080" width="9.1796875" style="236"/>
    <col min="14081" max="14081" width="50" style="236" customWidth="1"/>
    <col min="14082" max="14082" width="2.81640625" style="236" customWidth="1"/>
    <col min="14083" max="14083" width="27.7265625" style="236" customWidth="1"/>
    <col min="14084" max="14098" width="11.453125" style="236" customWidth="1"/>
    <col min="14099" max="14280" width="9.1796875" style="236"/>
    <col min="14281" max="14281" width="50" style="236" customWidth="1"/>
    <col min="14282" max="14282" width="2.81640625" style="236" customWidth="1"/>
    <col min="14283" max="14283" width="27.7265625" style="236" customWidth="1"/>
    <col min="14284" max="14298" width="11.453125" style="236" customWidth="1"/>
    <col min="14299" max="14336" width="9.1796875" style="236"/>
    <col min="14337" max="14337" width="50" style="236" customWidth="1"/>
    <col min="14338" max="14338" width="2.81640625" style="236" customWidth="1"/>
    <col min="14339" max="14339" width="27.7265625" style="236" customWidth="1"/>
    <col min="14340" max="14354" width="11.453125" style="236" customWidth="1"/>
    <col min="14355" max="14536" width="9.1796875" style="236"/>
    <col min="14537" max="14537" width="50" style="236" customWidth="1"/>
    <col min="14538" max="14538" width="2.81640625" style="236" customWidth="1"/>
    <col min="14539" max="14539" width="27.7265625" style="236" customWidth="1"/>
    <col min="14540" max="14554" width="11.453125" style="236" customWidth="1"/>
    <col min="14555" max="14592" width="9.1796875" style="236"/>
    <col min="14593" max="14593" width="50" style="236" customWidth="1"/>
    <col min="14594" max="14594" width="2.81640625" style="236" customWidth="1"/>
    <col min="14595" max="14595" width="27.7265625" style="236" customWidth="1"/>
    <col min="14596" max="14610" width="11.453125" style="236" customWidth="1"/>
    <col min="14611" max="14792" width="9.1796875" style="236"/>
    <col min="14793" max="14793" width="50" style="236" customWidth="1"/>
    <col min="14794" max="14794" width="2.81640625" style="236" customWidth="1"/>
    <col min="14795" max="14795" width="27.7265625" style="236" customWidth="1"/>
    <col min="14796" max="14810" width="11.453125" style="236" customWidth="1"/>
    <col min="14811" max="14848" width="9.1796875" style="236"/>
    <col min="14849" max="14849" width="50" style="236" customWidth="1"/>
    <col min="14850" max="14850" width="2.81640625" style="236" customWidth="1"/>
    <col min="14851" max="14851" width="27.7265625" style="236" customWidth="1"/>
    <col min="14852" max="14866" width="11.453125" style="236" customWidth="1"/>
    <col min="14867" max="15048" width="9.1796875" style="236"/>
    <col min="15049" max="15049" width="50" style="236" customWidth="1"/>
    <col min="15050" max="15050" width="2.81640625" style="236" customWidth="1"/>
    <col min="15051" max="15051" width="27.7265625" style="236" customWidth="1"/>
    <col min="15052" max="15066" width="11.453125" style="236" customWidth="1"/>
    <col min="15067" max="15104" width="9.1796875" style="236"/>
    <col min="15105" max="15105" width="50" style="236" customWidth="1"/>
    <col min="15106" max="15106" width="2.81640625" style="236" customWidth="1"/>
    <col min="15107" max="15107" width="27.7265625" style="236" customWidth="1"/>
    <col min="15108" max="15122" width="11.453125" style="236" customWidth="1"/>
    <col min="15123" max="15304" width="9.1796875" style="236"/>
    <col min="15305" max="15305" width="50" style="236" customWidth="1"/>
    <col min="15306" max="15306" width="2.81640625" style="236" customWidth="1"/>
    <col min="15307" max="15307" width="27.7265625" style="236" customWidth="1"/>
    <col min="15308" max="15322" width="11.453125" style="236" customWidth="1"/>
    <col min="15323" max="15360" width="9.1796875" style="236"/>
    <col min="15361" max="15361" width="50" style="236" customWidth="1"/>
    <col min="15362" max="15362" width="2.81640625" style="236" customWidth="1"/>
    <col min="15363" max="15363" width="27.7265625" style="236" customWidth="1"/>
    <col min="15364" max="15378" width="11.453125" style="236" customWidth="1"/>
    <col min="15379" max="15560" width="9.1796875" style="236"/>
    <col min="15561" max="15561" width="50" style="236" customWidth="1"/>
    <col min="15562" max="15562" width="2.81640625" style="236" customWidth="1"/>
    <col min="15563" max="15563" width="27.7265625" style="236" customWidth="1"/>
    <col min="15564" max="15578" width="11.453125" style="236" customWidth="1"/>
    <col min="15579" max="15616" width="9.1796875" style="236"/>
    <col min="15617" max="15617" width="50" style="236" customWidth="1"/>
    <col min="15618" max="15618" width="2.81640625" style="236" customWidth="1"/>
    <col min="15619" max="15619" width="27.7265625" style="236" customWidth="1"/>
    <col min="15620" max="15634" width="11.453125" style="236" customWidth="1"/>
    <col min="15635" max="15816" width="9.1796875" style="236"/>
    <col min="15817" max="15817" width="50" style="236" customWidth="1"/>
    <col min="15818" max="15818" width="2.81640625" style="236" customWidth="1"/>
    <col min="15819" max="15819" width="27.7265625" style="236" customWidth="1"/>
    <col min="15820" max="15834" width="11.453125" style="236" customWidth="1"/>
    <col min="15835" max="15872" width="9.1796875" style="236"/>
    <col min="15873" max="15873" width="50" style="236" customWidth="1"/>
    <col min="15874" max="15874" width="2.81640625" style="236" customWidth="1"/>
    <col min="15875" max="15875" width="27.7265625" style="236" customWidth="1"/>
    <col min="15876" max="15890" width="11.453125" style="236" customWidth="1"/>
    <col min="15891" max="16072" width="9.1796875" style="236"/>
    <col min="16073" max="16073" width="50" style="236" customWidth="1"/>
    <col min="16074" max="16074" width="2.81640625" style="236" customWidth="1"/>
    <col min="16075" max="16075" width="27.7265625" style="236" customWidth="1"/>
    <col min="16076" max="16090" width="11.453125" style="236" customWidth="1"/>
    <col min="16091" max="16128" width="9.1796875" style="236"/>
    <col min="16129" max="16129" width="50" style="236" customWidth="1"/>
    <col min="16130" max="16130" width="2.81640625" style="236" customWidth="1"/>
    <col min="16131" max="16131" width="27.7265625" style="236" customWidth="1"/>
    <col min="16132" max="16146" width="11.453125" style="236" customWidth="1"/>
    <col min="16147" max="16328" width="9.1796875" style="236"/>
    <col min="16329" max="16329" width="50" style="236" customWidth="1"/>
    <col min="16330" max="16330" width="2.81640625" style="236" customWidth="1"/>
    <col min="16331" max="16331" width="27.7265625" style="236" customWidth="1"/>
    <col min="16332" max="16346" width="11.453125" style="236" customWidth="1"/>
    <col min="16347" max="16384" width="9.1796875" style="236"/>
  </cols>
  <sheetData>
    <row r="1" spans="1:20">
      <c r="A1" s="232"/>
      <c r="C1" s="234"/>
      <c r="D1" s="235"/>
      <c r="E1" s="235"/>
      <c r="F1" s="235"/>
      <c r="G1" s="235"/>
      <c r="H1" s="235"/>
      <c r="I1" s="235"/>
      <c r="J1" s="235"/>
      <c r="K1" s="235"/>
      <c r="L1" s="235"/>
      <c r="M1" s="235"/>
      <c r="N1" s="663"/>
      <c r="O1" s="663"/>
    </row>
    <row r="2" spans="1:20" ht="15.5">
      <c r="A2" s="237" t="s">
        <v>152</v>
      </c>
      <c r="C2" s="238" t="s">
        <v>153</v>
      </c>
      <c r="D2" s="239"/>
      <c r="E2" s="239"/>
      <c r="F2" s="239"/>
      <c r="G2" s="239"/>
      <c r="H2" s="239"/>
      <c r="I2" s="239"/>
      <c r="J2" s="239"/>
      <c r="K2" s="239"/>
      <c r="L2" s="239"/>
      <c r="M2" s="239"/>
      <c r="N2" s="239"/>
      <c r="O2" s="239"/>
      <c r="P2" s="239"/>
      <c r="Q2" s="239"/>
      <c r="R2" s="239"/>
    </row>
    <row r="3" spans="1:20">
      <c r="A3" s="662" t="s">
        <v>154</v>
      </c>
      <c r="B3" s="240"/>
    </row>
    <row r="4" spans="1:20" ht="15" customHeight="1">
      <c r="A4" s="662"/>
      <c r="B4" s="240"/>
    </row>
    <row r="5" spans="1:20">
      <c r="A5" s="242" t="s">
        <v>155</v>
      </c>
      <c r="B5" s="243"/>
    </row>
    <row r="6" spans="1:20">
      <c r="A6" s="242" t="s">
        <v>156</v>
      </c>
      <c r="C6" s="244" t="s">
        <v>85</v>
      </c>
      <c r="D6" s="245" t="str">
        <f>'cover&amp;variance'!C3</f>
        <v>SKIN</v>
      </c>
    </row>
    <row r="7" spans="1:20" ht="14.25" customHeight="1">
      <c r="A7" s="662" t="s">
        <v>157</v>
      </c>
    </row>
    <row r="8" spans="1:20" ht="14.25" customHeight="1">
      <c r="A8" s="664"/>
      <c r="C8" s="246" t="s">
        <v>158</v>
      </c>
      <c r="D8" s="235"/>
      <c r="E8" s="235"/>
      <c r="F8" s="235"/>
      <c r="G8" s="235"/>
      <c r="H8" s="235"/>
      <c r="I8" s="235"/>
      <c r="J8" s="235"/>
      <c r="K8" s="235"/>
      <c r="L8" s="235"/>
      <c r="M8" s="235"/>
    </row>
    <row r="9" spans="1:20" ht="14.25" customHeight="1">
      <c r="A9" s="662" t="s">
        <v>159</v>
      </c>
      <c r="C9" s="234" t="s">
        <v>129</v>
      </c>
      <c r="D9" s="247" t="s">
        <v>585</v>
      </c>
      <c r="E9" s="247" t="s">
        <v>586</v>
      </c>
      <c r="F9" s="247" t="s">
        <v>587</v>
      </c>
      <c r="G9" s="247" t="s">
        <v>588</v>
      </c>
      <c r="H9" s="247" t="s">
        <v>184</v>
      </c>
      <c r="I9" s="247" t="s">
        <v>185</v>
      </c>
      <c r="J9" s="247" t="s">
        <v>186</v>
      </c>
      <c r="K9" s="247" t="s">
        <v>187</v>
      </c>
      <c r="L9" s="247" t="s">
        <v>188</v>
      </c>
      <c r="M9" s="247" t="s">
        <v>189</v>
      </c>
      <c r="N9" s="247" t="s">
        <v>190</v>
      </c>
      <c r="O9" s="247" t="s">
        <v>191</v>
      </c>
      <c r="P9" s="247" t="s">
        <v>284</v>
      </c>
      <c r="Q9" s="247" t="s">
        <v>285</v>
      </c>
      <c r="R9" s="247" t="s">
        <v>286</v>
      </c>
      <c r="S9" s="247" t="s">
        <v>287</v>
      </c>
      <c r="T9" s="247" t="s">
        <v>288</v>
      </c>
    </row>
    <row r="10" spans="1:20" ht="14.25" customHeight="1">
      <c r="A10" s="662"/>
      <c r="C10" s="234" t="s">
        <v>0</v>
      </c>
      <c r="D10" s="248" t="s">
        <v>182</v>
      </c>
      <c r="E10" s="248" t="s">
        <v>183</v>
      </c>
      <c r="F10" s="248" t="s">
        <v>182</v>
      </c>
      <c r="G10" s="248" t="s">
        <v>182</v>
      </c>
      <c r="H10" s="248" t="s">
        <v>182</v>
      </c>
      <c r="I10" s="248" t="s">
        <v>182</v>
      </c>
      <c r="J10" s="249" t="s">
        <v>183</v>
      </c>
      <c r="K10" s="248" t="s">
        <v>182</v>
      </c>
      <c r="L10" s="248" t="s">
        <v>182</v>
      </c>
      <c r="M10" s="248" t="s">
        <v>182</v>
      </c>
      <c r="N10" s="248" t="s">
        <v>182</v>
      </c>
      <c r="O10" s="249" t="s">
        <v>183</v>
      </c>
      <c r="P10" s="248" t="s">
        <v>182</v>
      </c>
      <c r="Q10" s="248" t="s">
        <v>182</v>
      </c>
      <c r="R10" s="248" t="s">
        <v>182</v>
      </c>
      <c r="S10" s="248" t="s">
        <v>182</v>
      </c>
      <c r="T10" s="249" t="s">
        <v>183</v>
      </c>
    </row>
    <row r="11" spans="1:20">
      <c r="A11" s="250"/>
      <c r="C11" s="234"/>
      <c r="D11" s="235"/>
      <c r="E11" s="235"/>
      <c r="F11" s="235"/>
      <c r="G11" s="235"/>
      <c r="H11" s="235"/>
      <c r="I11" s="235"/>
      <c r="J11" s="235"/>
      <c r="K11" s="235"/>
      <c r="L11" s="235"/>
      <c r="M11" s="235"/>
    </row>
    <row r="12" spans="1:20">
      <c r="A12" s="251" t="s">
        <v>160</v>
      </c>
      <c r="B12" s="236"/>
      <c r="C12" s="246" t="s">
        <v>161</v>
      </c>
      <c r="D12" s="252"/>
      <c r="E12" s="252"/>
      <c r="F12" s="252"/>
      <c r="G12" s="252"/>
      <c r="H12" s="252"/>
      <c r="I12" s="252"/>
      <c r="J12" s="252"/>
      <c r="K12" s="252"/>
      <c r="L12" s="252"/>
      <c r="M12" s="252"/>
      <c r="N12" s="252"/>
      <c r="O12" s="252"/>
      <c r="P12" s="252"/>
      <c r="Q12" s="252"/>
      <c r="R12" s="252"/>
      <c r="S12" s="252"/>
      <c r="T12" s="252"/>
    </row>
    <row r="13" spans="1:20">
      <c r="A13" s="251" t="s">
        <v>162</v>
      </c>
      <c r="C13" s="241" t="s">
        <v>534</v>
      </c>
      <c r="D13" s="275">
        <f>tower!AC42</f>
        <v>7.5224791550861587</v>
      </c>
      <c r="E13" s="275">
        <f>tower!AD42</f>
        <v>151.86547915508618</v>
      </c>
      <c r="F13" s="275">
        <f>tower!AE42</f>
        <v>8.0128973105134467</v>
      </c>
      <c r="G13" s="275">
        <f>tower!AF42</f>
        <v>9.039765592298032</v>
      </c>
      <c r="H13" s="275">
        <f>tower!AG42</f>
        <v>13.120359955005624</v>
      </c>
      <c r="I13" s="275">
        <f>tower!AH42</f>
        <v>15.008850410227904</v>
      </c>
      <c r="J13" s="275">
        <f>tower!AI42</f>
        <v>45.18187326804501</v>
      </c>
      <c r="K13" s="275">
        <f>tower!AJ42</f>
        <v>17.856795075794622</v>
      </c>
      <c r="L13" s="275">
        <f>tower!AK42</f>
        <v>19.877359765592299</v>
      </c>
      <c r="M13" s="275">
        <f>tower!AL42</f>
        <v>24.485740562429697</v>
      </c>
      <c r="N13" s="275">
        <f>tower!AM42</f>
        <v>22.513275615341854</v>
      </c>
      <c r="O13" s="275">
        <f>tower!AN42</f>
        <v>84.733171019158476</v>
      </c>
      <c r="P13" s="275">
        <f>tower!AO42</f>
        <v>23.213833598533011</v>
      </c>
      <c r="Q13" s="275">
        <f>tower!AP42</f>
        <v>22.858963730431139</v>
      </c>
      <c r="R13" s="275">
        <f>tower!AQ42</f>
        <v>25.220312779302585</v>
      </c>
      <c r="S13" s="275">
        <f>tower!AR42</f>
        <v>30.167789324558086</v>
      </c>
      <c r="T13" s="275">
        <f>tower!AS42</f>
        <v>101.46089943282482</v>
      </c>
    </row>
    <row r="14" spans="1:20">
      <c r="C14" s="241" t="s">
        <v>590</v>
      </c>
      <c r="D14" s="275">
        <f>tower!AC40</f>
        <v>25074.930516953864</v>
      </c>
      <c r="E14" s="275">
        <f>tower!AD40</f>
        <v>24883.742283317417</v>
      </c>
      <c r="F14" s="275">
        <f>tower!AE40</f>
        <v>26709.657701711491</v>
      </c>
      <c r="G14" s="275">
        <f>tower!AF40</f>
        <v>22599.413980745081</v>
      </c>
      <c r="H14" s="275">
        <f>tower!AG40</f>
        <v>26240.719910011248</v>
      </c>
      <c r="I14" s="275">
        <f>tower!AH40</f>
        <v>25074.930516953864</v>
      </c>
      <c r="J14" s="275">
        <f>tower!AI40</f>
        <v>25121.137614561099</v>
      </c>
      <c r="K14" s="275">
        <f>tower!AJ40</f>
        <v>26709.657701711491</v>
      </c>
      <c r="L14" s="275">
        <f>tower!AK40</f>
        <v>22599.413980745081</v>
      </c>
      <c r="M14" s="275">
        <f>tower!AL40</f>
        <v>26240.719910011248</v>
      </c>
      <c r="N14" s="275">
        <f>tower!AM40</f>
        <v>25074.930516953864</v>
      </c>
      <c r="O14" s="275">
        <f>tower!AN40</f>
        <v>25075.929612211687</v>
      </c>
      <c r="P14" s="275">
        <f>tower!AO40</f>
        <v>26709.657701711491</v>
      </c>
      <c r="Q14" s="275">
        <f>tower!AP40</f>
        <v>22599.413980745081</v>
      </c>
      <c r="R14" s="275">
        <f>tower!AQ40</f>
        <v>26240.719910011248</v>
      </c>
      <c r="S14" s="275">
        <f>tower!AR40</f>
        <v>25074.930516953864</v>
      </c>
      <c r="T14" s="275">
        <f>tower!AS40</f>
        <v>25084.146957884328</v>
      </c>
    </row>
    <row r="15" spans="1:20">
      <c r="C15" s="241" t="s">
        <v>589</v>
      </c>
      <c r="D15" s="275">
        <f>tower!AC59</f>
        <v>25378.449999999997</v>
      </c>
      <c r="E15" s="275">
        <f>tower!AD59</f>
        <v>23262.827891914494</v>
      </c>
      <c r="F15" s="275">
        <f>tower!AE59</f>
        <v>27103.449999999997</v>
      </c>
      <c r="G15" s="275">
        <f>tower!AF59</f>
        <v>28878.449999999997</v>
      </c>
      <c r="H15" s="275">
        <f>tower!AG59</f>
        <v>30153.449999999997</v>
      </c>
      <c r="I15" s="275">
        <f>tower!AH59</f>
        <v>30812.237199999996</v>
      </c>
      <c r="J15" s="275">
        <f>tower!AI59</f>
        <v>28674.737199999996</v>
      </c>
      <c r="K15" s="275">
        <f>tower!AJ59</f>
        <v>31439.457640000001</v>
      </c>
      <c r="L15" s="275">
        <f>tower!AK59</f>
        <v>32205.769119999997</v>
      </c>
      <c r="M15" s="275">
        <f>tower!AL59</f>
        <v>33103.04176</v>
      </c>
      <c r="N15" s="275">
        <f>tower!AM59</f>
        <v>34009.366959999999</v>
      </c>
      <c r="O15" s="275">
        <f>tower!AN59</f>
        <v>32781.161079999998</v>
      </c>
      <c r="P15" s="275">
        <f>tower!AO59</f>
        <v>34884.010971999989</v>
      </c>
      <c r="Q15" s="275">
        <f>tower!AP59</f>
        <v>35814.909159999996</v>
      </c>
      <c r="R15" s="275">
        <f>tower!AQ59</f>
        <v>36791.345367999995</v>
      </c>
      <c r="S15" s="275">
        <f>tower!AR59</f>
        <v>37862.633871999991</v>
      </c>
      <c r="T15" s="275">
        <f>tower!AS59</f>
        <v>36455.98445199999</v>
      </c>
    </row>
    <row r="16" spans="1:20">
      <c r="C16" s="241" t="s">
        <v>535</v>
      </c>
      <c r="D16" s="275">
        <f>tower!AC23</f>
        <v>7.5224791550861587</v>
      </c>
      <c r="E16" s="275">
        <f>tower!AD23</f>
        <v>169.46547915508617</v>
      </c>
      <c r="F16" s="275">
        <f>tower!AE23</f>
        <v>8.0128973105134467</v>
      </c>
      <c r="G16" s="275">
        <f>tower!AF23</f>
        <v>9.039765592298032</v>
      </c>
      <c r="H16" s="275">
        <f>tower!AG23</f>
        <v>13.120359955005624</v>
      </c>
      <c r="I16" s="275">
        <f>tower!AH23</f>
        <v>16.534647910227903</v>
      </c>
      <c r="J16" s="275">
        <f>tower!AI23</f>
        <v>46.707670768045006</v>
      </c>
      <c r="K16" s="275">
        <f>tower!AJ23</f>
        <v>19.567763917794622</v>
      </c>
      <c r="L16" s="275">
        <f>tower!AK23</f>
        <v>21.624731263992299</v>
      </c>
      <c r="M16" s="275">
        <f>tower!AL23</f>
        <v>26.281003667229697</v>
      </c>
      <c r="N16" s="275">
        <f>tower!AM23</f>
        <v>24.359347104141854</v>
      </c>
      <c r="O16" s="275">
        <f>tower!AN23</f>
        <v>91.832845953158483</v>
      </c>
      <c r="P16" s="275">
        <f>tower!AO23</f>
        <v>25.28106146413301</v>
      </c>
      <c r="Q16" s="275">
        <f>tower!AP23</f>
        <v>24.977817181471138</v>
      </c>
      <c r="R16" s="275">
        <f>tower!AQ23</f>
        <v>27.399248427462584</v>
      </c>
      <c r="S16" s="275">
        <f>tower!AR23</f>
        <v>32.403815120558086</v>
      </c>
      <c r="T16" s="275">
        <f>tower!AS23</f>
        <v>110.06194219362482</v>
      </c>
    </row>
    <row r="17" spans="3:20">
      <c r="C17" s="241" t="s">
        <v>536</v>
      </c>
      <c r="D17" s="275">
        <f>tower!AC103</f>
        <v>38.048000000000002</v>
      </c>
      <c r="E17" s="275">
        <f>tower!AD103</f>
        <v>177.24799999999999</v>
      </c>
      <c r="F17" s="275">
        <f>tower!AE103</f>
        <v>35.765120000000003</v>
      </c>
      <c r="G17" s="275">
        <f>tower!AF103</f>
        <v>35.765120000000003</v>
      </c>
      <c r="H17" s="275">
        <f>tower!AG103</f>
        <v>54.216299021657328</v>
      </c>
      <c r="I17" s="275">
        <f>tower!AH103</f>
        <v>62.479774584807295</v>
      </c>
      <c r="J17" s="275">
        <f>tower!AI103</f>
        <v>188.22631360646463</v>
      </c>
      <c r="K17" s="275">
        <f>tower!AJ103</f>
        <v>57.904579042385443</v>
      </c>
      <c r="L17" s="275">
        <f>tower!AK103</f>
        <v>73.179581596386484</v>
      </c>
      <c r="M17" s="275">
        <f>tower!AL103</f>
        <v>65.471674108442883</v>
      </c>
      <c r="N17" s="275">
        <f>tower!AM103</f>
        <v>75.859059645823848</v>
      </c>
      <c r="O17" s="275">
        <f>tower!AN103</f>
        <v>272.41489439303865</v>
      </c>
      <c r="P17" s="275">
        <f>tower!AO103</f>
        <v>65.533663896133504</v>
      </c>
      <c r="Q17" s="275">
        <f>tower!AP103</f>
        <v>83.008061649614703</v>
      </c>
      <c r="R17" s="275">
        <f>tower!AQ103</f>
        <v>74.221783340545883</v>
      </c>
      <c r="S17" s="275">
        <f>tower!AR103</f>
        <v>86.142981747194469</v>
      </c>
      <c r="T17" s="275">
        <f>tower!AS103</f>
        <v>308.90649063348854</v>
      </c>
    </row>
    <row r="18" spans="3:20">
      <c r="C18" s="241" t="s">
        <v>537</v>
      </c>
      <c r="D18" s="275">
        <f>D16+D17</f>
        <v>45.570479155086161</v>
      </c>
      <c r="E18" s="275">
        <f t="shared" ref="E18:T18" si="0">E16+E17</f>
        <v>346.71347915508613</v>
      </c>
      <c r="F18" s="275">
        <f t="shared" si="0"/>
        <v>43.778017310513448</v>
      </c>
      <c r="G18" s="275">
        <f t="shared" si="0"/>
        <v>44.804885592298035</v>
      </c>
      <c r="H18" s="275">
        <f t="shared" si="0"/>
        <v>67.336658976662946</v>
      </c>
      <c r="I18" s="275">
        <f t="shared" si="0"/>
        <v>79.014422495035205</v>
      </c>
      <c r="J18" s="275">
        <f t="shared" si="0"/>
        <v>234.93398437450963</v>
      </c>
      <c r="K18" s="275">
        <f t="shared" si="0"/>
        <v>77.472342960180072</v>
      </c>
      <c r="L18" s="275">
        <f t="shared" si="0"/>
        <v>94.804312860378786</v>
      </c>
      <c r="M18" s="275">
        <f t="shared" si="0"/>
        <v>91.752677775672581</v>
      </c>
      <c r="N18" s="275">
        <f t="shared" si="0"/>
        <v>100.21840674996571</v>
      </c>
      <c r="O18" s="275">
        <f t="shared" si="0"/>
        <v>364.24774034619713</v>
      </c>
      <c r="P18" s="275">
        <f t="shared" si="0"/>
        <v>90.814725360266522</v>
      </c>
      <c r="Q18" s="275">
        <f t="shared" si="0"/>
        <v>107.98587883108584</v>
      </c>
      <c r="R18" s="275">
        <f t="shared" si="0"/>
        <v>101.62103176800846</v>
      </c>
      <c r="S18" s="275">
        <f t="shared" si="0"/>
        <v>118.54679686775256</v>
      </c>
      <c r="T18" s="275">
        <f t="shared" si="0"/>
        <v>418.96843282711336</v>
      </c>
    </row>
    <row r="19" spans="3:20">
      <c r="C19" s="241" t="s">
        <v>538</v>
      </c>
      <c r="D19" s="627">
        <f>tower!AC165</f>
        <v>0.76698529708460805</v>
      </c>
      <c r="E19" s="627">
        <f>tower!AD165</f>
        <v>0.68701594202083227</v>
      </c>
      <c r="F19" s="627">
        <f>tower!AE165</f>
        <v>0.7633930552236815</v>
      </c>
      <c r="G19" s="627">
        <f>tower!AF165</f>
        <v>0.75964830409542683</v>
      </c>
      <c r="H19" s="627">
        <f>tower!AG165</f>
        <v>0.76103055852666301</v>
      </c>
      <c r="I19" s="627">
        <f>tower!AH165</f>
        <v>0.75235466243796023</v>
      </c>
      <c r="J19" s="627">
        <f>tower!AI165</f>
        <v>0.75828924695718825</v>
      </c>
      <c r="K19" s="627">
        <f>tower!AJ165</f>
        <v>0.74285904792586066</v>
      </c>
      <c r="L19" s="627">
        <f>tower!AK165</f>
        <v>0.74885087443795972</v>
      </c>
      <c r="M19" s="627">
        <f>tower!AL165</f>
        <v>0.73684348178857872</v>
      </c>
      <c r="N19" s="627">
        <f>tower!AM165</f>
        <v>0.74586133382658049</v>
      </c>
      <c r="O19" s="627">
        <f>tower!AN165</f>
        <v>0.74372931002577813</v>
      </c>
      <c r="P19" s="627">
        <f>tower!AO165</f>
        <v>0.73749493124613741</v>
      </c>
      <c r="Q19" s="627">
        <f>tower!AP165</f>
        <v>0.74785226056811804</v>
      </c>
      <c r="R19" s="627">
        <f>tower!AQ165</f>
        <v>0.73964310071223438</v>
      </c>
      <c r="S19" s="627">
        <f>tower!AR165</f>
        <v>0.73967301562023879</v>
      </c>
      <c r="T19" s="627">
        <f>tower!AS165</f>
        <v>0.74130177994313684</v>
      </c>
    </row>
    <row r="20" spans="3:20">
      <c r="C20" s="241" t="s">
        <v>64</v>
      </c>
      <c r="D20" s="275">
        <f>tower!AC248</f>
        <v>9.261613571752477</v>
      </c>
      <c r="E20" s="275">
        <f>tower!AD248</f>
        <v>35.661613571752476</v>
      </c>
      <c r="F20" s="275">
        <f>tower!AE248</f>
        <v>0.11896855514753413</v>
      </c>
      <c r="G20" s="275">
        <f>tower!AF248</f>
        <v>-1.2516072000643423</v>
      </c>
      <c r="H20" s="275">
        <f>tower!AG248</f>
        <v>11.821896549126311</v>
      </c>
      <c r="I20" s="275">
        <f>tower!AH248</f>
        <v>26.552521338350012</v>
      </c>
      <c r="J20" s="275">
        <f>tower!AI248</f>
        <v>37.241779242559517</v>
      </c>
      <c r="K20" s="275">
        <f>tower!AJ248</f>
        <v>13.88974721686778</v>
      </c>
      <c r="L20" s="275">
        <f>tower!AK248</f>
        <v>24.240700037895298</v>
      </c>
      <c r="M20" s="275">
        <f>tower!AL248</f>
        <v>22.889162933310274</v>
      </c>
      <c r="N20" s="275">
        <f>tower!AM248</f>
        <v>36.534438144388616</v>
      </c>
      <c r="O20" s="275">
        <f>tower!AN248</f>
        <v>97.554048332461974</v>
      </c>
      <c r="P20" s="275">
        <f>tower!AO248</f>
        <v>19.784667738558216</v>
      </c>
      <c r="Q20" s="275">
        <f>tower!AP248</f>
        <v>31.952546044694291</v>
      </c>
      <c r="R20" s="275">
        <f>tower!AQ248</f>
        <v>29.470147978205443</v>
      </c>
      <c r="S20" s="275">
        <f>tower!AR248</f>
        <v>47.534662620026779</v>
      </c>
      <c r="T20" s="275">
        <f>tower!AS248</f>
        <v>128.74202438148473</v>
      </c>
    </row>
    <row r="21" spans="3:20">
      <c r="D21" s="291"/>
      <c r="E21" s="291"/>
      <c r="F21" s="291"/>
      <c r="G21" s="291"/>
      <c r="H21" s="291"/>
      <c r="I21" s="291"/>
      <c r="J21" s="291"/>
      <c r="K21" s="291"/>
      <c r="L21" s="291"/>
      <c r="M21" s="291"/>
      <c r="N21" s="291"/>
      <c r="O21" s="291"/>
      <c r="P21" s="291"/>
    </row>
    <row r="22" spans="3:20">
      <c r="D22" s="275"/>
      <c r="E22" s="275"/>
      <c r="F22" s="275"/>
      <c r="G22" s="275"/>
      <c r="H22" s="275"/>
      <c r="I22" s="275"/>
      <c r="J22" s="275"/>
      <c r="K22" s="275"/>
      <c r="L22" s="275"/>
      <c r="M22" s="275"/>
      <c r="N22" s="275"/>
      <c r="O22" s="275"/>
      <c r="P22" s="275"/>
    </row>
    <row r="23" spans="3:20">
      <c r="D23" s="291"/>
      <c r="E23" s="291"/>
      <c r="F23" s="291"/>
      <c r="G23" s="291"/>
      <c r="H23" s="291"/>
      <c r="I23" s="291"/>
      <c r="J23" s="291"/>
      <c r="K23" s="291"/>
      <c r="L23" s="291"/>
      <c r="M23" s="291"/>
      <c r="N23" s="291"/>
      <c r="O23" s="291"/>
      <c r="P23" s="291"/>
    </row>
  </sheetData>
  <mergeCells count="4">
    <mergeCell ref="N1:O1"/>
    <mergeCell ref="A3:A4"/>
    <mergeCell ref="A7:A8"/>
    <mergeCell ref="A9:A10"/>
  </mergeCells>
  <dataValidations count="9">
    <dataValidation type="list" errorStyle="information" showInputMessage="1" showErrorMessage="1" sqref="XDD1041016:XDR1041016 IZ10:JN10 SV10:TJ10 ACR10:ADF10 AMN10:ANB10 AWJ10:AWX10 BGF10:BGT10 BQB10:BQP10 BZX10:CAL10 CJT10:CKH10 CTP10:CUD10 DDL10:DDZ10 DNH10:DNV10 DXD10:DXR10 EGZ10:EHN10 EQV10:ERJ10 FAR10:FBF10 FKN10:FLB10 FUJ10:FUX10 GEF10:GET10 GOB10:GOP10 GXX10:GYL10 HHT10:HIH10 HRP10:HSD10 IBL10:IBZ10 ILH10:ILV10 IVD10:IVR10 JEZ10:JFN10 JOV10:JPJ10 JYR10:JZF10 KIN10:KJB10 KSJ10:KSX10 LCF10:LCT10 LMB10:LMP10 LVX10:LWL10 MFT10:MGH10 MPP10:MQD10 MZL10:MZZ10 NJH10:NJV10 NTD10:NTR10 OCZ10:ODN10 OMV10:ONJ10 OWR10:OXF10 PGN10:PHB10 PQJ10:PQX10 QAF10:QAT10 QKB10:QKP10 QTX10:QUL10 RDT10:REH10 RNP10:ROD10 RXL10:RXZ10 SHH10:SHV10 SRD10:SRR10 TAZ10:TBN10 TKV10:TLJ10 TUR10:TVF10 UEN10:UFB10 UOJ10:UOX10 UYF10:UYT10 VIB10:VIP10 VRX10:VSL10 WBT10:WCH10 WLP10:WMD10 WVL10:WVZ10 D65545:R65545 IZ65545:JN65545 SV65545:TJ65545 ACR65545:ADF65545 AMN65545:ANB65545 AWJ65545:AWX65545 BGF65545:BGT65545 BQB65545:BQP65545 BZX65545:CAL65545 CJT65545:CKH65545 CTP65545:CUD65545 DDL65545:DDZ65545 DNH65545:DNV65545 DXD65545:DXR65545 EGZ65545:EHN65545 EQV65545:ERJ65545 FAR65545:FBF65545 FKN65545:FLB65545 FUJ65545:FUX65545 GEF65545:GET65545 GOB65545:GOP65545 GXX65545:GYL65545 HHT65545:HIH65545 HRP65545:HSD65545 IBL65545:IBZ65545 ILH65545:ILV65545 IVD65545:IVR65545 JEZ65545:JFN65545 JOV65545:JPJ65545 JYR65545:JZF65545 KIN65545:KJB65545 KSJ65545:KSX65545 LCF65545:LCT65545 LMB65545:LMP65545 LVX65545:LWL65545 MFT65545:MGH65545 MPP65545:MQD65545 MZL65545:MZZ65545 NJH65545:NJV65545 NTD65545:NTR65545 OCZ65545:ODN65545 OMV65545:ONJ65545 OWR65545:OXF65545 PGN65545:PHB65545 PQJ65545:PQX65545 QAF65545:QAT65545 QKB65545:QKP65545 QTX65545:QUL65545 RDT65545:REH65545 RNP65545:ROD65545 RXL65545:RXZ65545 SHH65545:SHV65545 SRD65545:SRR65545 TAZ65545:TBN65545 TKV65545:TLJ65545 TUR65545:TVF65545 UEN65545:UFB65545 UOJ65545:UOX65545 UYF65545:UYT65545 VIB65545:VIP65545 VRX65545:VSL65545 WBT65545:WCH65545 WLP65545:WMD65545 WVL65545:WVZ65545 D131081:R131081 IZ131081:JN131081 SV131081:TJ131081 ACR131081:ADF131081 AMN131081:ANB131081 AWJ131081:AWX131081 BGF131081:BGT131081 BQB131081:BQP131081 BZX131081:CAL131081 CJT131081:CKH131081 CTP131081:CUD131081 DDL131081:DDZ131081 DNH131081:DNV131081 DXD131081:DXR131081 EGZ131081:EHN131081 EQV131081:ERJ131081 FAR131081:FBF131081 FKN131081:FLB131081 FUJ131081:FUX131081 GEF131081:GET131081 GOB131081:GOP131081 GXX131081:GYL131081 HHT131081:HIH131081 HRP131081:HSD131081 IBL131081:IBZ131081 ILH131081:ILV131081 IVD131081:IVR131081 JEZ131081:JFN131081 JOV131081:JPJ131081 JYR131081:JZF131081 KIN131081:KJB131081 KSJ131081:KSX131081 LCF131081:LCT131081 LMB131081:LMP131081 LVX131081:LWL131081 MFT131081:MGH131081 MPP131081:MQD131081 MZL131081:MZZ131081 NJH131081:NJV131081 NTD131081:NTR131081 OCZ131081:ODN131081 OMV131081:ONJ131081 OWR131081:OXF131081 PGN131081:PHB131081 PQJ131081:PQX131081 QAF131081:QAT131081 QKB131081:QKP131081 QTX131081:QUL131081 RDT131081:REH131081 RNP131081:ROD131081 RXL131081:RXZ131081 SHH131081:SHV131081 SRD131081:SRR131081 TAZ131081:TBN131081 TKV131081:TLJ131081 TUR131081:TVF131081 UEN131081:UFB131081 UOJ131081:UOX131081 UYF131081:UYT131081 VIB131081:VIP131081 VRX131081:VSL131081 WBT131081:WCH131081 WLP131081:WMD131081 WVL131081:WVZ131081 D196617:R196617 IZ196617:JN196617 SV196617:TJ196617 ACR196617:ADF196617 AMN196617:ANB196617 AWJ196617:AWX196617 BGF196617:BGT196617 BQB196617:BQP196617 BZX196617:CAL196617 CJT196617:CKH196617 CTP196617:CUD196617 DDL196617:DDZ196617 DNH196617:DNV196617 DXD196617:DXR196617 EGZ196617:EHN196617 EQV196617:ERJ196617 FAR196617:FBF196617 FKN196617:FLB196617 FUJ196617:FUX196617 GEF196617:GET196617 GOB196617:GOP196617 GXX196617:GYL196617 HHT196617:HIH196617 HRP196617:HSD196617 IBL196617:IBZ196617 ILH196617:ILV196617 IVD196617:IVR196617 JEZ196617:JFN196617 JOV196617:JPJ196617 JYR196617:JZF196617 KIN196617:KJB196617 KSJ196617:KSX196617 LCF196617:LCT196617 LMB196617:LMP196617 LVX196617:LWL196617 MFT196617:MGH196617 MPP196617:MQD196617 MZL196617:MZZ196617 NJH196617:NJV196617 NTD196617:NTR196617 OCZ196617:ODN196617 OMV196617:ONJ196617 OWR196617:OXF196617 PGN196617:PHB196617 PQJ196617:PQX196617 QAF196617:QAT196617 QKB196617:QKP196617 QTX196617:QUL196617 RDT196617:REH196617 RNP196617:ROD196617 RXL196617:RXZ196617 SHH196617:SHV196617 SRD196617:SRR196617 TAZ196617:TBN196617 TKV196617:TLJ196617 TUR196617:TVF196617 UEN196617:UFB196617 UOJ196617:UOX196617 UYF196617:UYT196617 VIB196617:VIP196617 VRX196617:VSL196617 WBT196617:WCH196617 WLP196617:WMD196617 WVL196617:WVZ196617 D262153:R262153 IZ262153:JN262153 SV262153:TJ262153 ACR262153:ADF262153 AMN262153:ANB262153 AWJ262153:AWX262153 BGF262153:BGT262153 BQB262153:BQP262153 BZX262153:CAL262153 CJT262153:CKH262153 CTP262153:CUD262153 DDL262153:DDZ262153 DNH262153:DNV262153 DXD262153:DXR262153 EGZ262153:EHN262153 EQV262153:ERJ262153 FAR262153:FBF262153 FKN262153:FLB262153 FUJ262153:FUX262153 GEF262153:GET262153 GOB262153:GOP262153 GXX262153:GYL262153 HHT262153:HIH262153 HRP262153:HSD262153 IBL262153:IBZ262153 ILH262153:ILV262153 IVD262153:IVR262153 JEZ262153:JFN262153 JOV262153:JPJ262153 JYR262153:JZF262153 KIN262153:KJB262153 KSJ262153:KSX262153 LCF262153:LCT262153 LMB262153:LMP262153 LVX262153:LWL262153 MFT262153:MGH262153 MPP262153:MQD262153 MZL262153:MZZ262153 NJH262153:NJV262153 NTD262153:NTR262153 OCZ262153:ODN262153 OMV262153:ONJ262153 OWR262153:OXF262153 PGN262153:PHB262153 PQJ262153:PQX262153 QAF262153:QAT262153 QKB262153:QKP262153 QTX262153:QUL262153 RDT262153:REH262153 RNP262153:ROD262153 RXL262153:RXZ262153 SHH262153:SHV262153 SRD262153:SRR262153 TAZ262153:TBN262153 TKV262153:TLJ262153 TUR262153:TVF262153 UEN262153:UFB262153 UOJ262153:UOX262153 UYF262153:UYT262153 VIB262153:VIP262153 VRX262153:VSL262153 WBT262153:WCH262153 WLP262153:WMD262153 WVL262153:WVZ262153 D327689:R327689 IZ327689:JN327689 SV327689:TJ327689 ACR327689:ADF327689 AMN327689:ANB327689 AWJ327689:AWX327689 BGF327689:BGT327689 BQB327689:BQP327689 BZX327689:CAL327689 CJT327689:CKH327689 CTP327689:CUD327689 DDL327689:DDZ327689 DNH327689:DNV327689 DXD327689:DXR327689 EGZ327689:EHN327689 EQV327689:ERJ327689 FAR327689:FBF327689 FKN327689:FLB327689 FUJ327689:FUX327689 GEF327689:GET327689 GOB327689:GOP327689 GXX327689:GYL327689 HHT327689:HIH327689 HRP327689:HSD327689 IBL327689:IBZ327689 ILH327689:ILV327689 IVD327689:IVR327689 JEZ327689:JFN327689 JOV327689:JPJ327689 JYR327689:JZF327689 KIN327689:KJB327689 KSJ327689:KSX327689 LCF327689:LCT327689 LMB327689:LMP327689 LVX327689:LWL327689 MFT327689:MGH327689 MPP327689:MQD327689 MZL327689:MZZ327689 NJH327689:NJV327689 NTD327689:NTR327689 OCZ327689:ODN327689 OMV327689:ONJ327689 OWR327689:OXF327689 PGN327689:PHB327689 PQJ327689:PQX327689 QAF327689:QAT327689 QKB327689:QKP327689 QTX327689:QUL327689 RDT327689:REH327689 RNP327689:ROD327689 RXL327689:RXZ327689 SHH327689:SHV327689 SRD327689:SRR327689 TAZ327689:TBN327689 TKV327689:TLJ327689 TUR327689:TVF327689 UEN327689:UFB327689 UOJ327689:UOX327689 UYF327689:UYT327689 VIB327689:VIP327689 VRX327689:VSL327689 WBT327689:WCH327689 WLP327689:WMD327689 WVL327689:WVZ327689 D393225:R393225 IZ393225:JN393225 SV393225:TJ393225 ACR393225:ADF393225 AMN393225:ANB393225 AWJ393225:AWX393225 BGF393225:BGT393225 BQB393225:BQP393225 BZX393225:CAL393225 CJT393225:CKH393225 CTP393225:CUD393225 DDL393225:DDZ393225 DNH393225:DNV393225 DXD393225:DXR393225 EGZ393225:EHN393225 EQV393225:ERJ393225 FAR393225:FBF393225 FKN393225:FLB393225 FUJ393225:FUX393225 GEF393225:GET393225 GOB393225:GOP393225 GXX393225:GYL393225 HHT393225:HIH393225 HRP393225:HSD393225 IBL393225:IBZ393225 ILH393225:ILV393225 IVD393225:IVR393225 JEZ393225:JFN393225 JOV393225:JPJ393225 JYR393225:JZF393225 KIN393225:KJB393225 KSJ393225:KSX393225 LCF393225:LCT393225 LMB393225:LMP393225 LVX393225:LWL393225 MFT393225:MGH393225 MPP393225:MQD393225 MZL393225:MZZ393225 NJH393225:NJV393225 NTD393225:NTR393225 OCZ393225:ODN393225 OMV393225:ONJ393225 OWR393225:OXF393225 PGN393225:PHB393225 PQJ393225:PQX393225 QAF393225:QAT393225 QKB393225:QKP393225 QTX393225:QUL393225 RDT393225:REH393225 RNP393225:ROD393225 RXL393225:RXZ393225 SHH393225:SHV393225 SRD393225:SRR393225 TAZ393225:TBN393225 TKV393225:TLJ393225 TUR393225:TVF393225 UEN393225:UFB393225 UOJ393225:UOX393225 UYF393225:UYT393225 VIB393225:VIP393225 VRX393225:VSL393225 WBT393225:WCH393225 WLP393225:WMD393225 WVL393225:WVZ393225 D458761:R458761 IZ458761:JN458761 SV458761:TJ458761 ACR458761:ADF458761 AMN458761:ANB458761 AWJ458761:AWX458761 BGF458761:BGT458761 BQB458761:BQP458761 BZX458761:CAL458761 CJT458761:CKH458761 CTP458761:CUD458761 DDL458761:DDZ458761 DNH458761:DNV458761 DXD458761:DXR458761 EGZ458761:EHN458761 EQV458761:ERJ458761 FAR458761:FBF458761 FKN458761:FLB458761 FUJ458761:FUX458761 GEF458761:GET458761 GOB458761:GOP458761 GXX458761:GYL458761 HHT458761:HIH458761 HRP458761:HSD458761 IBL458761:IBZ458761 ILH458761:ILV458761 IVD458761:IVR458761 JEZ458761:JFN458761 JOV458761:JPJ458761 JYR458761:JZF458761 KIN458761:KJB458761 KSJ458761:KSX458761 LCF458761:LCT458761 LMB458761:LMP458761 LVX458761:LWL458761 MFT458761:MGH458761 MPP458761:MQD458761 MZL458761:MZZ458761 NJH458761:NJV458761 NTD458761:NTR458761 OCZ458761:ODN458761 OMV458761:ONJ458761 OWR458761:OXF458761 PGN458761:PHB458761 PQJ458761:PQX458761 QAF458761:QAT458761 QKB458761:QKP458761 QTX458761:QUL458761 RDT458761:REH458761 RNP458761:ROD458761 RXL458761:RXZ458761 SHH458761:SHV458761 SRD458761:SRR458761 TAZ458761:TBN458761 TKV458761:TLJ458761 TUR458761:TVF458761 UEN458761:UFB458761 UOJ458761:UOX458761 UYF458761:UYT458761 VIB458761:VIP458761 VRX458761:VSL458761 WBT458761:WCH458761 WLP458761:WMD458761 WVL458761:WVZ458761 D524297:R524297 IZ524297:JN524297 SV524297:TJ524297 ACR524297:ADF524297 AMN524297:ANB524297 AWJ524297:AWX524297 BGF524297:BGT524297 BQB524297:BQP524297 BZX524297:CAL524297 CJT524297:CKH524297 CTP524297:CUD524297 DDL524297:DDZ524297 DNH524297:DNV524297 DXD524297:DXR524297 EGZ524297:EHN524297 EQV524297:ERJ524297 FAR524297:FBF524297 FKN524297:FLB524297 FUJ524297:FUX524297 GEF524297:GET524297 GOB524297:GOP524297 GXX524297:GYL524297 HHT524297:HIH524297 HRP524297:HSD524297 IBL524297:IBZ524297 ILH524297:ILV524297 IVD524297:IVR524297 JEZ524297:JFN524297 JOV524297:JPJ524297 JYR524297:JZF524297 KIN524297:KJB524297 KSJ524297:KSX524297 LCF524297:LCT524297 LMB524297:LMP524297 LVX524297:LWL524297 MFT524297:MGH524297 MPP524297:MQD524297 MZL524297:MZZ524297 NJH524297:NJV524297 NTD524297:NTR524297 OCZ524297:ODN524297 OMV524297:ONJ524297 OWR524297:OXF524297 PGN524297:PHB524297 PQJ524297:PQX524297 QAF524297:QAT524297 QKB524297:QKP524297 QTX524297:QUL524297 RDT524297:REH524297 RNP524297:ROD524297 RXL524297:RXZ524297 SHH524297:SHV524297 SRD524297:SRR524297 TAZ524297:TBN524297 TKV524297:TLJ524297 TUR524297:TVF524297 UEN524297:UFB524297 UOJ524297:UOX524297 UYF524297:UYT524297 VIB524297:VIP524297 VRX524297:VSL524297 WBT524297:WCH524297 WLP524297:WMD524297 WVL524297:WVZ524297 D589833:R589833 IZ589833:JN589833 SV589833:TJ589833 ACR589833:ADF589833 AMN589833:ANB589833 AWJ589833:AWX589833 BGF589833:BGT589833 BQB589833:BQP589833 BZX589833:CAL589833 CJT589833:CKH589833 CTP589833:CUD589833 DDL589833:DDZ589833 DNH589833:DNV589833 DXD589833:DXR589833 EGZ589833:EHN589833 EQV589833:ERJ589833 FAR589833:FBF589833 FKN589833:FLB589833 FUJ589833:FUX589833 GEF589833:GET589833 GOB589833:GOP589833 GXX589833:GYL589833 HHT589833:HIH589833 HRP589833:HSD589833 IBL589833:IBZ589833 ILH589833:ILV589833 IVD589833:IVR589833 JEZ589833:JFN589833 JOV589833:JPJ589833 JYR589833:JZF589833 KIN589833:KJB589833 KSJ589833:KSX589833 LCF589833:LCT589833 LMB589833:LMP589833 LVX589833:LWL589833 MFT589833:MGH589833 MPP589833:MQD589833 MZL589833:MZZ589833 NJH589833:NJV589833 NTD589833:NTR589833 OCZ589833:ODN589833 OMV589833:ONJ589833 OWR589833:OXF589833 PGN589833:PHB589833 PQJ589833:PQX589833 QAF589833:QAT589833 QKB589833:QKP589833 QTX589833:QUL589833 RDT589833:REH589833 RNP589833:ROD589833 RXL589833:RXZ589833 SHH589833:SHV589833 SRD589833:SRR589833 TAZ589833:TBN589833 TKV589833:TLJ589833 TUR589833:TVF589833 UEN589833:UFB589833 UOJ589833:UOX589833 UYF589833:UYT589833 VIB589833:VIP589833 VRX589833:VSL589833 WBT589833:WCH589833 WLP589833:WMD589833 WVL589833:WVZ589833 D655369:R655369 IZ655369:JN655369 SV655369:TJ655369 ACR655369:ADF655369 AMN655369:ANB655369 AWJ655369:AWX655369 BGF655369:BGT655369 BQB655369:BQP655369 BZX655369:CAL655369 CJT655369:CKH655369 CTP655369:CUD655369 DDL655369:DDZ655369 DNH655369:DNV655369 DXD655369:DXR655369 EGZ655369:EHN655369 EQV655369:ERJ655369 FAR655369:FBF655369 FKN655369:FLB655369 FUJ655369:FUX655369 GEF655369:GET655369 GOB655369:GOP655369 GXX655369:GYL655369 HHT655369:HIH655369 HRP655369:HSD655369 IBL655369:IBZ655369 ILH655369:ILV655369 IVD655369:IVR655369 JEZ655369:JFN655369 JOV655369:JPJ655369 JYR655369:JZF655369 KIN655369:KJB655369 KSJ655369:KSX655369 LCF655369:LCT655369 LMB655369:LMP655369 LVX655369:LWL655369 MFT655369:MGH655369 MPP655369:MQD655369 MZL655369:MZZ655369 NJH655369:NJV655369 NTD655369:NTR655369 OCZ655369:ODN655369 OMV655369:ONJ655369 OWR655369:OXF655369 PGN655369:PHB655369 PQJ655369:PQX655369 QAF655369:QAT655369 QKB655369:QKP655369 QTX655369:QUL655369 RDT655369:REH655369 RNP655369:ROD655369 RXL655369:RXZ655369 SHH655369:SHV655369 SRD655369:SRR655369 TAZ655369:TBN655369 TKV655369:TLJ655369 TUR655369:TVF655369 UEN655369:UFB655369 UOJ655369:UOX655369 UYF655369:UYT655369 VIB655369:VIP655369 VRX655369:VSL655369 WBT655369:WCH655369 WLP655369:WMD655369 WVL655369:WVZ655369 D720905:R720905 IZ720905:JN720905 SV720905:TJ720905 ACR720905:ADF720905 AMN720905:ANB720905 AWJ720905:AWX720905 BGF720905:BGT720905 BQB720905:BQP720905 BZX720905:CAL720905 CJT720905:CKH720905 CTP720905:CUD720905 DDL720905:DDZ720905 DNH720905:DNV720905 DXD720905:DXR720905 EGZ720905:EHN720905 EQV720905:ERJ720905 FAR720905:FBF720905 FKN720905:FLB720905 FUJ720905:FUX720905 GEF720905:GET720905 GOB720905:GOP720905 GXX720905:GYL720905 HHT720905:HIH720905 HRP720905:HSD720905 IBL720905:IBZ720905 ILH720905:ILV720905 IVD720905:IVR720905 JEZ720905:JFN720905 JOV720905:JPJ720905 JYR720905:JZF720905 KIN720905:KJB720905 KSJ720905:KSX720905 LCF720905:LCT720905 LMB720905:LMP720905 LVX720905:LWL720905 MFT720905:MGH720905 MPP720905:MQD720905 MZL720905:MZZ720905 NJH720905:NJV720905 NTD720905:NTR720905 OCZ720905:ODN720905 OMV720905:ONJ720905 OWR720905:OXF720905 PGN720905:PHB720905 PQJ720905:PQX720905 QAF720905:QAT720905 QKB720905:QKP720905 QTX720905:QUL720905 RDT720905:REH720905 RNP720905:ROD720905 RXL720905:RXZ720905 SHH720905:SHV720905 SRD720905:SRR720905 TAZ720905:TBN720905 TKV720905:TLJ720905 TUR720905:TVF720905 UEN720905:UFB720905 UOJ720905:UOX720905 UYF720905:UYT720905 VIB720905:VIP720905 VRX720905:VSL720905 WBT720905:WCH720905 WLP720905:WMD720905 WVL720905:WVZ720905 D786441:R786441 IZ786441:JN786441 SV786441:TJ786441 ACR786441:ADF786441 AMN786441:ANB786441 AWJ786441:AWX786441 BGF786441:BGT786441 BQB786441:BQP786441 BZX786441:CAL786441 CJT786441:CKH786441 CTP786441:CUD786441 DDL786441:DDZ786441 DNH786441:DNV786441 DXD786441:DXR786441 EGZ786441:EHN786441 EQV786441:ERJ786441 FAR786441:FBF786441 FKN786441:FLB786441 FUJ786441:FUX786441 GEF786441:GET786441 GOB786441:GOP786441 GXX786441:GYL786441 HHT786441:HIH786441 HRP786441:HSD786441 IBL786441:IBZ786441 ILH786441:ILV786441 IVD786441:IVR786441 JEZ786441:JFN786441 JOV786441:JPJ786441 JYR786441:JZF786441 KIN786441:KJB786441 KSJ786441:KSX786441 LCF786441:LCT786441 LMB786441:LMP786441 LVX786441:LWL786441 MFT786441:MGH786441 MPP786441:MQD786441 MZL786441:MZZ786441 NJH786441:NJV786441 NTD786441:NTR786441 OCZ786441:ODN786441 OMV786441:ONJ786441 OWR786441:OXF786441 PGN786441:PHB786441 PQJ786441:PQX786441 QAF786441:QAT786441 QKB786441:QKP786441 QTX786441:QUL786441 RDT786441:REH786441 RNP786441:ROD786441 RXL786441:RXZ786441 SHH786441:SHV786441 SRD786441:SRR786441 TAZ786441:TBN786441 TKV786441:TLJ786441 TUR786441:TVF786441 UEN786441:UFB786441 UOJ786441:UOX786441 UYF786441:UYT786441 VIB786441:VIP786441 VRX786441:VSL786441 WBT786441:WCH786441 WLP786441:WMD786441 WVL786441:WVZ786441 D851977:R851977 IZ851977:JN851977 SV851977:TJ851977 ACR851977:ADF851977 AMN851977:ANB851977 AWJ851977:AWX851977 BGF851977:BGT851977 BQB851977:BQP851977 BZX851977:CAL851977 CJT851977:CKH851977 CTP851977:CUD851977 DDL851977:DDZ851977 DNH851977:DNV851977 DXD851977:DXR851977 EGZ851977:EHN851977 EQV851977:ERJ851977 FAR851977:FBF851977 FKN851977:FLB851977 FUJ851977:FUX851977 GEF851977:GET851977 GOB851977:GOP851977 GXX851977:GYL851977 HHT851977:HIH851977 HRP851977:HSD851977 IBL851977:IBZ851977 ILH851977:ILV851977 IVD851977:IVR851977 JEZ851977:JFN851977 JOV851977:JPJ851977 JYR851977:JZF851977 KIN851977:KJB851977 KSJ851977:KSX851977 LCF851977:LCT851977 LMB851977:LMP851977 LVX851977:LWL851977 MFT851977:MGH851977 MPP851977:MQD851977 MZL851977:MZZ851977 NJH851977:NJV851977 NTD851977:NTR851977 OCZ851977:ODN851977 OMV851977:ONJ851977 OWR851977:OXF851977 PGN851977:PHB851977 PQJ851977:PQX851977 QAF851977:QAT851977 QKB851977:QKP851977 QTX851977:QUL851977 RDT851977:REH851977 RNP851977:ROD851977 RXL851977:RXZ851977 SHH851977:SHV851977 SRD851977:SRR851977 TAZ851977:TBN851977 TKV851977:TLJ851977 TUR851977:TVF851977 UEN851977:UFB851977 UOJ851977:UOX851977 UYF851977:UYT851977 VIB851977:VIP851977 VRX851977:VSL851977 WBT851977:WCH851977 WLP851977:WMD851977 WVL851977:WVZ851977 D917513:R917513 IZ917513:JN917513 SV917513:TJ917513 ACR917513:ADF917513 AMN917513:ANB917513 AWJ917513:AWX917513 BGF917513:BGT917513 BQB917513:BQP917513 BZX917513:CAL917513 CJT917513:CKH917513 CTP917513:CUD917513 DDL917513:DDZ917513 DNH917513:DNV917513 DXD917513:DXR917513 EGZ917513:EHN917513 EQV917513:ERJ917513 FAR917513:FBF917513 FKN917513:FLB917513 FUJ917513:FUX917513 GEF917513:GET917513 GOB917513:GOP917513 GXX917513:GYL917513 HHT917513:HIH917513 HRP917513:HSD917513 IBL917513:IBZ917513 ILH917513:ILV917513 IVD917513:IVR917513 JEZ917513:JFN917513 JOV917513:JPJ917513 JYR917513:JZF917513 KIN917513:KJB917513 KSJ917513:KSX917513 LCF917513:LCT917513 LMB917513:LMP917513 LVX917513:LWL917513 MFT917513:MGH917513 MPP917513:MQD917513 MZL917513:MZZ917513 NJH917513:NJV917513 NTD917513:NTR917513 OCZ917513:ODN917513 OMV917513:ONJ917513 OWR917513:OXF917513 PGN917513:PHB917513 PQJ917513:PQX917513 QAF917513:QAT917513 QKB917513:QKP917513 QTX917513:QUL917513 RDT917513:REH917513 RNP917513:ROD917513 RXL917513:RXZ917513 SHH917513:SHV917513 SRD917513:SRR917513 TAZ917513:TBN917513 TKV917513:TLJ917513 TUR917513:TVF917513 UEN917513:UFB917513 UOJ917513:UOX917513 UYF917513:UYT917513 VIB917513:VIP917513 VRX917513:VSL917513 WBT917513:WCH917513 WLP917513:WMD917513 WVL917513:WVZ917513 D983049:R983049 IZ983049:JN983049 SV983049:TJ983049 ACR983049:ADF983049 AMN983049:ANB983049 AWJ983049:AWX983049 BGF983049:BGT983049 BQB983049:BQP983049 BZX983049:CAL983049 CJT983049:CKH983049 CTP983049:CUD983049 DDL983049:DDZ983049 DNH983049:DNV983049 DXD983049:DXR983049 EGZ983049:EHN983049 EQV983049:ERJ983049 FAR983049:FBF983049 FKN983049:FLB983049 FUJ983049:FUX983049 GEF983049:GET983049 GOB983049:GOP983049 GXX983049:GYL983049 HHT983049:HIH983049 HRP983049:HSD983049 IBL983049:IBZ983049 ILH983049:ILV983049 IVD983049:IVR983049 JEZ983049:JFN983049 JOV983049:JPJ983049 JYR983049:JZF983049 KIN983049:KJB983049 KSJ983049:KSX983049 LCF983049:LCT983049 LMB983049:LMP983049 LVX983049:LWL983049 MFT983049:MGH983049 MPP983049:MQD983049 MZL983049:MZZ983049 NJH983049:NJV983049 NTD983049:NTR983049 OCZ983049:ODN983049 OMV983049:ONJ983049 OWR983049:OXF983049 PGN983049:PHB983049 PQJ983049:PQX983049 QAF983049:QAT983049 QKB983049:QKP983049 QTX983049:QUL983049 RDT983049:REH983049 RNP983049:ROD983049 RXL983049:RXZ983049 SHH983049:SHV983049 SRD983049:SRR983049 TAZ983049:TBN983049 TKV983049:TLJ983049 TUR983049:TVF983049 UEN983049:UFB983049 UOJ983049:UOX983049 UYF983049:UYT983049 VIB983049:VIP983049 VRX983049:VSL983049 WBT983049:WCH983049 WLP983049:WMD983049 WVL983049:WVZ983049 GV10:HJ10 QR10:RF10 AAN10:ABB10 AKJ10:AKX10 AUF10:AUT10 BEB10:BEP10 BNX10:BOL10 BXT10:BYH10 CHP10:CID10 CRL10:CRZ10 DBH10:DBV10 DLD10:DLR10 DUZ10:DVN10 EEV10:EFJ10 EOR10:EPF10 EYN10:EZB10 FIJ10:FIX10 FSF10:FST10 GCB10:GCP10 GLX10:GML10 GVT10:GWH10 HFP10:HGD10 HPL10:HPZ10 HZH10:HZV10 IJD10:IJR10 ISZ10:ITN10 JCV10:JDJ10 JMR10:JNF10 JWN10:JXB10 KGJ10:KGX10 KQF10:KQT10 LAB10:LAP10 LJX10:LKL10 LTT10:LUH10 MDP10:MED10 MNL10:MNZ10 MXH10:MXV10 NHD10:NHR10 NQZ10:NRN10 OAV10:OBJ10 OKR10:OLF10 OUN10:OVB10 PEJ10:PEX10 POF10:POT10 PYB10:PYP10 QHX10:QIL10 QRT10:QSH10 RBP10:RCD10 RLL10:RLZ10 RVH10:RVV10 SFD10:SFR10 SOZ10:SPN10 SYV10:SZJ10 TIR10:TJF10 TSN10:TTB10 UCJ10:UCX10 UMF10:UMT10 UWB10:UWP10 VFX10:VGL10 VPT10:VQH10 VZP10:WAD10 WJL10:WJZ10 WTH10:WTV10 XDD10:XDR10 GV65545:HJ65545 QR65545:RF65545 AAN65545:ABB65545 AKJ65545:AKX65545 AUF65545:AUT65545 BEB65545:BEP65545 BNX65545:BOL65545 BXT65545:BYH65545 CHP65545:CID65545 CRL65545:CRZ65545 DBH65545:DBV65545 DLD65545:DLR65545 DUZ65545:DVN65545 EEV65545:EFJ65545 EOR65545:EPF65545 EYN65545:EZB65545 FIJ65545:FIX65545 FSF65545:FST65545 GCB65545:GCP65545 GLX65545:GML65545 GVT65545:GWH65545 HFP65545:HGD65545 HPL65545:HPZ65545 HZH65545:HZV65545 IJD65545:IJR65545 ISZ65545:ITN65545 JCV65545:JDJ65545 JMR65545:JNF65545 JWN65545:JXB65545 KGJ65545:KGX65545 KQF65545:KQT65545 LAB65545:LAP65545 LJX65545:LKL65545 LTT65545:LUH65545 MDP65545:MED65545 MNL65545:MNZ65545 MXH65545:MXV65545 NHD65545:NHR65545 NQZ65545:NRN65545 OAV65545:OBJ65545 OKR65545:OLF65545 OUN65545:OVB65545 PEJ65545:PEX65545 POF65545:POT65545 PYB65545:PYP65545 QHX65545:QIL65545 QRT65545:QSH65545 RBP65545:RCD65545 RLL65545:RLZ65545 RVH65545:RVV65545 SFD65545:SFR65545 SOZ65545:SPN65545 SYV65545:SZJ65545 TIR65545:TJF65545 TSN65545:TTB65545 UCJ65545:UCX65545 UMF65545:UMT65545 UWB65545:UWP65545 VFX65545:VGL65545 VPT65545:VQH65545 VZP65545:WAD65545 WJL65545:WJZ65545 WTH65545:WTV65545 XDD65545:XDR65545 GV131081:HJ131081 QR131081:RF131081 AAN131081:ABB131081 AKJ131081:AKX131081 AUF131081:AUT131081 BEB131081:BEP131081 BNX131081:BOL131081 BXT131081:BYH131081 CHP131081:CID131081 CRL131081:CRZ131081 DBH131081:DBV131081 DLD131081:DLR131081 DUZ131081:DVN131081 EEV131081:EFJ131081 EOR131081:EPF131081 EYN131081:EZB131081 FIJ131081:FIX131081 FSF131081:FST131081 GCB131081:GCP131081 GLX131081:GML131081 GVT131081:GWH131081 HFP131081:HGD131081 HPL131081:HPZ131081 HZH131081:HZV131081 IJD131081:IJR131081 ISZ131081:ITN131081 JCV131081:JDJ131081 JMR131081:JNF131081 JWN131081:JXB131081 KGJ131081:KGX131081 KQF131081:KQT131081 LAB131081:LAP131081 LJX131081:LKL131081 LTT131081:LUH131081 MDP131081:MED131081 MNL131081:MNZ131081 MXH131081:MXV131081 NHD131081:NHR131081 NQZ131081:NRN131081 OAV131081:OBJ131081 OKR131081:OLF131081 OUN131081:OVB131081 PEJ131081:PEX131081 POF131081:POT131081 PYB131081:PYP131081 QHX131081:QIL131081 QRT131081:QSH131081 RBP131081:RCD131081 RLL131081:RLZ131081 RVH131081:RVV131081 SFD131081:SFR131081 SOZ131081:SPN131081 SYV131081:SZJ131081 TIR131081:TJF131081 TSN131081:TTB131081 UCJ131081:UCX131081 UMF131081:UMT131081 UWB131081:UWP131081 VFX131081:VGL131081 VPT131081:VQH131081 VZP131081:WAD131081 WJL131081:WJZ131081 WTH131081:WTV131081 XDD131081:XDR131081 GV196617:HJ196617 QR196617:RF196617 AAN196617:ABB196617 AKJ196617:AKX196617 AUF196617:AUT196617 BEB196617:BEP196617 BNX196617:BOL196617 BXT196617:BYH196617 CHP196617:CID196617 CRL196617:CRZ196617 DBH196617:DBV196617 DLD196617:DLR196617 DUZ196617:DVN196617 EEV196617:EFJ196617 EOR196617:EPF196617 EYN196617:EZB196617 FIJ196617:FIX196617 FSF196617:FST196617 GCB196617:GCP196617 GLX196617:GML196617 GVT196617:GWH196617 HFP196617:HGD196617 HPL196617:HPZ196617 HZH196617:HZV196617 IJD196617:IJR196617 ISZ196617:ITN196617 JCV196617:JDJ196617 JMR196617:JNF196617 JWN196617:JXB196617 KGJ196617:KGX196617 KQF196617:KQT196617 LAB196617:LAP196617 LJX196617:LKL196617 LTT196617:LUH196617 MDP196617:MED196617 MNL196617:MNZ196617 MXH196617:MXV196617 NHD196617:NHR196617 NQZ196617:NRN196617 OAV196617:OBJ196617 OKR196617:OLF196617 OUN196617:OVB196617 PEJ196617:PEX196617 POF196617:POT196617 PYB196617:PYP196617 QHX196617:QIL196617 QRT196617:QSH196617 RBP196617:RCD196617 RLL196617:RLZ196617 RVH196617:RVV196617 SFD196617:SFR196617 SOZ196617:SPN196617 SYV196617:SZJ196617 TIR196617:TJF196617 TSN196617:TTB196617 UCJ196617:UCX196617 UMF196617:UMT196617 UWB196617:UWP196617 VFX196617:VGL196617 VPT196617:VQH196617 VZP196617:WAD196617 WJL196617:WJZ196617 WTH196617:WTV196617 XDD196617:XDR196617 GV262153:HJ262153 QR262153:RF262153 AAN262153:ABB262153 AKJ262153:AKX262153 AUF262153:AUT262153 BEB262153:BEP262153 BNX262153:BOL262153 BXT262153:BYH262153 CHP262153:CID262153 CRL262153:CRZ262153 DBH262153:DBV262153 DLD262153:DLR262153 DUZ262153:DVN262153 EEV262153:EFJ262153 EOR262153:EPF262153 EYN262153:EZB262153 FIJ262153:FIX262153 FSF262153:FST262153 GCB262153:GCP262153 GLX262153:GML262153 GVT262153:GWH262153 HFP262153:HGD262153 HPL262153:HPZ262153 HZH262153:HZV262153 IJD262153:IJR262153 ISZ262153:ITN262153 JCV262153:JDJ262153 JMR262153:JNF262153 JWN262153:JXB262153 KGJ262153:KGX262153 KQF262153:KQT262153 LAB262153:LAP262153 LJX262153:LKL262153 LTT262153:LUH262153 MDP262153:MED262153 MNL262153:MNZ262153 MXH262153:MXV262153 NHD262153:NHR262153 NQZ262153:NRN262153 OAV262153:OBJ262153 OKR262153:OLF262153 OUN262153:OVB262153 PEJ262153:PEX262153 POF262153:POT262153 PYB262153:PYP262153 QHX262153:QIL262153 QRT262153:QSH262153 RBP262153:RCD262153 RLL262153:RLZ262153 RVH262153:RVV262153 SFD262153:SFR262153 SOZ262153:SPN262153 SYV262153:SZJ262153 TIR262153:TJF262153 TSN262153:TTB262153 UCJ262153:UCX262153 UMF262153:UMT262153 UWB262153:UWP262153 VFX262153:VGL262153 VPT262153:VQH262153 VZP262153:WAD262153 WJL262153:WJZ262153 WTH262153:WTV262153 XDD262153:XDR262153 GV327689:HJ327689 QR327689:RF327689 AAN327689:ABB327689 AKJ327689:AKX327689 AUF327689:AUT327689 BEB327689:BEP327689 BNX327689:BOL327689 BXT327689:BYH327689 CHP327689:CID327689 CRL327689:CRZ327689 DBH327689:DBV327689 DLD327689:DLR327689 DUZ327689:DVN327689 EEV327689:EFJ327689 EOR327689:EPF327689 EYN327689:EZB327689 FIJ327689:FIX327689 FSF327689:FST327689 GCB327689:GCP327689 GLX327689:GML327689 GVT327689:GWH327689 HFP327689:HGD327689 HPL327689:HPZ327689 HZH327689:HZV327689 IJD327689:IJR327689 ISZ327689:ITN327689 JCV327689:JDJ327689 JMR327689:JNF327689 JWN327689:JXB327689 KGJ327689:KGX327689 KQF327689:KQT327689 LAB327689:LAP327689 LJX327689:LKL327689 LTT327689:LUH327689 MDP327689:MED327689 MNL327689:MNZ327689 MXH327689:MXV327689 NHD327689:NHR327689 NQZ327689:NRN327689 OAV327689:OBJ327689 OKR327689:OLF327689 OUN327689:OVB327689 PEJ327689:PEX327689 POF327689:POT327689 PYB327689:PYP327689 QHX327689:QIL327689 QRT327689:QSH327689 RBP327689:RCD327689 RLL327689:RLZ327689 RVH327689:RVV327689 SFD327689:SFR327689 SOZ327689:SPN327689 SYV327689:SZJ327689 TIR327689:TJF327689 TSN327689:TTB327689 UCJ327689:UCX327689 UMF327689:UMT327689 UWB327689:UWP327689 VFX327689:VGL327689 VPT327689:VQH327689 VZP327689:WAD327689 WJL327689:WJZ327689 WTH327689:WTV327689 XDD327689:XDR327689 GV393225:HJ393225 QR393225:RF393225 AAN393225:ABB393225 AKJ393225:AKX393225 AUF393225:AUT393225 BEB393225:BEP393225 BNX393225:BOL393225 BXT393225:BYH393225 CHP393225:CID393225 CRL393225:CRZ393225 DBH393225:DBV393225 DLD393225:DLR393225 DUZ393225:DVN393225 EEV393225:EFJ393225 EOR393225:EPF393225 EYN393225:EZB393225 FIJ393225:FIX393225 FSF393225:FST393225 GCB393225:GCP393225 GLX393225:GML393225 GVT393225:GWH393225 HFP393225:HGD393225 HPL393225:HPZ393225 HZH393225:HZV393225 IJD393225:IJR393225 ISZ393225:ITN393225 JCV393225:JDJ393225 JMR393225:JNF393225 JWN393225:JXB393225 KGJ393225:KGX393225 KQF393225:KQT393225 LAB393225:LAP393225 LJX393225:LKL393225 LTT393225:LUH393225 MDP393225:MED393225 MNL393225:MNZ393225 MXH393225:MXV393225 NHD393225:NHR393225 NQZ393225:NRN393225 OAV393225:OBJ393225 OKR393225:OLF393225 OUN393225:OVB393225 PEJ393225:PEX393225 POF393225:POT393225 PYB393225:PYP393225 QHX393225:QIL393225 QRT393225:QSH393225 RBP393225:RCD393225 RLL393225:RLZ393225 RVH393225:RVV393225 SFD393225:SFR393225 SOZ393225:SPN393225 SYV393225:SZJ393225 TIR393225:TJF393225 TSN393225:TTB393225 UCJ393225:UCX393225 UMF393225:UMT393225 UWB393225:UWP393225 VFX393225:VGL393225 VPT393225:VQH393225 VZP393225:WAD393225 WJL393225:WJZ393225 WTH393225:WTV393225 XDD393225:XDR393225 GV458761:HJ458761 QR458761:RF458761 AAN458761:ABB458761 AKJ458761:AKX458761 AUF458761:AUT458761 BEB458761:BEP458761 BNX458761:BOL458761 BXT458761:BYH458761 CHP458761:CID458761 CRL458761:CRZ458761 DBH458761:DBV458761 DLD458761:DLR458761 DUZ458761:DVN458761 EEV458761:EFJ458761 EOR458761:EPF458761 EYN458761:EZB458761 FIJ458761:FIX458761 FSF458761:FST458761 GCB458761:GCP458761 GLX458761:GML458761 GVT458761:GWH458761 HFP458761:HGD458761 HPL458761:HPZ458761 HZH458761:HZV458761 IJD458761:IJR458761 ISZ458761:ITN458761 JCV458761:JDJ458761 JMR458761:JNF458761 JWN458761:JXB458761 KGJ458761:KGX458761 KQF458761:KQT458761 LAB458761:LAP458761 LJX458761:LKL458761 LTT458761:LUH458761 MDP458761:MED458761 MNL458761:MNZ458761 MXH458761:MXV458761 NHD458761:NHR458761 NQZ458761:NRN458761 OAV458761:OBJ458761 OKR458761:OLF458761 OUN458761:OVB458761 PEJ458761:PEX458761 POF458761:POT458761 PYB458761:PYP458761 QHX458761:QIL458761 QRT458761:QSH458761 RBP458761:RCD458761 RLL458761:RLZ458761 RVH458761:RVV458761 SFD458761:SFR458761 SOZ458761:SPN458761 SYV458761:SZJ458761 TIR458761:TJF458761 TSN458761:TTB458761 UCJ458761:UCX458761 UMF458761:UMT458761 UWB458761:UWP458761 VFX458761:VGL458761 VPT458761:VQH458761 VZP458761:WAD458761 WJL458761:WJZ458761 WTH458761:WTV458761 XDD458761:XDR458761 GV524297:HJ524297 QR524297:RF524297 AAN524297:ABB524297 AKJ524297:AKX524297 AUF524297:AUT524297 BEB524297:BEP524297 BNX524297:BOL524297 BXT524297:BYH524297 CHP524297:CID524297 CRL524297:CRZ524297 DBH524297:DBV524297 DLD524297:DLR524297 DUZ524297:DVN524297 EEV524297:EFJ524297 EOR524297:EPF524297 EYN524297:EZB524297 FIJ524297:FIX524297 FSF524297:FST524297 GCB524297:GCP524297 GLX524297:GML524297 GVT524297:GWH524297 HFP524297:HGD524297 HPL524297:HPZ524297 HZH524297:HZV524297 IJD524297:IJR524297 ISZ524297:ITN524297 JCV524297:JDJ524297 JMR524297:JNF524297 JWN524297:JXB524297 KGJ524297:KGX524297 KQF524297:KQT524297 LAB524297:LAP524297 LJX524297:LKL524297 LTT524297:LUH524297 MDP524297:MED524297 MNL524297:MNZ524297 MXH524297:MXV524297 NHD524297:NHR524297 NQZ524297:NRN524297 OAV524297:OBJ524297 OKR524297:OLF524297 OUN524297:OVB524297 PEJ524297:PEX524297 POF524297:POT524297 PYB524297:PYP524297 QHX524297:QIL524297 QRT524297:QSH524297 RBP524297:RCD524297 RLL524297:RLZ524297 RVH524297:RVV524297 SFD524297:SFR524297 SOZ524297:SPN524297 SYV524297:SZJ524297 TIR524297:TJF524297 TSN524297:TTB524297 UCJ524297:UCX524297 UMF524297:UMT524297 UWB524297:UWP524297 VFX524297:VGL524297 VPT524297:VQH524297 VZP524297:WAD524297 WJL524297:WJZ524297 WTH524297:WTV524297 XDD524297:XDR524297 GV589833:HJ589833 QR589833:RF589833 AAN589833:ABB589833 AKJ589833:AKX589833 AUF589833:AUT589833 BEB589833:BEP589833 BNX589833:BOL589833 BXT589833:BYH589833 CHP589833:CID589833 CRL589833:CRZ589833 DBH589833:DBV589833 DLD589833:DLR589833 DUZ589833:DVN589833 EEV589833:EFJ589833 EOR589833:EPF589833 EYN589833:EZB589833 FIJ589833:FIX589833 FSF589833:FST589833 GCB589833:GCP589833 GLX589833:GML589833 GVT589833:GWH589833 HFP589833:HGD589833 HPL589833:HPZ589833 HZH589833:HZV589833 IJD589833:IJR589833 ISZ589833:ITN589833 JCV589833:JDJ589833 JMR589833:JNF589833 JWN589833:JXB589833 KGJ589833:KGX589833 KQF589833:KQT589833 LAB589833:LAP589833 LJX589833:LKL589833 LTT589833:LUH589833 MDP589833:MED589833 MNL589833:MNZ589833 MXH589833:MXV589833 NHD589833:NHR589833 NQZ589833:NRN589833 OAV589833:OBJ589833 OKR589833:OLF589833 OUN589833:OVB589833 PEJ589833:PEX589833 POF589833:POT589833 PYB589833:PYP589833 QHX589833:QIL589833 QRT589833:QSH589833 RBP589833:RCD589833 RLL589833:RLZ589833 RVH589833:RVV589833 SFD589833:SFR589833 SOZ589833:SPN589833 SYV589833:SZJ589833 TIR589833:TJF589833 TSN589833:TTB589833 UCJ589833:UCX589833 UMF589833:UMT589833 UWB589833:UWP589833 VFX589833:VGL589833 VPT589833:VQH589833 VZP589833:WAD589833 WJL589833:WJZ589833 WTH589833:WTV589833 XDD589833:XDR589833 GV655369:HJ655369 QR655369:RF655369 AAN655369:ABB655369 AKJ655369:AKX655369 AUF655369:AUT655369 BEB655369:BEP655369 BNX655369:BOL655369 BXT655369:BYH655369 CHP655369:CID655369 CRL655369:CRZ655369 DBH655369:DBV655369 DLD655369:DLR655369 DUZ655369:DVN655369 EEV655369:EFJ655369 EOR655369:EPF655369 EYN655369:EZB655369 FIJ655369:FIX655369 FSF655369:FST655369 GCB655369:GCP655369 GLX655369:GML655369 GVT655369:GWH655369 HFP655369:HGD655369 HPL655369:HPZ655369 HZH655369:HZV655369 IJD655369:IJR655369 ISZ655369:ITN655369 JCV655369:JDJ655369 JMR655369:JNF655369 JWN655369:JXB655369 KGJ655369:KGX655369 KQF655369:KQT655369 LAB655369:LAP655369 LJX655369:LKL655369 LTT655369:LUH655369 MDP655369:MED655369 MNL655369:MNZ655369 MXH655369:MXV655369 NHD655369:NHR655369 NQZ655369:NRN655369 OAV655369:OBJ655369 OKR655369:OLF655369 OUN655369:OVB655369 PEJ655369:PEX655369 POF655369:POT655369 PYB655369:PYP655369 QHX655369:QIL655369 QRT655369:QSH655369 RBP655369:RCD655369 RLL655369:RLZ655369 RVH655369:RVV655369 SFD655369:SFR655369 SOZ655369:SPN655369 SYV655369:SZJ655369 TIR655369:TJF655369 TSN655369:TTB655369 UCJ655369:UCX655369 UMF655369:UMT655369 UWB655369:UWP655369 VFX655369:VGL655369 VPT655369:VQH655369 VZP655369:WAD655369 WJL655369:WJZ655369 WTH655369:WTV655369 XDD655369:XDR655369 GV720905:HJ720905 QR720905:RF720905 AAN720905:ABB720905 AKJ720905:AKX720905 AUF720905:AUT720905 BEB720905:BEP720905 BNX720905:BOL720905 BXT720905:BYH720905 CHP720905:CID720905 CRL720905:CRZ720905 DBH720905:DBV720905 DLD720905:DLR720905 DUZ720905:DVN720905 EEV720905:EFJ720905 EOR720905:EPF720905 EYN720905:EZB720905 FIJ720905:FIX720905 FSF720905:FST720905 GCB720905:GCP720905 GLX720905:GML720905 GVT720905:GWH720905 HFP720905:HGD720905 HPL720905:HPZ720905 HZH720905:HZV720905 IJD720905:IJR720905 ISZ720905:ITN720905 JCV720905:JDJ720905 JMR720905:JNF720905 JWN720905:JXB720905 KGJ720905:KGX720905 KQF720905:KQT720905 LAB720905:LAP720905 LJX720905:LKL720905 LTT720905:LUH720905 MDP720905:MED720905 MNL720905:MNZ720905 MXH720905:MXV720905 NHD720905:NHR720905 NQZ720905:NRN720905 OAV720905:OBJ720905 OKR720905:OLF720905 OUN720905:OVB720905 PEJ720905:PEX720905 POF720905:POT720905 PYB720905:PYP720905 QHX720905:QIL720905 QRT720905:QSH720905 RBP720905:RCD720905 RLL720905:RLZ720905 RVH720905:RVV720905 SFD720905:SFR720905 SOZ720905:SPN720905 SYV720905:SZJ720905 TIR720905:TJF720905 TSN720905:TTB720905 UCJ720905:UCX720905 UMF720905:UMT720905 UWB720905:UWP720905 VFX720905:VGL720905 VPT720905:VQH720905 VZP720905:WAD720905 WJL720905:WJZ720905 WTH720905:WTV720905 XDD720905:XDR720905 GV786441:HJ786441 QR786441:RF786441 AAN786441:ABB786441 AKJ786441:AKX786441 AUF786441:AUT786441 BEB786441:BEP786441 BNX786441:BOL786441 BXT786441:BYH786441 CHP786441:CID786441 CRL786441:CRZ786441 DBH786441:DBV786441 DLD786441:DLR786441 DUZ786441:DVN786441 EEV786441:EFJ786441 EOR786441:EPF786441 EYN786441:EZB786441 FIJ786441:FIX786441 FSF786441:FST786441 GCB786441:GCP786441 GLX786441:GML786441 GVT786441:GWH786441 HFP786441:HGD786441 HPL786441:HPZ786441 HZH786441:HZV786441 IJD786441:IJR786441 ISZ786441:ITN786441 JCV786441:JDJ786441 JMR786441:JNF786441 JWN786441:JXB786441 KGJ786441:KGX786441 KQF786441:KQT786441 LAB786441:LAP786441 LJX786441:LKL786441 LTT786441:LUH786441 MDP786441:MED786441 MNL786441:MNZ786441 MXH786441:MXV786441 NHD786441:NHR786441 NQZ786441:NRN786441 OAV786441:OBJ786441 OKR786441:OLF786441 OUN786441:OVB786441 PEJ786441:PEX786441 POF786441:POT786441 PYB786441:PYP786441 QHX786441:QIL786441 QRT786441:QSH786441 RBP786441:RCD786441 RLL786441:RLZ786441 RVH786441:RVV786441 SFD786441:SFR786441 SOZ786441:SPN786441 SYV786441:SZJ786441 TIR786441:TJF786441 TSN786441:TTB786441 UCJ786441:UCX786441 UMF786441:UMT786441 UWB786441:UWP786441 VFX786441:VGL786441 VPT786441:VQH786441 VZP786441:WAD786441 WJL786441:WJZ786441 WTH786441:WTV786441 XDD786441:XDR786441 GV851977:HJ851977 QR851977:RF851977 AAN851977:ABB851977 AKJ851977:AKX851977 AUF851977:AUT851977 BEB851977:BEP851977 BNX851977:BOL851977 BXT851977:BYH851977 CHP851977:CID851977 CRL851977:CRZ851977 DBH851977:DBV851977 DLD851977:DLR851977 DUZ851977:DVN851977 EEV851977:EFJ851977 EOR851977:EPF851977 EYN851977:EZB851977 FIJ851977:FIX851977 FSF851977:FST851977 GCB851977:GCP851977 GLX851977:GML851977 GVT851977:GWH851977 HFP851977:HGD851977 HPL851977:HPZ851977 HZH851977:HZV851977 IJD851977:IJR851977 ISZ851977:ITN851977 JCV851977:JDJ851977 JMR851977:JNF851977 JWN851977:JXB851977 KGJ851977:KGX851977 KQF851977:KQT851977 LAB851977:LAP851977 LJX851977:LKL851977 LTT851977:LUH851977 MDP851977:MED851977 MNL851977:MNZ851977 MXH851977:MXV851977 NHD851977:NHR851977 NQZ851977:NRN851977 OAV851977:OBJ851977 OKR851977:OLF851977 OUN851977:OVB851977 PEJ851977:PEX851977 POF851977:POT851977 PYB851977:PYP851977 QHX851977:QIL851977 QRT851977:QSH851977 RBP851977:RCD851977 RLL851977:RLZ851977 RVH851977:RVV851977 SFD851977:SFR851977 SOZ851977:SPN851977 SYV851977:SZJ851977 TIR851977:TJF851977 TSN851977:TTB851977 UCJ851977:UCX851977 UMF851977:UMT851977 UWB851977:UWP851977 VFX851977:VGL851977 VPT851977:VQH851977 VZP851977:WAD851977 WJL851977:WJZ851977 WTH851977:WTV851977 XDD851977:XDR851977 GV917513:HJ917513 QR917513:RF917513 AAN917513:ABB917513 AKJ917513:AKX917513 AUF917513:AUT917513 BEB917513:BEP917513 BNX917513:BOL917513 BXT917513:BYH917513 CHP917513:CID917513 CRL917513:CRZ917513 DBH917513:DBV917513 DLD917513:DLR917513 DUZ917513:DVN917513 EEV917513:EFJ917513 EOR917513:EPF917513 EYN917513:EZB917513 FIJ917513:FIX917513 FSF917513:FST917513 GCB917513:GCP917513 GLX917513:GML917513 GVT917513:GWH917513 HFP917513:HGD917513 HPL917513:HPZ917513 HZH917513:HZV917513 IJD917513:IJR917513 ISZ917513:ITN917513 JCV917513:JDJ917513 JMR917513:JNF917513 JWN917513:JXB917513 KGJ917513:KGX917513 KQF917513:KQT917513 LAB917513:LAP917513 LJX917513:LKL917513 LTT917513:LUH917513 MDP917513:MED917513 MNL917513:MNZ917513 MXH917513:MXV917513 NHD917513:NHR917513 NQZ917513:NRN917513 OAV917513:OBJ917513 OKR917513:OLF917513 OUN917513:OVB917513 PEJ917513:PEX917513 POF917513:POT917513 PYB917513:PYP917513 QHX917513:QIL917513 QRT917513:QSH917513 RBP917513:RCD917513 RLL917513:RLZ917513 RVH917513:RVV917513 SFD917513:SFR917513 SOZ917513:SPN917513 SYV917513:SZJ917513 TIR917513:TJF917513 TSN917513:TTB917513 UCJ917513:UCX917513 UMF917513:UMT917513 UWB917513:UWP917513 VFX917513:VGL917513 VPT917513:VQH917513 VZP917513:WAD917513 WJL917513:WJZ917513 WTH917513:WTV917513 XDD917513:XDR917513 GV983049:HJ983049 QR983049:RF983049 AAN983049:ABB983049 AKJ983049:AKX983049 AUF983049:AUT983049 BEB983049:BEP983049 BNX983049:BOL983049 BXT983049:BYH983049 CHP983049:CID983049 CRL983049:CRZ983049 DBH983049:DBV983049 DLD983049:DLR983049 DUZ983049:DVN983049 EEV983049:EFJ983049 EOR983049:EPF983049 EYN983049:EZB983049 FIJ983049:FIX983049 FSF983049:FST983049 GCB983049:GCP983049 GLX983049:GML983049 GVT983049:GWH983049 HFP983049:HGD983049 HPL983049:HPZ983049 HZH983049:HZV983049 IJD983049:IJR983049 ISZ983049:ITN983049 JCV983049:JDJ983049 JMR983049:JNF983049 JWN983049:JXB983049 KGJ983049:KGX983049 KQF983049:KQT983049 LAB983049:LAP983049 LJX983049:LKL983049 LTT983049:LUH983049 MDP983049:MED983049 MNL983049:MNZ983049 MXH983049:MXV983049 NHD983049:NHR983049 NQZ983049:NRN983049 OAV983049:OBJ983049 OKR983049:OLF983049 OUN983049:OVB983049 PEJ983049:PEX983049 POF983049:POT983049 PYB983049:PYP983049 QHX983049:QIL983049 QRT983049:QSH983049 RBP983049:RCD983049 RLL983049:RLZ983049 RVH983049:RVV983049 SFD983049:SFR983049 SOZ983049:SPN983049 SYV983049:SZJ983049 TIR983049:TJF983049 TSN983049:TTB983049 UCJ983049:UCX983049 UMF983049:UMT983049 UWB983049:UWP983049 VFX983049:VGL983049 VPT983049:VQH983049 VZP983049:WAD983049 WJL983049:WJZ983049 WTH983049:WTV983049 XDD983049:XDR983049 D57976:R57976 IZ57976:JN57976 SV57976:TJ57976 ACR57976:ADF57976 AMN57976:ANB57976 AWJ57976:AWX57976 BGF57976:BGT57976 BQB57976:BQP57976 BZX57976:CAL57976 CJT57976:CKH57976 CTP57976:CUD57976 DDL57976:DDZ57976 DNH57976:DNV57976 DXD57976:DXR57976 EGZ57976:EHN57976 EQV57976:ERJ57976 FAR57976:FBF57976 FKN57976:FLB57976 FUJ57976:FUX57976 GEF57976:GET57976 GOB57976:GOP57976 GXX57976:GYL57976 HHT57976:HIH57976 HRP57976:HSD57976 IBL57976:IBZ57976 ILH57976:ILV57976 IVD57976:IVR57976 JEZ57976:JFN57976 JOV57976:JPJ57976 JYR57976:JZF57976 KIN57976:KJB57976 KSJ57976:KSX57976 LCF57976:LCT57976 LMB57976:LMP57976 LVX57976:LWL57976 MFT57976:MGH57976 MPP57976:MQD57976 MZL57976:MZZ57976 NJH57976:NJV57976 NTD57976:NTR57976 OCZ57976:ODN57976 OMV57976:ONJ57976 OWR57976:OXF57976 PGN57976:PHB57976 PQJ57976:PQX57976 QAF57976:QAT57976 QKB57976:QKP57976 QTX57976:QUL57976 RDT57976:REH57976 RNP57976:ROD57976 RXL57976:RXZ57976 SHH57976:SHV57976 SRD57976:SRR57976 TAZ57976:TBN57976 TKV57976:TLJ57976 TUR57976:TVF57976 UEN57976:UFB57976 UOJ57976:UOX57976 UYF57976:UYT57976 VIB57976:VIP57976 VRX57976:VSL57976 WBT57976:WCH57976 WLP57976:WMD57976 WVL57976:WVZ57976 D123512:R123512 IZ123512:JN123512 SV123512:TJ123512 ACR123512:ADF123512 AMN123512:ANB123512 AWJ123512:AWX123512 BGF123512:BGT123512 BQB123512:BQP123512 BZX123512:CAL123512 CJT123512:CKH123512 CTP123512:CUD123512 DDL123512:DDZ123512 DNH123512:DNV123512 DXD123512:DXR123512 EGZ123512:EHN123512 EQV123512:ERJ123512 FAR123512:FBF123512 FKN123512:FLB123512 FUJ123512:FUX123512 GEF123512:GET123512 GOB123512:GOP123512 GXX123512:GYL123512 HHT123512:HIH123512 HRP123512:HSD123512 IBL123512:IBZ123512 ILH123512:ILV123512 IVD123512:IVR123512 JEZ123512:JFN123512 JOV123512:JPJ123512 JYR123512:JZF123512 KIN123512:KJB123512 KSJ123512:KSX123512 LCF123512:LCT123512 LMB123512:LMP123512 LVX123512:LWL123512 MFT123512:MGH123512 MPP123512:MQD123512 MZL123512:MZZ123512 NJH123512:NJV123512 NTD123512:NTR123512 OCZ123512:ODN123512 OMV123512:ONJ123512 OWR123512:OXF123512 PGN123512:PHB123512 PQJ123512:PQX123512 QAF123512:QAT123512 QKB123512:QKP123512 QTX123512:QUL123512 RDT123512:REH123512 RNP123512:ROD123512 RXL123512:RXZ123512 SHH123512:SHV123512 SRD123512:SRR123512 TAZ123512:TBN123512 TKV123512:TLJ123512 TUR123512:TVF123512 UEN123512:UFB123512 UOJ123512:UOX123512 UYF123512:UYT123512 VIB123512:VIP123512 VRX123512:VSL123512 WBT123512:WCH123512 WLP123512:WMD123512 WVL123512:WVZ123512 D189048:R189048 IZ189048:JN189048 SV189048:TJ189048 ACR189048:ADF189048 AMN189048:ANB189048 AWJ189048:AWX189048 BGF189048:BGT189048 BQB189048:BQP189048 BZX189048:CAL189048 CJT189048:CKH189048 CTP189048:CUD189048 DDL189048:DDZ189048 DNH189048:DNV189048 DXD189048:DXR189048 EGZ189048:EHN189048 EQV189048:ERJ189048 FAR189048:FBF189048 FKN189048:FLB189048 FUJ189048:FUX189048 GEF189048:GET189048 GOB189048:GOP189048 GXX189048:GYL189048 HHT189048:HIH189048 HRP189048:HSD189048 IBL189048:IBZ189048 ILH189048:ILV189048 IVD189048:IVR189048 JEZ189048:JFN189048 JOV189048:JPJ189048 JYR189048:JZF189048 KIN189048:KJB189048 KSJ189048:KSX189048 LCF189048:LCT189048 LMB189048:LMP189048 LVX189048:LWL189048 MFT189048:MGH189048 MPP189048:MQD189048 MZL189048:MZZ189048 NJH189048:NJV189048 NTD189048:NTR189048 OCZ189048:ODN189048 OMV189048:ONJ189048 OWR189048:OXF189048 PGN189048:PHB189048 PQJ189048:PQX189048 QAF189048:QAT189048 QKB189048:QKP189048 QTX189048:QUL189048 RDT189048:REH189048 RNP189048:ROD189048 RXL189048:RXZ189048 SHH189048:SHV189048 SRD189048:SRR189048 TAZ189048:TBN189048 TKV189048:TLJ189048 TUR189048:TVF189048 UEN189048:UFB189048 UOJ189048:UOX189048 UYF189048:UYT189048 VIB189048:VIP189048 VRX189048:VSL189048 WBT189048:WCH189048 WLP189048:WMD189048 WVL189048:WVZ189048 D254584:R254584 IZ254584:JN254584 SV254584:TJ254584 ACR254584:ADF254584 AMN254584:ANB254584 AWJ254584:AWX254584 BGF254584:BGT254584 BQB254584:BQP254584 BZX254584:CAL254584 CJT254584:CKH254584 CTP254584:CUD254584 DDL254584:DDZ254584 DNH254584:DNV254584 DXD254584:DXR254584 EGZ254584:EHN254584 EQV254584:ERJ254584 FAR254584:FBF254584 FKN254584:FLB254584 FUJ254584:FUX254584 GEF254584:GET254584 GOB254584:GOP254584 GXX254584:GYL254584 HHT254584:HIH254584 HRP254584:HSD254584 IBL254584:IBZ254584 ILH254584:ILV254584 IVD254584:IVR254584 JEZ254584:JFN254584 JOV254584:JPJ254584 JYR254584:JZF254584 KIN254584:KJB254584 KSJ254584:KSX254584 LCF254584:LCT254584 LMB254584:LMP254584 LVX254584:LWL254584 MFT254584:MGH254584 MPP254584:MQD254584 MZL254584:MZZ254584 NJH254584:NJV254584 NTD254584:NTR254584 OCZ254584:ODN254584 OMV254584:ONJ254584 OWR254584:OXF254584 PGN254584:PHB254584 PQJ254584:PQX254584 QAF254584:QAT254584 QKB254584:QKP254584 QTX254584:QUL254584 RDT254584:REH254584 RNP254584:ROD254584 RXL254584:RXZ254584 SHH254584:SHV254584 SRD254584:SRR254584 TAZ254584:TBN254584 TKV254584:TLJ254584 TUR254584:TVF254584 UEN254584:UFB254584 UOJ254584:UOX254584 UYF254584:UYT254584 VIB254584:VIP254584 VRX254584:VSL254584 WBT254584:WCH254584 WLP254584:WMD254584 WVL254584:WVZ254584 D320120:R320120 IZ320120:JN320120 SV320120:TJ320120 ACR320120:ADF320120 AMN320120:ANB320120 AWJ320120:AWX320120 BGF320120:BGT320120 BQB320120:BQP320120 BZX320120:CAL320120 CJT320120:CKH320120 CTP320120:CUD320120 DDL320120:DDZ320120 DNH320120:DNV320120 DXD320120:DXR320120 EGZ320120:EHN320120 EQV320120:ERJ320120 FAR320120:FBF320120 FKN320120:FLB320120 FUJ320120:FUX320120 GEF320120:GET320120 GOB320120:GOP320120 GXX320120:GYL320120 HHT320120:HIH320120 HRP320120:HSD320120 IBL320120:IBZ320120 ILH320120:ILV320120 IVD320120:IVR320120 JEZ320120:JFN320120 JOV320120:JPJ320120 JYR320120:JZF320120 KIN320120:KJB320120 KSJ320120:KSX320120 LCF320120:LCT320120 LMB320120:LMP320120 LVX320120:LWL320120 MFT320120:MGH320120 MPP320120:MQD320120 MZL320120:MZZ320120 NJH320120:NJV320120 NTD320120:NTR320120 OCZ320120:ODN320120 OMV320120:ONJ320120 OWR320120:OXF320120 PGN320120:PHB320120 PQJ320120:PQX320120 QAF320120:QAT320120 QKB320120:QKP320120 QTX320120:QUL320120 RDT320120:REH320120 RNP320120:ROD320120 RXL320120:RXZ320120 SHH320120:SHV320120 SRD320120:SRR320120 TAZ320120:TBN320120 TKV320120:TLJ320120 TUR320120:TVF320120 UEN320120:UFB320120 UOJ320120:UOX320120 UYF320120:UYT320120 VIB320120:VIP320120 VRX320120:VSL320120 WBT320120:WCH320120 WLP320120:WMD320120 WVL320120:WVZ320120 D385656:R385656 IZ385656:JN385656 SV385656:TJ385656 ACR385656:ADF385656 AMN385656:ANB385656 AWJ385656:AWX385656 BGF385656:BGT385656 BQB385656:BQP385656 BZX385656:CAL385656 CJT385656:CKH385656 CTP385656:CUD385656 DDL385656:DDZ385656 DNH385656:DNV385656 DXD385656:DXR385656 EGZ385656:EHN385656 EQV385656:ERJ385656 FAR385656:FBF385656 FKN385656:FLB385656 FUJ385656:FUX385656 GEF385656:GET385656 GOB385656:GOP385656 GXX385656:GYL385656 HHT385656:HIH385656 HRP385656:HSD385656 IBL385656:IBZ385656 ILH385656:ILV385656 IVD385656:IVR385656 JEZ385656:JFN385656 JOV385656:JPJ385656 JYR385656:JZF385656 KIN385656:KJB385656 KSJ385656:KSX385656 LCF385656:LCT385656 LMB385656:LMP385656 LVX385656:LWL385656 MFT385656:MGH385656 MPP385656:MQD385656 MZL385656:MZZ385656 NJH385656:NJV385656 NTD385656:NTR385656 OCZ385656:ODN385656 OMV385656:ONJ385656 OWR385656:OXF385656 PGN385656:PHB385656 PQJ385656:PQX385656 QAF385656:QAT385656 QKB385656:QKP385656 QTX385656:QUL385656 RDT385656:REH385656 RNP385656:ROD385656 RXL385656:RXZ385656 SHH385656:SHV385656 SRD385656:SRR385656 TAZ385656:TBN385656 TKV385656:TLJ385656 TUR385656:TVF385656 UEN385656:UFB385656 UOJ385656:UOX385656 UYF385656:UYT385656 VIB385656:VIP385656 VRX385656:VSL385656 WBT385656:WCH385656 WLP385656:WMD385656 WVL385656:WVZ385656 D451192:R451192 IZ451192:JN451192 SV451192:TJ451192 ACR451192:ADF451192 AMN451192:ANB451192 AWJ451192:AWX451192 BGF451192:BGT451192 BQB451192:BQP451192 BZX451192:CAL451192 CJT451192:CKH451192 CTP451192:CUD451192 DDL451192:DDZ451192 DNH451192:DNV451192 DXD451192:DXR451192 EGZ451192:EHN451192 EQV451192:ERJ451192 FAR451192:FBF451192 FKN451192:FLB451192 FUJ451192:FUX451192 GEF451192:GET451192 GOB451192:GOP451192 GXX451192:GYL451192 HHT451192:HIH451192 HRP451192:HSD451192 IBL451192:IBZ451192 ILH451192:ILV451192 IVD451192:IVR451192 JEZ451192:JFN451192 JOV451192:JPJ451192 JYR451192:JZF451192 KIN451192:KJB451192 KSJ451192:KSX451192 LCF451192:LCT451192 LMB451192:LMP451192 LVX451192:LWL451192 MFT451192:MGH451192 MPP451192:MQD451192 MZL451192:MZZ451192 NJH451192:NJV451192 NTD451192:NTR451192 OCZ451192:ODN451192 OMV451192:ONJ451192 OWR451192:OXF451192 PGN451192:PHB451192 PQJ451192:PQX451192 QAF451192:QAT451192 QKB451192:QKP451192 QTX451192:QUL451192 RDT451192:REH451192 RNP451192:ROD451192 RXL451192:RXZ451192 SHH451192:SHV451192 SRD451192:SRR451192 TAZ451192:TBN451192 TKV451192:TLJ451192 TUR451192:TVF451192 UEN451192:UFB451192 UOJ451192:UOX451192 UYF451192:UYT451192 VIB451192:VIP451192 VRX451192:VSL451192 WBT451192:WCH451192 WLP451192:WMD451192 WVL451192:WVZ451192 D516728:R516728 IZ516728:JN516728 SV516728:TJ516728 ACR516728:ADF516728 AMN516728:ANB516728 AWJ516728:AWX516728 BGF516728:BGT516728 BQB516728:BQP516728 BZX516728:CAL516728 CJT516728:CKH516728 CTP516728:CUD516728 DDL516728:DDZ516728 DNH516728:DNV516728 DXD516728:DXR516728 EGZ516728:EHN516728 EQV516728:ERJ516728 FAR516728:FBF516728 FKN516728:FLB516728 FUJ516728:FUX516728 GEF516728:GET516728 GOB516728:GOP516728 GXX516728:GYL516728 HHT516728:HIH516728 HRP516728:HSD516728 IBL516728:IBZ516728 ILH516728:ILV516728 IVD516728:IVR516728 JEZ516728:JFN516728 JOV516728:JPJ516728 JYR516728:JZF516728 KIN516728:KJB516728 KSJ516728:KSX516728 LCF516728:LCT516728 LMB516728:LMP516728 LVX516728:LWL516728 MFT516728:MGH516728 MPP516728:MQD516728 MZL516728:MZZ516728 NJH516728:NJV516728 NTD516728:NTR516728 OCZ516728:ODN516728 OMV516728:ONJ516728 OWR516728:OXF516728 PGN516728:PHB516728 PQJ516728:PQX516728 QAF516728:QAT516728 QKB516728:QKP516728 QTX516728:QUL516728 RDT516728:REH516728 RNP516728:ROD516728 RXL516728:RXZ516728 SHH516728:SHV516728 SRD516728:SRR516728 TAZ516728:TBN516728 TKV516728:TLJ516728 TUR516728:TVF516728 UEN516728:UFB516728 UOJ516728:UOX516728 UYF516728:UYT516728 VIB516728:VIP516728 VRX516728:VSL516728 WBT516728:WCH516728 WLP516728:WMD516728 WVL516728:WVZ516728 D582264:R582264 IZ582264:JN582264 SV582264:TJ582264 ACR582264:ADF582264 AMN582264:ANB582264 AWJ582264:AWX582264 BGF582264:BGT582264 BQB582264:BQP582264 BZX582264:CAL582264 CJT582264:CKH582264 CTP582264:CUD582264 DDL582264:DDZ582264 DNH582264:DNV582264 DXD582264:DXR582264 EGZ582264:EHN582264 EQV582264:ERJ582264 FAR582264:FBF582264 FKN582264:FLB582264 FUJ582264:FUX582264 GEF582264:GET582264 GOB582264:GOP582264 GXX582264:GYL582264 HHT582264:HIH582264 HRP582264:HSD582264 IBL582264:IBZ582264 ILH582264:ILV582264 IVD582264:IVR582264 JEZ582264:JFN582264 JOV582264:JPJ582264 JYR582264:JZF582264 KIN582264:KJB582264 KSJ582264:KSX582264 LCF582264:LCT582264 LMB582264:LMP582264 LVX582264:LWL582264 MFT582264:MGH582264 MPP582264:MQD582264 MZL582264:MZZ582264 NJH582264:NJV582264 NTD582264:NTR582264 OCZ582264:ODN582264 OMV582264:ONJ582264 OWR582264:OXF582264 PGN582264:PHB582264 PQJ582264:PQX582264 QAF582264:QAT582264 QKB582264:QKP582264 QTX582264:QUL582264 RDT582264:REH582264 RNP582264:ROD582264 RXL582264:RXZ582264 SHH582264:SHV582264 SRD582264:SRR582264 TAZ582264:TBN582264 TKV582264:TLJ582264 TUR582264:TVF582264 UEN582264:UFB582264 UOJ582264:UOX582264 UYF582264:UYT582264 VIB582264:VIP582264 VRX582264:VSL582264 WBT582264:WCH582264 WLP582264:WMD582264 WVL582264:WVZ582264 D647800:R647800 IZ647800:JN647800 SV647800:TJ647800 ACR647800:ADF647800 AMN647800:ANB647800 AWJ647800:AWX647800 BGF647800:BGT647800 BQB647800:BQP647800 BZX647800:CAL647800 CJT647800:CKH647800 CTP647800:CUD647800 DDL647800:DDZ647800 DNH647800:DNV647800 DXD647800:DXR647800 EGZ647800:EHN647800 EQV647800:ERJ647800 FAR647800:FBF647800 FKN647800:FLB647800 FUJ647800:FUX647800 GEF647800:GET647800 GOB647800:GOP647800 GXX647800:GYL647800 HHT647800:HIH647800 HRP647800:HSD647800 IBL647800:IBZ647800 ILH647800:ILV647800 IVD647800:IVR647800 JEZ647800:JFN647800 JOV647800:JPJ647800 JYR647800:JZF647800 KIN647800:KJB647800 KSJ647800:KSX647800 LCF647800:LCT647800 LMB647800:LMP647800 LVX647800:LWL647800 MFT647800:MGH647800 MPP647800:MQD647800 MZL647800:MZZ647800 NJH647800:NJV647800 NTD647800:NTR647800 OCZ647800:ODN647800 OMV647800:ONJ647800 OWR647800:OXF647800 PGN647800:PHB647800 PQJ647800:PQX647800 QAF647800:QAT647800 QKB647800:QKP647800 QTX647800:QUL647800 RDT647800:REH647800 RNP647800:ROD647800 RXL647800:RXZ647800 SHH647800:SHV647800 SRD647800:SRR647800 TAZ647800:TBN647800 TKV647800:TLJ647800 TUR647800:TVF647800 UEN647800:UFB647800 UOJ647800:UOX647800 UYF647800:UYT647800 VIB647800:VIP647800 VRX647800:VSL647800 WBT647800:WCH647800 WLP647800:WMD647800 WVL647800:WVZ647800 D713336:R713336 IZ713336:JN713336 SV713336:TJ713336 ACR713336:ADF713336 AMN713336:ANB713336 AWJ713336:AWX713336 BGF713336:BGT713336 BQB713336:BQP713336 BZX713336:CAL713336 CJT713336:CKH713336 CTP713336:CUD713336 DDL713336:DDZ713336 DNH713336:DNV713336 DXD713336:DXR713336 EGZ713336:EHN713336 EQV713336:ERJ713336 FAR713336:FBF713336 FKN713336:FLB713336 FUJ713336:FUX713336 GEF713336:GET713336 GOB713336:GOP713336 GXX713336:GYL713336 HHT713336:HIH713336 HRP713336:HSD713336 IBL713336:IBZ713336 ILH713336:ILV713336 IVD713336:IVR713336 JEZ713336:JFN713336 JOV713336:JPJ713336 JYR713336:JZF713336 KIN713336:KJB713336 KSJ713336:KSX713336 LCF713336:LCT713336 LMB713336:LMP713336 LVX713336:LWL713336 MFT713336:MGH713336 MPP713336:MQD713336 MZL713336:MZZ713336 NJH713336:NJV713336 NTD713336:NTR713336 OCZ713336:ODN713336 OMV713336:ONJ713336 OWR713336:OXF713336 PGN713336:PHB713336 PQJ713336:PQX713336 QAF713336:QAT713336 QKB713336:QKP713336 QTX713336:QUL713336 RDT713336:REH713336 RNP713336:ROD713336 RXL713336:RXZ713336 SHH713336:SHV713336 SRD713336:SRR713336 TAZ713336:TBN713336 TKV713336:TLJ713336 TUR713336:TVF713336 UEN713336:UFB713336 UOJ713336:UOX713336 UYF713336:UYT713336 VIB713336:VIP713336 VRX713336:VSL713336 WBT713336:WCH713336 WLP713336:WMD713336 WVL713336:WVZ713336 D778872:R778872 IZ778872:JN778872 SV778872:TJ778872 ACR778872:ADF778872 AMN778872:ANB778872 AWJ778872:AWX778872 BGF778872:BGT778872 BQB778872:BQP778872 BZX778872:CAL778872 CJT778872:CKH778872 CTP778872:CUD778872 DDL778872:DDZ778872 DNH778872:DNV778872 DXD778872:DXR778872 EGZ778872:EHN778872 EQV778872:ERJ778872 FAR778872:FBF778872 FKN778872:FLB778872 FUJ778872:FUX778872 GEF778872:GET778872 GOB778872:GOP778872 GXX778872:GYL778872 HHT778872:HIH778872 HRP778872:HSD778872 IBL778872:IBZ778872 ILH778872:ILV778872 IVD778872:IVR778872 JEZ778872:JFN778872 JOV778872:JPJ778872 JYR778872:JZF778872 KIN778872:KJB778872 KSJ778872:KSX778872 LCF778872:LCT778872 LMB778872:LMP778872 LVX778872:LWL778872 MFT778872:MGH778872 MPP778872:MQD778872 MZL778872:MZZ778872 NJH778872:NJV778872 NTD778872:NTR778872 OCZ778872:ODN778872 OMV778872:ONJ778872 OWR778872:OXF778872 PGN778872:PHB778872 PQJ778872:PQX778872 QAF778872:QAT778872 QKB778872:QKP778872 QTX778872:QUL778872 RDT778872:REH778872 RNP778872:ROD778872 RXL778872:RXZ778872 SHH778872:SHV778872 SRD778872:SRR778872 TAZ778872:TBN778872 TKV778872:TLJ778872 TUR778872:TVF778872 UEN778872:UFB778872 UOJ778872:UOX778872 UYF778872:UYT778872 VIB778872:VIP778872 VRX778872:VSL778872 WBT778872:WCH778872 WLP778872:WMD778872 WVL778872:WVZ778872 D844408:R844408 IZ844408:JN844408 SV844408:TJ844408 ACR844408:ADF844408 AMN844408:ANB844408 AWJ844408:AWX844408 BGF844408:BGT844408 BQB844408:BQP844408 BZX844408:CAL844408 CJT844408:CKH844408 CTP844408:CUD844408 DDL844408:DDZ844408 DNH844408:DNV844408 DXD844408:DXR844408 EGZ844408:EHN844408 EQV844408:ERJ844408 FAR844408:FBF844408 FKN844408:FLB844408 FUJ844408:FUX844408 GEF844408:GET844408 GOB844408:GOP844408 GXX844408:GYL844408 HHT844408:HIH844408 HRP844408:HSD844408 IBL844408:IBZ844408 ILH844408:ILV844408 IVD844408:IVR844408 JEZ844408:JFN844408 JOV844408:JPJ844408 JYR844408:JZF844408 KIN844408:KJB844408 KSJ844408:KSX844408 LCF844408:LCT844408 LMB844408:LMP844408 LVX844408:LWL844408 MFT844408:MGH844408 MPP844408:MQD844408 MZL844408:MZZ844408 NJH844408:NJV844408 NTD844408:NTR844408 OCZ844408:ODN844408 OMV844408:ONJ844408 OWR844408:OXF844408 PGN844408:PHB844408 PQJ844408:PQX844408 QAF844408:QAT844408 QKB844408:QKP844408 QTX844408:QUL844408 RDT844408:REH844408 RNP844408:ROD844408 RXL844408:RXZ844408 SHH844408:SHV844408 SRD844408:SRR844408 TAZ844408:TBN844408 TKV844408:TLJ844408 TUR844408:TVF844408 UEN844408:UFB844408 UOJ844408:UOX844408 UYF844408:UYT844408 VIB844408:VIP844408 VRX844408:VSL844408 WBT844408:WCH844408 WLP844408:WMD844408 WVL844408:WVZ844408 D909944:R909944 IZ909944:JN909944 SV909944:TJ909944 ACR909944:ADF909944 AMN909944:ANB909944 AWJ909944:AWX909944 BGF909944:BGT909944 BQB909944:BQP909944 BZX909944:CAL909944 CJT909944:CKH909944 CTP909944:CUD909944 DDL909944:DDZ909944 DNH909944:DNV909944 DXD909944:DXR909944 EGZ909944:EHN909944 EQV909944:ERJ909944 FAR909944:FBF909944 FKN909944:FLB909944 FUJ909944:FUX909944 GEF909944:GET909944 GOB909944:GOP909944 GXX909944:GYL909944 HHT909944:HIH909944 HRP909944:HSD909944 IBL909944:IBZ909944 ILH909944:ILV909944 IVD909944:IVR909944 JEZ909944:JFN909944 JOV909944:JPJ909944 JYR909944:JZF909944 KIN909944:KJB909944 KSJ909944:KSX909944 LCF909944:LCT909944 LMB909944:LMP909944 LVX909944:LWL909944 MFT909944:MGH909944 MPP909944:MQD909944 MZL909944:MZZ909944 NJH909944:NJV909944 NTD909944:NTR909944 OCZ909944:ODN909944 OMV909944:ONJ909944 OWR909944:OXF909944 PGN909944:PHB909944 PQJ909944:PQX909944 QAF909944:QAT909944 QKB909944:QKP909944 QTX909944:QUL909944 RDT909944:REH909944 RNP909944:ROD909944 RXL909944:RXZ909944 SHH909944:SHV909944 SRD909944:SRR909944 TAZ909944:TBN909944 TKV909944:TLJ909944 TUR909944:TVF909944 UEN909944:UFB909944 UOJ909944:UOX909944 UYF909944:UYT909944 VIB909944:VIP909944 VRX909944:VSL909944 WBT909944:WCH909944 WLP909944:WMD909944 WVL909944:WVZ909944 D975480:R975480 IZ975480:JN975480 SV975480:TJ975480 ACR975480:ADF975480 AMN975480:ANB975480 AWJ975480:AWX975480 BGF975480:BGT975480 BQB975480:BQP975480 BZX975480:CAL975480 CJT975480:CKH975480 CTP975480:CUD975480 DDL975480:DDZ975480 DNH975480:DNV975480 DXD975480:DXR975480 EGZ975480:EHN975480 EQV975480:ERJ975480 FAR975480:FBF975480 FKN975480:FLB975480 FUJ975480:FUX975480 GEF975480:GET975480 GOB975480:GOP975480 GXX975480:GYL975480 HHT975480:HIH975480 HRP975480:HSD975480 IBL975480:IBZ975480 ILH975480:ILV975480 IVD975480:IVR975480 JEZ975480:JFN975480 JOV975480:JPJ975480 JYR975480:JZF975480 KIN975480:KJB975480 KSJ975480:KSX975480 LCF975480:LCT975480 LMB975480:LMP975480 LVX975480:LWL975480 MFT975480:MGH975480 MPP975480:MQD975480 MZL975480:MZZ975480 NJH975480:NJV975480 NTD975480:NTR975480 OCZ975480:ODN975480 OMV975480:ONJ975480 OWR975480:OXF975480 PGN975480:PHB975480 PQJ975480:PQX975480 QAF975480:QAT975480 QKB975480:QKP975480 QTX975480:QUL975480 RDT975480:REH975480 RNP975480:ROD975480 RXL975480:RXZ975480 SHH975480:SHV975480 SRD975480:SRR975480 TAZ975480:TBN975480 TKV975480:TLJ975480 TUR975480:TVF975480 UEN975480:UFB975480 UOJ975480:UOX975480 UYF975480:UYT975480 VIB975480:VIP975480 VRX975480:VSL975480 WBT975480:WCH975480 WLP975480:WMD975480 WVL975480:WVZ975480 D1041016:R1041016 IZ1041016:JN1041016 SV1041016:TJ1041016 ACR1041016:ADF1041016 AMN1041016:ANB1041016 AWJ1041016:AWX1041016 BGF1041016:BGT1041016 BQB1041016:BQP1041016 BZX1041016:CAL1041016 CJT1041016:CKH1041016 CTP1041016:CUD1041016 DDL1041016:DDZ1041016 DNH1041016:DNV1041016 DXD1041016:DXR1041016 EGZ1041016:EHN1041016 EQV1041016:ERJ1041016 FAR1041016:FBF1041016 FKN1041016:FLB1041016 FUJ1041016:FUX1041016 GEF1041016:GET1041016 GOB1041016:GOP1041016 GXX1041016:GYL1041016 HHT1041016:HIH1041016 HRP1041016:HSD1041016 IBL1041016:IBZ1041016 ILH1041016:ILV1041016 IVD1041016:IVR1041016 JEZ1041016:JFN1041016 JOV1041016:JPJ1041016 JYR1041016:JZF1041016 KIN1041016:KJB1041016 KSJ1041016:KSX1041016 LCF1041016:LCT1041016 LMB1041016:LMP1041016 LVX1041016:LWL1041016 MFT1041016:MGH1041016 MPP1041016:MQD1041016 MZL1041016:MZZ1041016 NJH1041016:NJV1041016 NTD1041016:NTR1041016 OCZ1041016:ODN1041016 OMV1041016:ONJ1041016 OWR1041016:OXF1041016 PGN1041016:PHB1041016 PQJ1041016:PQX1041016 QAF1041016:QAT1041016 QKB1041016:QKP1041016 QTX1041016:QUL1041016 RDT1041016:REH1041016 RNP1041016:ROD1041016 RXL1041016:RXZ1041016 SHH1041016:SHV1041016 SRD1041016:SRR1041016 TAZ1041016:TBN1041016 TKV1041016:TLJ1041016 TUR1041016:TVF1041016 UEN1041016:UFB1041016 UOJ1041016:UOX1041016 UYF1041016:UYT1041016 VIB1041016:VIP1041016 VRX1041016:VSL1041016 WBT1041016:WCH1041016 WLP1041016:WMD1041016 WVL1041016:WVZ1041016 GV57976:HJ57976 QR57976:RF57976 AAN57976:ABB57976 AKJ57976:AKX57976 AUF57976:AUT57976 BEB57976:BEP57976 BNX57976:BOL57976 BXT57976:BYH57976 CHP57976:CID57976 CRL57976:CRZ57976 DBH57976:DBV57976 DLD57976:DLR57976 DUZ57976:DVN57976 EEV57976:EFJ57976 EOR57976:EPF57976 EYN57976:EZB57976 FIJ57976:FIX57976 FSF57976:FST57976 GCB57976:GCP57976 GLX57976:GML57976 GVT57976:GWH57976 HFP57976:HGD57976 HPL57976:HPZ57976 HZH57976:HZV57976 IJD57976:IJR57976 ISZ57976:ITN57976 JCV57976:JDJ57976 JMR57976:JNF57976 JWN57976:JXB57976 KGJ57976:KGX57976 KQF57976:KQT57976 LAB57976:LAP57976 LJX57976:LKL57976 LTT57976:LUH57976 MDP57976:MED57976 MNL57976:MNZ57976 MXH57976:MXV57976 NHD57976:NHR57976 NQZ57976:NRN57976 OAV57976:OBJ57976 OKR57976:OLF57976 OUN57976:OVB57976 PEJ57976:PEX57976 POF57976:POT57976 PYB57976:PYP57976 QHX57976:QIL57976 QRT57976:QSH57976 RBP57976:RCD57976 RLL57976:RLZ57976 RVH57976:RVV57976 SFD57976:SFR57976 SOZ57976:SPN57976 SYV57976:SZJ57976 TIR57976:TJF57976 TSN57976:TTB57976 UCJ57976:UCX57976 UMF57976:UMT57976 UWB57976:UWP57976 VFX57976:VGL57976 VPT57976:VQH57976 VZP57976:WAD57976 WJL57976:WJZ57976 WTH57976:WTV57976 XDD57976:XDR57976 GV123512:HJ123512 QR123512:RF123512 AAN123512:ABB123512 AKJ123512:AKX123512 AUF123512:AUT123512 BEB123512:BEP123512 BNX123512:BOL123512 BXT123512:BYH123512 CHP123512:CID123512 CRL123512:CRZ123512 DBH123512:DBV123512 DLD123512:DLR123512 DUZ123512:DVN123512 EEV123512:EFJ123512 EOR123512:EPF123512 EYN123512:EZB123512 FIJ123512:FIX123512 FSF123512:FST123512 GCB123512:GCP123512 GLX123512:GML123512 GVT123512:GWH123512 HFP123512:HGD123512 HPL123512:HPZ123512 HZH123512:HZV123512 IJD123512:IJR123512 ISZ123512:ITN123512 JCV123512:JDJ123512 JMR123512:JNF123512 JWN123512:JXB123512 KGJ123512:KGX123512 KQF123512:KQT123512 LAB123512:LAP123512 LJX123512:LKL123512 LTT123512:LUH123512 MDP123512:MED123512 MNL123512:MNZ123512 MXH123512:MXV123512 NHD123512:NHR123512 NQZ123512:NRN123512 OAV123512:OBJ123512 OKR123512:OLF123512 OUN123512:OVB123512 PEJ123512:PEX123512 POF123512:POT123512 PYB123512:PYP123512 QHX123512:QIL123512 QRT123512:QSH123512 RBP123512:RCD123512 RLL123512:RLZ123512 RVH123512:RVV123512 SFD123512:SFR123512 SOZ123512:SPN123512 SYV123512:SZJ123512 TIR123512:TJF123512 TSN123512:TTB123512 UCJ123512:UCX123512 UMF123512:UMT123512 UWB123512:UWP123512 VFX123512:VGL123512 VPT123512:VQH123512 VZP123512:WAD123512 WJL123512:WJZ123512 WTH123512:WTV123512 XDD123512:XDR123512 GV189048:HJ189048 QR189048:RF189048 AAN189048:ABB189048 AKJ189048:AKX189048 AUF189048:AUT189048 BEB189048:BEP189048 BNX189048:BOL189048 BXT189048:BYH189048 CHP189048:CID189048 CRL189048:CRZ189048 DBH189048:DBV189048 DLD189048:DLR189048 DUZ189048:DVN189048 EEV189048:EFJ189048 EOR189048:EPF189048 EYN189048:EZB189048 FIJ189048:FIX189048 FSF189048:FST189048 GCB189048:GCP189048 GLX189048:GML189048 GVT189048:GWH189048 HFP189048:HGD189048 HPL189048:HPZ189048 HZH189048:HZV189048 IJD189048:IJR189048 ISZ189048:ITN189048 JCV189048:JDJ189048 JMR189048:JNF189048 JWN189048:JXB189048 KGJ189048:KGX189048 KQF189048:KQT189048 LAB189048:LAP189048 LJX189048:LKL189048 LTT189048:LUH189048 MDP189048:MED189048 MNL189048:MNZ189048 MXH189048:MXV189048 NHD189048:NHR189048 NQZ189048:NRN189048 OAV189048:OBJ189048 OKR189048:OLF189048 OUN189048:OVB189048 PEJ189048:PEX189048 POF189048:POT189048 PYB189048:PYP189048 QHX189048:QIL189048 QRT189048:QSH189048 RBP189048:RCD189048 RLL189048:RLZ189048 RVH189048:RVV189048 SFD189048:SFR189048 SOZ189048:SPN189048 SYV189048:SZJ189048 TIR189048:TJF189048 TSN189048:TTB189048 UCJ189048:UCX189048 UMF189048:UMT189048 UWB189048:UWP189048 VFX189048:VGL189048 VPT189048:VQH189048 VZP189048:WAD189048 WJL189048:WJZ189048 WTH189048:WTV189048 XDD189048:XDR189048 GV254584:HJ254584 QR254584:RF254584 AAN254584:ABB254584 AKJ254584:AKX254584 AUF254584:AUT254584 BEB254584:BEP254584 BNX254584:BOL254584 BXT254584:BYH254584 CHP254584:CID254584 CRL254584:CRZ254584 DBH254584:DBV254584 DLD254584:DLR254584 DUZ254584:DVN254584 EEV254584:EFJ254584 EOR254584:EPF254584 EYN254584:EZB254584 FIJ254584:FIX254584 FSF254584:FST254584 GCB254584:GCP254584 GLX254584:GML254584 GVT254584:GWH254584 HFP254584:HGD254584 HPL254584:HPZ254584 HZH254584:HZV254584 IJD254584:IJR254584 ISZ254584:ITN254584 JCV254584:JDJ254584 JMR254584:JNF254584 JWN254584:JXB254584 KGJ254584:KGX254584 KQF254584:KQT254584 LAB254584:LAP254584 LJX254584:LKL254584 LTT254584:LUH254584 MDP254584:MED254584 MNL254584:MNZ254584 MXH254584:MXV254584 NHD254584:NHR254584 NQZ254584:NRN254584 OAV254584:OBJ254584 OKR254584:OLF254584 OUN254584:OVB254584 PEJ254584:PEX254584 POF254584:POT254584 PYB254584:PYP254584 QHX254584:QIL254584 QRT254584:QSH254584 RBP254584:RCD254584 RLL254584:RLZ254584 RVH254584:RVV254584 SFD254584:SFR254584 SOZ254584:SPN254584 SYV254584:SZJ254584 TIR254584:TJF254584 TSN254584:TTB254584 UCJ254584:UCX254584 UMF254584:UMT254584 UWB254584:UWP254584 VFX254584:VGL254584 VPT254584:VQH254584 VZP254584:WAD254584 WJL254584:WJZ254584 WTH254584:WTV254584 XDD254584:XDR254584 GV320120:HJ320120 QR320120:RF320120 AAN320120:ABB320120 AKJ320120:AKX320120 AUF320120:AUT320120 BEB320120:BEP320120 BNX320120:BOL320120 BXT320120:BYH320120 CHP320120:CID320120 CRL320120:CRZ320120 DBH320120:DBV320120 DLD320120:DLR320120 DUZ320120:DVN320120 EEV320120:EFJ320120 EOR320120:EPF320120 EYN320120:EZB320120 FIJ320120:FIX320120 FSF320120:FST320120 GCB320120:GCP320120 GLX320120:GML320120 GVT320120:GWH320120 HFP320120:HGD320120 HPL320120:HPZ320120 HZH320120:HZV320120 IJD320120:IJR320120 ISZ320120:ITN320120 JCV320120:JDJ320120 JMR320120:JNF320120 JWN320120:JXB320120 KGJ320120:KGX320120 KQF320120:KQT320120 LAB320120:LAP320120 LJX320120:LKL320120 LTT320120:LUH320120 MDP320120:MED320120 MNL320120:MNZ320120 MXH320120:MXV320120 NHD320120:NHR320120 NQZ320120:NRN320120 OAV320120:OBJ320120 OKR320120:OLF320120 OUN320120:OVB320120 PEJ320120:PEX320120 POF320120:POT320120 PYB320120:PYP320120 QHX320120:QIL320120 QRT320120:QSH320120 RBP320120:RCD320120 RLL320120:RLZ320120 RVH320120:RVV320120 SFD320120:SFR320120 SOZ320120:SPN320120 SYV320120:SZJ320120 TIR320120:TJF320120 TSN320120:TTB320120 UCJ320120:UCX320120 UMF320120:UMT320120 UWB320120:UWP320120 VFX320120:VGL320120 VPT320120:VQH320120 VZP320120:WAD320120 WJL320120:WJZ320120 WTH320120:WTV320120 XDD320120:XDR320120 GV385656:HJ385656 QR385656:RF385656 AAN385656:ABB385656 AKJ385656:AKX385656 AUF385656:AUT385656 BEB385656:BEP385656 BNX385656:BOL385656 BXT385656:BYH385656 CHP385656:CID385656 CRL385656:CRZ385656 DBH385656:DBV385656 DLD385656:DLR385656 DUZ385656:DVN385656 EEV385656:EFJ385656 EOR385656:EPF385656 EYN385656:EZB385656 FIJ385656:FIX385656 FSF385656:FST385656 GCB385656:GCP385656 GLX385656:GML385656 GVT385656:GWH385656 HFP385656:HGD385656 HPL385656:HPZ385656 HZH385656:HZV385656 IJD385656:IJR385656 ISZ385656:ITN385656 JCV385656:JDJ385656 JMR385656:JNF385656 JWN385656:JXB385656 KGJ385656:KGX385656 KQF385656:KQT385656 LAB385656:LAP385656 LJX385656:LKL385656 LTT385656:LUH385656 MDP385656:MED385656 MNL385656:MNZ385656 MXH385656:MXV385656 NHD385656:NHR385656 NQZ385656:NRN385656 OAV385656:OBJ385656 OKR385656:OLF385656 OUN385656:OVB385656 PEJ385656:PEX385656 POF385656:POT385656 PYB385656:PYP385656 QHX385656:QIL385656 QRT385656:QSH385656 RBP385656:RCD385656 RLL385656:RLZ385656 RVH385656:RVV385656 SFD385656:SFR385656 SOZ385656:SPN385656 SYV385656:SZJ385656 TIR385656:TJF385656 TSN385656:TTB385656 UCJ385656:UCX385656 UMF385656:UMT385656 UWB385656:UWP385656 VFX385656:VGL385656 VPT385656:VQH385656 VZP385656:WAD385656 WJL385656:WJZ385656 WTH385656:WTV385656 XDD385656:XDR385656 GV451192:HJ451192 QR451192:RF451192 AAN451192:ABB451192 AKJ451192:AKX451192 AUF451192:AUT451192 BEB451192:BEP451192 BNX451192:BOL451192 BXT451192:BYH451192 CHP451192:CID451192 CRL451192:CRZ451192 DBH451192:DBV451192 DLD451192:DLR451192 DUZ451192:DVN451192 EEV451192:EFJ451192 EOR451192:EPF451192 EYN451192:EZB451192 FIJ451192:FIX451192 FSF451192:FST451192 GCB451192:GCP451192 GLX451192:GML451192 GVT451192:GWH451192 HFP451192:HGD451192 HPL451192:HPZ451192 HZH451192:HZV451192 IJD451192:IJR451192 ISZ451192:ITN451192 JCV451192:JDJ451192 JMR451192:JNF451192 JWN451192:JXB451192 KGJ451192:KGX451192 KQF451192:KQT451192 LAB451192:LAP451192 LJX451192:LKL451192 LTT451192:LUH451192 MDP451192:MED451192 MNL451192:MNZ451192 MXH451192:MXV451192 NHD451192:NHR451192 NQZ451192:NRN451192 OAV451192:OBJ451192 OKR451192:OLF451192 OUN451192:OVB451192 PEJ451192:PEX451192 POF451192:POT451192 PYB451192:PYP451192 QHX451192:QIL451192 QRT451192:QSH451192 RBP451192:RCD451192 RLL451192:RLZ451192 RVH451192:RVV451192 SFD451192:SFR451192 SOZ451192:SPN451192 SYV451192:SZJ451192 TIR451192:TJF451192 TSN451192:TTB451192 UCJ451192:UCX451192 UMF451192:UMT451192 UWB451192:UWP451192 VFX451192:VGL451192 VPT451192:VQH451192 VZP451192:WAD451192 WJL451192:WJZ451192 WTH451192:WTV451192 XDD451192:XDR451192 GV516728:HJ516728 QR516728:RF516728 AAN516728:ABB516728 AKJ516728:AKX516728 AUF516728:AUT516728 BEB516728:BEP516728 BNX516728:BOL516728 BXT516728:BYH516728 CHP516728:CID516728 CRL516728:CRZ516728 DBH516728:DBV516728 DLD516728:DLR516728 DUZ516728:DVN516728 EEV516728:EFJ516728 EOR516728:EPF516728 EYN516728:EZB516728 FIJ516728:FIX516728 FSF516728:FST516728 GCB516728:GCP516728 GLX516728:GML516728 GVT516728:GWH516728 HFP516728:HGD516728 HPL516728:HPZ516728 HZH516728:HZV516728 IJD516728:IJR516728 ISZ516728:ITN516728 JCV516728:JDJ516728 JMR516728:JNF516728 JWN516728:JXB516728 KGJ516728:KGX516728 KQF516728:KQT516728 LAB516728:LAP516728 LJX516728:LKL516728 LTT516728:LUH516728 MDP516728:MED516728 MNL516728:MNZ516728 MXH516728:MXV516728 NHD516728:NHR516728 NQZ516728:NRN516728 OAV516728:OBJ516728 OKR516728:OLF516728 OUN516728:OVB516728 PEJ516728:PEX516728 POF516728:POT516728 PYB516728:PYP516728 QHX516728:QIL516728 QRT516728:QSH516728 RBP516728:RCD516728 RLL516728:RLZ516728 RVH516728:RVV516728 SFD516728:SFR516728 SOZ516728:SPN516728 SYV516728:SZJ516728 TIR516728:TJF516728 TSN516728:TTB516728 UCJ516728:UCX516728 UMF516728:UMT516728 UWB516728:UWP516728 VFX516728:VGL516728 VPT516728:VQH516728 VZP516728:WAD516728 WJL516728:WJZ516728 WTH516728:WTV516728 XDD516728:XDR516728 GV582264:HJ582264 QR582264:RF582264 AAN582264:ABB582264 AKJ582264:AKX582264 AUF582264:AUT582264 BEB582264:BEP582264 BNX582264:BOL582264 BXT582264:BYH582264 CHP582264:CID582264 CRL582264:CRZ582264 DBH582264:DBV582264 DLD582264:DLR582264 DUZ582264:DVN582264 EEV582264:EFJ582264 EOR582264:EPF582264 EYN582264:EZB582264 FIJ582264:FIX582264 FSF582264:FST582264 GCB582264:GCP582264 GLX582264:GML582264 GVT582264:GWH582264 HFP582264:HGD582264 HPL582264:HPZ582264 HZH582264:HZV582264 IJD582264:IJR582264 ISZ582264:ITN582264 JCV582264:JDJ582264 JMR582264:JNF582264 JWN582264:JXB582264 KGJ582264:KGX582264 KQF582264:KQT582264 LAB582264:LAP582264 LJX582264:LKL582264 LTT582264:LUH582264 MDP582264:MED582264 MNL582264:MNZ582264 MXH582264:MXV582264 NHD582264:NHR582264 NQZ582264:NRN582264 OAV582264:OBJ582264 OKR582264:OLF582264 OUN582264:OVB582264 PEJ582264:PEX582264 POF582264:POT582264 PYB582264:PYP582264 QHX582264:QIL582264 QRT582264:QSH582264 RBP582264:RCD582264 RLL582264:RLZ582264 RVH582264:RVV582264 SFD582264:SFR582264 SOZ582264:SPN582264 SYV582264:SZJ582264 TIR582264:TJF582264 TSN582264:TTB582264 UCJ582264:UCX582264 UMF582264:UMT582264 UWB582264:UWP582264 VFX582264:VGL582264 VPT582264:VQH582264 VZP582264:WAD582264 WJL582264:WJZ582264 WTH582264:WTV582264 XDD582264:XDR582264 GV647800:HJ647800 QR647800:RF647800 AAN647800:ABB647800 AKJ647800:AKX647800 AUF647800:AUT647800 BEB647800:BEP647800 BNX647800:BOL647800 BXT647800:BYH647800 CHP647800:CID647800 CRL647800:CRZ647800 DBH647800:DBV647800 DLD647800:DLR647800 DUZ647800:DVN647800 EEV647800:EFJ647800 EOR647800:EPF647800 EYN647800:EZB647800 FIJ647800:FIX647800 FSF647800:FST647800 GCB647800:GCP647800 GLX647800:GML647800 GVT647800:GWH647800 HFP647800:HGD647800 HPL647800:HPZ647800 HZH647800:HZV647800 IJD647800:IJR647800 ISZ647800:ITN647800 JCV647800:JDJ647800 JMR647800:JNF647800 JWN647800:JXB647800 KGJ647800:KGX647800 KQF647800:KQT647800 LAB647800:LAP647800 LJX647800:LKL647800 LTT647800:LUH647800 MDP647800:MED647800 MNL647800:MNZ647800 MXH647800:MXV647800 NHD647800:NHR647800 NQZ647800:NRN647800 OAV647800:OBJ647800 OKR647800:OLF647800 OUN647800:OVB647800 PEJ647800:PEX647800 POF647800:POT647800 PYB647800:PYP647800 QHX647800:QIL647800 QRT647800:QSH647800 RBP647800:RCD647800 RLL647800:RLZ647800 RVH647800:RVV647800 SFD647800:SFR647800 SOZ647800:SPN647800 SYV647800:SZJ647800 TIR647800:TJF647800 TSN647800:TTB647800 UCJ647800:UCX647800 UMF647800:UMT647800 UWB647800:UWP647800 VFX647800:VGL647800 VPT647800:VQH647800 VZP647800:WAD647800 WJL647800:WJZ647800 WTH647800:WTV647800 XDD647800:XDR647800 GV713336:HJ713336 QR713336:RF713336 AAN713336:ABB713336 AKJ713336:AKX713336 AUF713336:AUT713336 BEB713336:BEP713336 BNX713336:BOL713336 BXT713336:BYH713336 CHP713336:CID713336 CRL713336:CRZ713336 DBH713336:DBV713336 DLD713336:DLR713336 DUZ713336:DVN713336 EEV713336:EFJ713336 EOR713336:EPF713336 EYN713336:EZB713336 FIJ713336:FIX713336 FSF713336:FST713336 GCB713336:GCP713336 GLX713336:GML713336 GVT713336:GWH713336 HFP713336:HGD713336 HPL713336:HPZ713336 HZH713336:HZV713336 IJD713336:IJR713336 ISZ713336:ITN713336 JCV713336:JDJ713336 JMR713336:JNF713336 JWN713336:JXB713336 KGJ713336:KGX713336 KQF713336:KQT713336 LAB713336:LAP713336 LJX713336:LKL713336 LTT713336:LUH713336 MDP713336:MED713336 MNL713336:MNZ713336 MXH713336:MXV713336 NHD713336:NHR713336 NQZ713336:NRN713336 OAV713336:OBJ713336 OKR713336:OLF713336 OUN713336:OVB713336 PEJ713336:PEX713336 POF713336:POT713336 PYB713336:PYP713336 QHX713336:QIL713336 QRT713336:QSH713336 RBP713336:RCD713336 RLL713336:RLZ713336 RVH713336:RVV713336 SFD713336:SFR713336 SOZ713336:SPN713336 SYV713336:SZJ713336 TIR713336:TJF713336 TSN713336:TTB713336 UCJ713336:UCX713336 UMF713336:UMT713336 UWB713336:UWP713336 VFX713336:VGL713336 VPT713336:VQH713336 VZP713336:WAD713336 WJL713336:WJZ713336 WTH713336:WTV713336 XDD713336:XDR713336 GV778872:HJ778872 QR778872:RF778872 AAN778872:ABB778872 AKJ778872:AKX778872 AUF778872:AUT778872 BEB778872:BEP778872 BNX778872:BOL778872 BXT778872:BYH778872 CHP778872:CID778872 CRL778872:CRZ778872 DBH778872:DBV778872 DLD778872:DLR778872 DUZ778872:DVN778872 EEV778872:EFJ778872 EOR778872:EPF778872 EYN778872:EZB778872 FIJ778872:FIX778872 FSF778872:FST778872 GCB778872:GCP778872 GLX778872:GML778872 GVT778872:GWH778872 HFP778872:HGD778872 HPL778872:HPZ778872 HZH778872:HZV778872 IJD778872:IJR778872 ISZ778872:ITN778872 JCV778872:JDJ778872 JMR778872:JNF778872 JWN778872:JXB778872 KGJ778872:KGX778872 KQF778872:KQT778872 LAB778872:LAP778872 LJX778872:LKL778872 LTT778872:LUH778872 MDP778872:MED778872 MNL778872:MNZ778872 MXH778872:MXV778872 NHD778872:NHR778872 NQZ778872:NRN778872 OAV778872:OBJ778872 OKR778872:OLF778872 OUN778872:OVB778872 PEJ778872:PEX778872 POF778872:POT778872 PYB778872:PYP778872 QHX778872:QIL778872 QRT778872:QSH778872 RBP778872:RCD778872 RLL778872:RLZ778872 RVH778872:RVV778872 SFD778872:SFR778872 SOZ778872:SPN778872 SYV778872:SZJ778872 TIR778872:TJF778872 TSN778872:TTB778872 UCJ778872:UCX778872 UMF778872:UMT778872 UWB778872:UWP778872 VFX778872:VGL778872 VPT778872:VQH778872 VZP778872:WAD778872 WJL778872:WJZ778872 WTH778872:WTV778872 XDD778872:XDR778872 GV844408:HJ844408 QR844408:RF844408 AAN844408:ABB844408 AKJ844408:AKX844408 AUF844408:AUT844408 BEB844408:BEP844408 BNX844408:BOL844408 BXT844408:BYH844408 CHP844408:CID844408 CRL844408:CRZ844408 DBH844408:DBV844408 DLD844408:DLR844408 DUZ844408:DVN844408 EEV844408:EFJ844408 EOR844408:EPF844408 EYN844408:EZB844408 FIJ844408:FIX844408 FSF844408:FST844408 GCB844408:GCP844408 GLX844408:GML844408 GVT844408:GWH844408 HFP844408:HGD844408 HPL844408:HPZ844408 HZH844408:HZV844408 IJD844408:IJR844408 ISZ844408:ITN844408 JCV844408:JDJ844408 JMR844408:JNF844408 JWN844408:JXB844408 KGJ844408:KGX844408 KQF844408:KQT844408 LAB844408:LAP844408 LJX844408:LKL844408 LTT844408:LUH844408 MDP844408:MED844408 MNL844408:MNZ844408 MXH844408:MXV844408 NHD844408:NHR844408 NQZ844408:NRN844408 OAV844408:OBJ844408 OKR844408:OLF844408 OUN844408:OVB844408 PEJ844408:PEX844408 POF844408:POT844408 PYB844408:PYP844408 QHX844408:QIL844408 QRT844408:QSH844408 RBP844408:RCD844408 RLL844408:RLZ844408 RVH844408:RVV844408 SFD844408:SFR844408 SOZ844408:SPN844408 SYV844408:SZJ844408 TIR844408:TJF844408 TSN844408:TTB844408 UCJ844408:UCX844408 UMF844408:UMT844408 UWB844408:UWP844408 VFX844408:VGL844408 VPT844408:VQH844408 VZP844408:WAD844408 WJL844408:WJZ844408 WTH844408:WTV844408 XDD844408:XDR844408 GV909944:HJ909944 QR909944:RF909944 AAN909944:ABB909944 AKJ909944:AKX909944 AUF909944:AUT909944 BEB909944:BEP909944 BNX909944:BOL909944 BXT909944:BYH909944 CHP909944:CID909944 CRL909944:CRZ909944 DBH909944:DBV909944 DLD909944:DLR909944 DUZ909944:DVN909944 EEV909944:EFJ909944 EOR909944:EPF909944 EYN909944:EZB909944 FIJ909944:FIX909944 FSF909944:FST909944 GCB909944:GCP909944 GLX909944:GML909944 GVT909944:GWH909944 HFP909944:HGD909944 HPL909944:HPZ909944 HZH909944:HZV909944 IJD909944:IJR909944 ISZ909944:ITN909944 JCV909944:JDJ909944 JMR909944:JNF909944 JWN909944:JXB909944 KGJ909944:KGX909944 KQF909944:KQT909944 LAB909944:LAP909944 LJX909944:LKL909944 LTT909944:LUH909944 MDP909944:MED909944 MNL909944:MNZ909944 MXH909944:MXV909944 NHD909944:NHR909944 NQZ909944:NRN909944 OAV909944:OBJ909944 OKR909944:OLF909944 OUN909944:OVB909944 PEJ909944:PEX909944 POF909944:POT909944 PYB909944:PYP909944 QHX909944:QIL909944 QRT909944:QSH909944 RBP909944:RCD909944 RLL909944:RLZ909944 RVH909944:RVV909944 SFD909944:SFR909944 SOZ909944:SPN909944 SYV909944:SZJ909944 TIR909944:TJF909944 TSN909944:TTB909944 UCJ909944:UCX909944 UMF909944:UMT909944 UWB909944:UWP909944 VFX909944:VGL909944 VPT909944:VQH909944 VZP909944:WAD909944 WJL909944:WJZ909944 WTH909944:WTV909944 XDD909944:XDR909944 GV975480:HJ975480 QR975480:RF975480 AAN975480:ABB975480 AKJ975480:AKX975480 AUF975480:AUT975480 BEB975480:BEP975480 BNX975480:BOL975480 BXT975480:BYH975480 CHP975480:CID975480 CRL975480:CRZ975480 DBH975480:DBV975480 DLD975480:DLR975480 DUZ975480:DVN975480 EEV975480:EFJ975480 EOR975480:EPF975480 EYN975480:EZB975480 FIJ975480:FIX975480 FSF975480:FST975480 GCB975480:GCP975480 GLX975480:GML975480 GVT975480:GWH975480 HFP975480:HGD975480 HPL975480:HPZ975480 HZH975480:HZV975480 IJD975480:IJR975480 ISZ975480:ITN975480 JCV975480:JDJ975480 JMR975480:JNF975480 JWN975480:JXB975480 KGJ975480:KGX975480 KQF975480:KQT975480 LAB975480:LAP975480 LJX975480:LKL975480 LTT975480:LUH975480 MDP975480:MED975480 MNL975480:MNZ975480 MXH975480:MXV975480 NHD975480:NHR975480 NQZ975480:NRN975480 OAV975480:OBJ975480 OKR975480:OLF975480 OUN975480:OVB975480 PEJ975480:PEX975480 POF975480:POT975480 PYB975480:PYP975480 QHX975480:QIL975480 QRT975480:QSH975480 RBP975480:RCD975480 RLL975480:RLZ975480 RVH975480:RVV975480 SFD975480:SFR975480 SOZ975480:SPN975480 SYV975480:SZJ975480 TIR975480:TJF975480 TSN975480:TTB975480 UCJ975480:UCX975480 UMF975480:UMT975480 UWB975480:UWP975480 VFX975480:VGL975480 VPT975480:VQH975480 VZP975480:WAD975480 WJL975480:WJZ975480 WTH975480:WTV975480 XDD975480:XDR975480 GV1041016:HJ1041016 QR1041016:RF1041016 AAN1041016:ABB1041016 AKJ1041016:AKX1041016 AUF1041016:AUT1041016 BEB1041016:BEP1041016 BNX1041016:BOL1041016 BXT1041016:BYH1041016 CHP1041016:CID1041016 CRL1041016:CRZ1041016 DBH1041016:DBV1041016 DLD1041016:DLR1041016 DUZ1041016:DVN1041016 EEV1041016:EFJ1041016 EOR1041016:EPF1041016 EYN1041016:EZB1041016 FIJ1041016:FIX1041016 FSF1041016:FST1041016 GCB1041016:GCP1041016 GLX1041016:GML1041016 GVT1041016:GWH1041016 HFP1041016:HGD1041016 HPL1041016:HPZ1041016 HZH1041016:HZV1041016 IJD1041016:IJR1041016 ISZ1041016:ITN1041016 JCV1041016:JDJ1041016 JMR1041016:JNF1041016 JWN1041016:JXB1041016 KGJ1041016:KGX1041016 KQF1041016:KQT1041016 LAB1041016:LAP1041016 LJX1041016:LKL1041016 LTT1041016:LUH1041016 MDP1041016:MED1041016 MNL1041016:MNZ1041016 MXH1041016:MXV1041016 NHD1041016:NHR1041016 NQZ1041016:NRN1041016 OAV1041016:OBJ1041016 OKR1041016:OLF1041016 OUN1041016:OVB1041016 PEJ1041016:PEX1041016 POF1041016:POT1041016 PYB1041016:PYP1041016 QHX1041016:QIL1041016 QRT1041016:QSH1041016 RBP1041016:RCD1041016 RLL1041016:RLZ1041016 RVH1041016:RVV1041016 SFD1041016:SFR1041016 SOZ1041016:SPN1041016 SYV1041016:SZJ1041016 TIR1041016:TJF1041016 TSN1041016:TTB1041016 UCJ1041016:UCX1041016 UMF1041016:UMT1041016 UWB1041016:UWP1041016 VFX1041016:VGL1041016 VPT1041016:VQH1041016 VZP1041016:WAD1041016 WJL1041016:WJZ1041016 WTH1041016:WTV1041016 D10:T10" xr:uid="{A2F26498-8F59-4246-A5F8-53ABCCFD20DE}">
      <formula1>"Monthly,Quarterly,Semi-Annual,Annual"</formula1>
    </dataValidation>
    <dataValidation type="list" errorStyle="information" showInputMessage="1" showErrorMessage="1" sqref="B1 IX1 ST1 ACP1 AML1 AWH1 BGD1 BPZ1 BZV1 CJR1 CTN1 DDJ1 DNF1 DXB1 EGX1 EQT1 FAP1 FKL1 FUH1 GED1 GNZ1 GXV1 HHR1 HRN1 IBJ1 ILF1 IVB1 JEX1 JOT1 JYP1 KIL1 KSH1 LCD1 LLZ1 LVV1 MFR1 MPN1 MZJ1 NJF1 NTB1 OCX1 OMT1 OWP1 PGL1 PQH1 QAD1 QJZ1 QTV1 RDR1 RNN1 RXJ1 SHF1 SRB1 TAX1 TKT1 TUP1 UEL1 UOH1 UYD1 VHZ1 VRV1 WBR1 WLN1 WVJ1 B65536 IX65536 ST65536 ACP65536 AML65536 AWH65536 BGD65536 BPZ65536 BZV65536 CJR65536 CTN65536 DDJ65536 DNF65536 DXB65536 EGX65536 EQT65536 FAP65536 FKL65536 FUH65536 GED65536 GNZ65536 GXV65536 HHR65536 HRN65536 IBJ65536 ILF65536 IVB65536 JEX65536 JOT65536 JYP65536 KIL65536 KSH65536 LCD65536 LLZ65536 LVV65536 MFR65536 MPN65536 MZJ65536 NJF65536 NTB65536 OCX65536 OMT65536 OWP65536 PGL65536 PQH65536 QAD65536 QJZ65536 QTV65536 RDR65536 RNN65536 RXJ65536 SHF65536 SRB65536 TAX65536 TKT65536 TUP65536 UEL65536 UOH65536 UYD65536 VHZ65536 VRV65536 WBR65536 WLN65536 WVJ65536 B131072 IX131072 ST131072 ACP131072 AML131072 AWH131072 BGD131072 BPZ131072 BZV131072 CJR131072 CTN131072 DDJ131072 DNF131072 DXB131072 EGX131072 EQT131072 FAP131072 FKL131072 FUH131072 GED131072 GNZ131072 GXV131072 HHR131072 HRN131072 IBJ131072 ILF131072 IVB131072 JEX131072 JOT131072 JYP131072 KIL131072 KSH131072 LCD131072 LLZ131072 LVV131072 MFR131072 MPN131072 MZJ131072 NJF131072 NTB131072 OCX131072 OMT131072 OWP131072 PGL131072 PQH131072 QAD131072 QJZ131072 QTV131072 RDR131072 RNN131072 RXJ131072 SHF131072 SRB131072 TAX131072 TKT131072 TUP131072 UEL131072 UOH131072 UYD131072 VHZ131072 VRV131072 WBR131072 WLN131072 WVJ131072 B196608 IX196608 ST196608 ACP196608 AML196608 AWH196608 BGD196608 BPZ196608 BZV196608 CJR196608 CTN196608 DDJ196608 DNF196608 DXB196608 EGX196608 EQT196608 FAP196608 FKL196608 FUH196608 GED196608 GNZ196608 GXV196608 HHR196608 HRN196608 IBJ196608 ILF196608 IVB196608 JEX196608 JOT196608 JYP196608 KIL196608 KSH196608 LCD196608 LLZ196608 LVV196608 MFR196608 MPN196608 MZJ196608 NJF196608 NTB196608 OCX196608 OMT196608 OWP196608 PGL196608 PQH196608 QAD196608 QJZ196608 QTV196608 RDR196608 RNN196608 RXJ196608 SHF196608 SRB196608 TAX196608 TKT196608 TUP196608 UEL196608 UOH196608 UYD196608 VHZ196608 VRV196608 WBR196608 WLN196608 WVJ196608 B262144 IX262144 ST262144 ACP262144 AML262144 AWH262144 BGD262144 BPZ262144 BZV262144 CJR262144 CTN262144 DDJ262144 DNF262144 DXB262144 EGX262144 EQT262144 FAP262144 FKL262144 FUH262144 GED262144 GNZ262144 GXV262144 HHR262144 HRN262144 IBJ262144 ILF262144 IVB262144 JEX262144 JOT262144 JYP262144 KIL262144 KSH262144 LCD262144 LLZ262144 LVV262144 MFR262144 MPN262144 MZJ262144 NJF262144 NTB262144 OCX262144 OMT262144 OWP262144 PGL262144 PQH262144 QAD262144 QJZ262144 QTV262144 RDR262144 RNN262144 RXJ262144 SHF262144 SRB262144 TAX262144 TKT262144 TUP262144 UEL262144 UOH262144 UYD262144 VHZ262144 VRV262144 WBR262144 WLN262144 WVJ262144 B327680 IX327680 ST327680 ACP327680 AML327680 AWH327680 BGD327680 BPZ327680 BZV327680 CJR327680 CTN327680 DDJ327680 DNF327680 DXB327680 EGX327680 EQT327680 FAP327680 FKL327680 FUH327680 GED327680 GNZ327680 GXV327680 HHR327680 HRN327680 IBJ327680 ILF327680 IVB327680 JEX327680 JOT327680 JYP327680 KIL327680 KSH327680 LCD327680 LLZ327680 LVV327680 MFR327680 MPN327680 MZJ327680 NJF327680 NTB327680 OCX327680 OMT327680 OWP327680 PGL327680 PQH327680 QAD327680 QJZ327680 QTV327680 RDR327680 RNN327680 RXJ327680 SHF327680 SRB327680 TAX327680 TKT327680 TUP327680 UEL327680 UOH327680 UYD327680 VHZ327680 VRV327680 WBR327680 WLN327680 WVJ327680 B393216 IX393216 ST393216 ACP393216 AML393216 AWH393216 BGD393216 BPZ393216 BZV393216 CJR393216 CTN393216 DDJ393216 DNF393216 DXB393216 EGX393216 EQT393216 FAP393216 FKL393216 FUH393216 GED393216 GNZ393216 GXV393216 HHR393216 HRN393216 IBJ393216 ILF393216 IVB393216 JEX393216 JOT393216 JYP393216 KIL393216 KSH393216 LCD393216 LLZ393216 LVV393216 MFR393216 MPN393216 MZJ393216 NJF393216 NTB393216 OCX393216 OMT393216 OWP393216 PGL393216 PQH393216 QAD393216 QJZ393216 QTV393216 RDR393216 RNN393216 RXJ393216 SHF393216 SRB393216 TAX393216 TKT393216 TUP393216 UEL393216 UOH393216 UYD393216 VHZ393216 VRV393216 WBR393216 WLN393216 WVJ393216 B458752 IX458752 ST458752 ACP458752 AML458752 AWH458752 BGD458752 BPZ458752 BZV458752 CJR458752 CTN458752 DDJ458752 DNF458752 DXB458752 EGX458752 EQT458752 FAP458752 FKL458752 FUH458752 GED458752 GNZ458752 GXV458752 HHR458752 HRN458752 IBJ458752 ILF458752 IVB458752 JEX458752 JOT458752 JYP458752 KIL458752 KSH458752 LCD458752 LLZ458752 LVV458752 MFR458752 MPN458752 MZJ458752 NJF458752 NTB458752 OCX458752 OMT458752 OWP458752 PGL458752 PQH458752 QAD458752 QJZ458752 QTV458752 RDR458752 RNN458752 RXJ458752 SHF458752 SRB458752 TAX458752 TKT458752 TUP458752 UEL458752 UOH458752 UYD458752 VHZ458752 VRV458752 WBR458752 WLN458752 WVJ458752 B524288 IX524288 ST524288 ACP524288 AML524288 AWH524288 BGD524288 BPZ524288 BZV524288 CJR524288 CTN524288 DDJ524288 DNF524288 DXB524288 EGX524288 EQT524288 FAP524288 FKL524288 FUH524288 GED524288 GNZ524288 GXV524288 HHR524288 HRN524288 IBJ524288 ILF524288 IVB524288 JEX524288 JOT524288 JYP524288 KIL524288 KSH524288 LCD524288 LLZ524288 LVV524288 MFR524288 MPN524288 MZJ524288 NJF524288 NTB524288 OCX524288 OMT524288 OWP524288 PGL524288 PQH524288 QAD524288 QJZ524288 QTV524288 RDR524288 RNN524288 RXJ524288 SHF524288 SRB524288 TAX524288 TKT524288 TUP524288 UEL524288 UOH524288 UYD524288 VHZ524288 VRV524288 WBR524288 WLN524288 WVJ524288 B589824 IX589824 ST589824 ACP589824 AML589824 AWH589824 BGD589824 BPZ589824 BZV589824 CJR589824 CTN589824 DDJ589824 DNF589824 DXB589824 EGX589824 EQT589824 FAP589824 FKL589824 FUH589824 GED589824 GNZ589824 GXV589824 HHR589824 HRN589824 IBJ589824 ILF589824 IVB589824 JEX589824 JOT589824 JYP589824 KIL589824 KSH589824 LCD589824 LLZ589824 LVV589824 MFR589824 MPN589824 MZJ589824 NJF589824 NTB589824 OCX589824 OMT589824 OWP589824 PGL589824 PQH589824 QAD589824 QJZ589824 QTV589824 RDR589824 RNN589824 RXJ589824 SHF589824 SRB589824 TAX589824 TKT589824 TUP589824 UEL589824 UOH589824 UYD589824 VHZ589824 VRV589824 WBR589824 WLN589824 WVJ589824 B655360 IX655360 ST655360 ACP655360 AML655360 AWH655360 BGD655360 BPZ655360 BZV655360 CJR655360 CTN655360 DDJ655360 DNF655360 DXB655360 EGX655360 EQT655360 FAP655360 FKL655360 FUH655360 GED655360 GNZ655360 GXV655360 HHR655360 HRN655360 IBJ655360 ILF655360 IVB655360 JEX655360 JOT655360 JYP655360 KIL655360 KSH655360 LCD655360 LLZ655360 LVV655360 MFR655360 MPN655360 MZJ655360 NJF655360 NTB655360 OCX655360 OMT655360 OWP655360 PGL655360 PQH655360 QAD655360 QJZ655360 QTV655360 RDR655360 RNN655360 RXJ655360 SHF655360 SRB655360 TAX655360 TKT655360 TUP655360 UEL655360 UOH655360 UYD655360 VHZ655360 VRV655360 WBR655360 WLN655360 WVJ655360 B720896 IX720896 ST720896 ACP720896 AML720896 AWH720896 BGD720896 BPZ720896 BZV720896 CJR720896 CTN720896 DDJ720896 DNF720896 DXB720896 EGX720896 EQT720896 FAP720896 FKL720896 FUH720896 GED720896 GNZ720896 GXV720896 HHR720896 HRN720896 IBJ720896 ILF720896 IVB720896 JEX720896 JOT720896 JYP720896 KIL720896 KSH720896 LCD720896 LLZ720896 LVV720896 MFR720896 MPN720896 MZJ720896 NJF720896 NTB720896 OCX720896 OMT720896 OWP720896 PGL720896 PQH720896 QAD720896 QJZ720896 QTV720896 RDR720896 RNN720896 RXJ720896 SHF720896 SRB720896 TAX720896 TKT720896 TUP720896 UEL720896 UOH720896 UYD720896 VHZ720896 VRV720896 WBR720896 WLN720896 WVJ720896 B786432 IX786432 ST786432 ACP786432 AML786432 AWH786432 BGD786432 BPZ786432 BZV786432 CJR786432 CTN786432 DDJ786432 DNF786432 DXB786432 EGX786432 EQT786432 FAP786432 FKL786432 FUH786432 GED786432 GNZ786432 GXV786432 HHR786432 HRN786432 IBJ786432 ILF786432 IVB786432 JEX786432 JOT786432 JYP786432 KIL786432 KSH786432 LCD786432 LLZ786432 LVV786432 MFR786432 MPN786432 MZJ786432 NJF786432 NTB786432 OCX786432 OMT786432 OWP786432 PGL786432 PQH786432 QAD786432 QJZ786432 QTV786432 RDR786432 RNN786432 RXJ786432 SHF786432 SRB786432 TAX786432 TKT786432 TUP786432 UEL786432 UOH786432 UYD786432 VHZ786432 VRV786432 WBR786432 WLN786432 WVJ786432 B851968 IX851968 ST851968 ACP851968 AML851968 AWH851968 BGD851968 BPZ851968 BZV851968 CJR851968 CTN851968 DDJ851968 DNF851968 DXB851968 EGX851968 EQT851968 FAP851968 FKL851968 FUH851968 GED851968 GNZ851968 GXV851968 HHR851968 HRN851968 IBJ851968 ILF851968 IVB851968 JEX851968 JOT851968 JYP851968 KIL851968 KSH851968 LCD851968 LLZ851968 LVV851968 MFR851968 MPN851968 MZJ851968 NJF851968 NTB851968 OCX851968 OMT851968 OWP851968 PGL851968 PQH851968 QAD851968 QJZ851968 QTV851968 RDR851968 RNN851968 RXJ851968 SHF851968 SRB851968 TAX851968 TKT851968 TUP851968 UEL851968 UOH851968 UYD851968 VHZ851968 VRV851968 WBR851968 WLN851968 WVJ851968 B917504 IX917504 ST917504 ACP917504 AML917504 AWH917504 BGD917504 BPZ917504 BZV917504 CJR917504 CTN917504 DDJ917504 DNF917504 DXB917504 EGX917504 EQT917504 FAP917504 FKL917504 FUH917504 GED917504 GNZ917504 GXV917504 HHR917504 HRN917504 IBJ917504 ILF917504 IVB917504 JEX917504 JOT917504 JYP917504 KIL917504 KSH917504 LCD917504 LLZ917504 LVV917504 MFR917504 MPN917504 MZJ917504 NJF917504 NTB917504 OCX917504 OMT917504 OWP917504 PGL917504 PQH917504 QAD917504 QJZ917504 QTV917504 RDR917504 RNN917504 RXJ917504 SHF917504 SRB917504 TAX917504 TKT917504 TUP917504 UEL917504 UOH917504 UYD917504 VHZ917504 VRV917504 WBR917504 WLN917504 WVJ917504 B983040 IX983040 ST983040 ACP983040 AML983040 AWH983040 BGD983040 BPZ983040 BZV983040 CJR983040 CTN983040 DDJ983040 DNF983040 DXB983040 EGX983040 EQT983040 FAP983040 FKL983040 FUH983040 GED983040 GNZ983040 GXV983040 HHR983040 HRN983040 IBJ983040 ILF983040 IVB983040 JEX983040 JOT983040 JYP983040 KIL983040 KSH983040 LCD983040 LLZ983040 LVV983040 MFR983040 MPN983040 MZJ983040 NJF983040 NTB983040 OCX983040 OMT983040 OWP983040 PGL983040 PQH983040 QAD983040 QJZ983040 QTV983040 RDR983040 RNN983040 RXJ983040 SHF983040 SRB983040 TAX983040 TKT983040 TUP983040 UEL983040 UOH983040 UYD983040 VHZ983040 VRV983040 WBR983040 WLN983040 WVJ983040 GT1 QP1 AAL1 AKH1 AUD1 BDZ1 BNV1 BXR1 CHN1 CRJ1 DBF1 DLB1 DUX1 EET1 EOP1 EYL1 FIH1 FSD1 GBZ1 GLV1 GVR1 HFN1 HPJ1 HZF1 IJB1 ISX1 JCT1 JMP1 JWL1 KGH1 KQD1 KZZ1 LJV1 LTR1 MDN1 MNJ1 MXF1 NHB1 NQX1 OAT1 OKP1 OUL1 PEH1 POD1 PXZ1 QHV1 QRR1 RBN1 RLJ1 RVF1 SFB1 SOX1 SYT1 TIP1 TSL1 UCH1 UMD1 UVZ1 VFV1 VPR1 VZN1 WJJ1 WTF1 XDB1 GT65536 QP65536 AAL65536 AKH65536 AUD65536 BDZ65536 BNV65536 BXR65536 CHN65536 CRJ65536 DBF65536 DLB65536 DUX65536 EET65536 EOP65536 EYL65536 FIH65536 FSD65536 GBZ65536 GLV65536 GVR65536 HFN65536 HPJ65536 HZF65536 IJB65536 ISX65536 JCT65536 JMP65536 JWL65536 KGH65536 KQD65536 KZZ65536 LJV65536 LTR65536 MDN65536 MNJ65536 MXF65536 NHB65536 NQX65536 OAT65536 OKP65536 OUL65536 PEH65536 POD65536 PXZ65536 QHV65536 QRR65536 RBN65536 RLJ65536 RVF65536 SFB65536 SOX65536 SYT65536 TIP65536 TSL65536 UCH65536 UMD65536 UVZ65536 VFV65536 VPR65536 VZN65536 WJJ65536 WTF65536 XDB65536 GT131072 QP131072 AAL131072 AKH131072 AUD131072 BDZ131072 BNV131072 BXR131072 CHN131072 CRJ131072 DBF131072 DLB131072 DUX131072 EET131072 EOP131072 EYL131072 FIH131072 FSD131072 GBZ131072 GLV131072 GVR131072 HFN131072 HPJ131072 HZF131072 IJB131072 ISX131072 JCT131072 JMP131072 JWL131072 KGH131072 KQD131072 KZZ131072 LJV131072 LTR131072 MDN131072 MNJ131072 MXF131072 NHB131072 NQX131072 OAT131072 OKP131072 OUL131072 PEH131072 POD131072 PXZ131072 QHV131072 QRR131072 RBN131072 RLJ131072 RVF131072 SFB131072 SOX131072 SYT131072 TIP131072 TSL131072 UCH131072 UMD131072 UVZ131072 VFV131072 VPR131072 VZN131072 WJJ131072 WTF131072 XDB131072 GT196608 QP196608 AAL196608 AKH196608 AUD196608 BDZ196608 BNV196608 BXR196608 CHN196608 CRJ196608 DBF196608 DLB196608 DUX196608 EET196608 EOP196608 EYL196608 FIH196608 FSD196608 GBZ196608 GLV196608 GVR196608 HFN196608 HPJ196608 HZF196608 IJB196608 ISX196608 JCT196608 JMP196608 JWL196608 KGH196608 KQD196608 KZZ196608 LJV196608 LTR196608 MDN196608 MNJ196608 MXF196608 NHB196608 NQX196608 OAT196608 OKP196608 OUL196608 PEH196608 POD196608 PXZ196608 QHV196608 QRR196608 RBN196608 RLJ196608 RVF196608 SFB196608 SOX196608 SYT196608 TIP196608 TSL196608 UCH196608 UMD196608 UVZ196608 VFV196608 VPR196608 VZN196608 WJJ196608 WTF196608 XDB196608 GT262144 QP262144 AAL262144 AKH262144 AUD262144 BDZ262144 BNV262144 BXR262144 CHN262144 CRJ262144 DBF262144 DLB262144 DUX262144 EET262144 EOP262144 EYL262144 FIH262144 FSD262144 GBZ262144 GLV262144 GVR262144 HFN262144 HPJ262144 HZF262144 IJB262144 ISX262144 JCT262144 JMP262144 JWL262144 KGH262144 KQD262144 KZZ262144 LJV262144 LTR262144 MDN262144 MNJ262144 MXF262144 NHB262144 NQX262144 OAT262144 OKP262144 OUL262144 PEH262144 POD262144 PXZ262144 QHV262144 QRR262144 RBN262144 RLJ262144 RVF262144 SFB262144 SOX262144 SYT262144 TIP262144 TSL262144 UCH262144 UMD262144 UVZ262144 VFV262144 VPR262144 VZN262144 WJJ262144 WTF262144 XDB262144 GT327680 QP327680 AAL327680 AKH327680 AUD327680 BDZ327680 BNV327680 BXR327680 CHN327680 CRJ327680 DBF327680 DLB327680 DUX327680 EET327680 EOP327680 EYL327680 FIH327680 FSD327680 GBZ327680 GLV327680 GVR327680 HFN327680 HPJ327680 HZF327680 IJB327680 ISX327680 JCT327680 JMP327680 JWL327680 KGH327680 KQD327680 KZZ327680 LJV327680 LTR327680 MDN327680 MNJ327680 MXF327680 NHB327680 NQX327680 OAT327680 OKP327680 OUL327680 PEH327680 POD327680 PXZ327680 QHV327680 QRR327680 RBN327680 RLJ327680 RVF327680 SFB327680 SOX327680 SYT327680 TIP327680 TSL327680 UCH327680 UMD327680 UVZ327680 VFV327680 VPR327680 VZN327680 WJJ327680 WTF327680 XDB327680 GT393216 QP393216 AAL393216 AKH393216 AUD393216 BDZ393216 BNV393216 BXR393216 CHN393216 CRJ393216 DBF393216 DLB393216 DUX393216 EET393216 EOP393216 EYL393216 FIH393216 FSD393216 GBZ393216 GLV393216 GVR393216 HFN393216 HPJ393216 HZF393216 IJB393216 ISX393216 JCT393216 JMP393216 JWL393216 KGH393216 KQD393216 KZZ393216 LJV393216 LTR393216 MDN393216 MNJ393216 MXF393216 NHB393216 NQX393216 OAT393216 OKP393216 OUL393216 PEH393216 POD393216 PXZ393216 QHV393216 QRR393216 RBN393216 RLJ393216 RVF393216 SFB393216 SOX393216 SYT393216 TIP393216 TSL393216 UCH393216 UMD393216 UVZ393216 VFV393216 VPR393216 VZN393216 WJJ393216 WTF393216 XDB393216 GT458752 QP458752 AAL458752 AKH458752 AUD458752 BDZ458752 BNV458752 BXR458752 CHN458752 CRJ458752 DBF458752 DLB458752 DUX458752 EET458752 EOP458752 EYL458752 FIH458752 FSD458752 GBZ458752 GLV458752 GVR458752 HFN458752 HPJ458752 HZF458752 IJB458752 ISX458752 JCT458752 JMP458752 JWL458752 KGH458752 KQD458752 KZZ458752 LJV458752 LTR458752 MDN458752 MNJ458752 MXF458752 NHB458752 NQX458752 OAT458752 OKP458752 OUL458752 PEH458752 POD458752 PXZ458752 QHV458752 QRR458752 RBN458752 RLJ458752 RVF458752 SFB458752 SOX458752 SYT458752 TIP458752 TSL458752 UCH458752 UMD458752 UVZ458752 VFV458752 VPR458752 VZN458752 WJJ458752 WTF458752 XDB458752 GT524288 QP524288 AAL524288 AKH524288 AUD524288 BDZ524288 BNV524288 BXR524288 CHN524288 CRJ524288 DBF524288 DLB524288 DUX524288 EET524288 EOP524288 EYL524288 FIH524288 FSD524288 GBZ524288 GLV524288 GVR524288 HFN524288 HPJ524288 HZF524288 IJB524288 ISX524288 JCT524288 JMP524288 JWL524288 KGH524288 KQD524288 KZZ524288 LJV524288 LTR524288 MDN524288 MNJ524288 MXF524288 NHB524288 NQX524288 OAT524288 OKP524288 OUL524288 PEH524288 POD524288 PXZ524288 QHV524288 QRR524288 RBN524288 RLJ524288 RVF524288 SFB524288 SOX524288 SYT524288 TIP524288 TSL524288 UCH524288 UMD524288 UVZ524288 VFV524288 VPR524288 VZN524288 WJJ524288 WTF524288 XDB524288 GT589824 QP589824 AAL589824 AKH589824 AUD589824 BDZ589824 BNV589824 BXR589824 CHN589824 CRJ589824 DBF589824 DLB589824 DUX589824 EET589824 EOP589824 EYL589824 FIH589824 FSD589824 GBZ589824 GLV589824 GVR589824 HFN589824 HPJ589824 HZF589824 IJB589824 ISX589824 JCT589824 JMP589824 JWL589824 KGH589824 KQD589824 KZZ589824 LJV589824 LTR589824 MDN589824 MNJ589824 MXF589824 NHB589824 NQX589824 OAT589824 OKP589824 OUL589824 PEH589824 POD589824 PXZ589824 QHV589824 QRR589824 RBN589824 RLJ589824 RVF589824 SFB589824 SOX589824 SYT589824 TIP589824 TSL589824 UCH589824 UMD589824 UVZ589824 VFV589824 VPR589824 VZN589824 WJJ589824 WTF589824 XDB589824 GT655360 QP655360 AAL655360 AKH655360 AUD655360 BDZ655360 BNV655360 BXR655360 CHN655360 CRJ655360 DBF655360 DLB655360 DUX655360 EET655360 EOP655360 EYL655360 FIH655360 FSD655360 GBZ655360 GLV655360 GVR655360 HFN655360 HPJ655360 HZF655360 IJB655360 ISX655360 JCT655360 JMP655360 JWL655360 KGH655360 KQD655360 KZZ655360 LJV655360 LTR655360 MDN655360 MNJ655360 MXF655360 NHB655360 NQX655360 OAT655360 OKP655360 OUL655360 PEH655360 POD655360 PXZ655360 QHV655360 QRR655360 RBN655360 RLJ655360 RVF655360 SFB655360 SOX655360 SYT655360 TIP655360 TSL655360 UCH655360 UMD655360 UVZ655360 VFV655360 VPR655360 VZN655360 WJJ655360 WTF655360 XDB655360 GT720896 QP720896 AAL720896 AKH720896 AUD720896 BDZ720896 BNV720896 BXR720896 CHN720896 CRJ720896 DBF720896 DLB720896 DUX720896 EET720896 EOP720896 EYL720896 FIH720896 FSD720896 GBZ720896 GLV720896 GVR720896 HFN720896 HPJ720896 HZF720896 IJB720896 ISX720896 JCT720896 JMP720896 JWL720896 KGH720896 KQD720896 KZZ720896 LJV720896 LTR720896 MDN720896 MNJ720896 MXF720896 NHB720896 NQX720896 OAT720896 OKP720896 OUL720896 PEH720896 POD720896 PXZ720896 QHV720896 QRR720896 RBN720896 RLJ720896 RVF720896 SFB720896 SOX720896 SYT720896 TIP720896 TSL720896 UCH720896 UMD720896 UVZ720896 VFV720896 VPR720896 VZN720896 WJJ720896 WTF720896 XDB720896 GT786432 QP786432 AAL786432 AKH786432 AUD786432 BDZ786432 BNV786432 BXR786432 CHN786432 CRJ786432 DBF786432 DLB786432 DUX786432 EET786432 EOP786432 EYL786432 FIH786432 FSD786432 GBZ786432 GLV786432 GVR786432 HFN786432 HPJ786432 HZF786432 IJB786432 ISX786432 JCT786432 JMP786432 JWL786432 KGH786432 KQD786432 KZZ786432 LJV786432 LTR786432 MDN786432 MNJ786432 MXF786432 NHB786432 NQX786432 OAT786432 OKP786432 OUL786432 PEH786432 POD786432 PXZ786432 QHV786432 QRR786432 RBN786432 RLJ786432 RVF786432 SFB786432 SOX786432 SYT786432 TIP786432 TSL786432 UCH786432 UMD786432 UVZ786432 VFV786432 VPR786432 VZN786432 WJJ786432 WTF786432 XDB786432 GT851968 QP851968 AAL851968 AKH851968 AUD851968 BDZ851968 BNV851968 BXR851968 CHN851968 CRJ851968 DBF851968 DLB851968 DUX851968 EET851968 EOP851968 EYL851968 FIH851968 FSD851968 GBZ851968 GLV851968 GVR851968 HFN851968 HPJ851968 HZF851968 IJB851968 ISX851968 JCT851968 JMP851968 JWL851968 KGH851968 KQD851968 KZZ851968 LJV851968 LTR851968 MDN851968 MNJ851968 MXF851968 NHB851968 NQX851968 OAT851968 OKP851968 OUL851968 PEH851968 POD851968 PXZ851968 QHV851968 QRR851968 RBN851968 RLJ851968 RVF851968 SFB851968 SOX851968 SYT851968 TIP851968 TSL851968 UCH851968 UMD851968 UVZ851968 VFV851968 VPR851968 VZN851968 WJJ851968 WTF851968 XDB851968 GT917504 QP917504 AAL917504 AKH917504 AUD917504 BDZ917504 BNV917504 BXR917504 CHN917504 CRJ917504 DBF917504 DLB917504 DUX917504 EET917504 EOP917504 EYL917504 FIH917504 FSD917504 GBZ917504 GLV917504 GVR917504 HFN917504 HPJ917504 HZF917504 IJB917504 ISX917504 JCT917504 JMP917504 JWL917504 KGH917504 KQD917504 KZZ917504 LJV917504 LTR917504 MDN917504 MNJ917504 MXF917504 NHB917504 NQX917504 OAT917504 OKP917504 OUL917504 PEH917504 POD917504 PXZ917504 QHV917504 QRR917504 RBN917504 RLJ917504 RVF917504 SFB917504 SOX917504 SYT917504 TIP917504 TSL917504 UCH917504 UMD917504 UVZ917504 VFV917504 VPR917504 VZN917504 WJJ917504 WTF917504 XDB917504 GT983040 QP983040 AAL983040 AKH983040 AUD983040 BDZ983040 BNV983040 BXR983040 CHN983040 CRJ983040 DBF983040 DLB983040 DUX983040 EET983040 EOP983040 EYL983040 FIH983040 FSD983040 GBZ983040 GLV983040 GVR983040 HFN983040 HPJ983040 HZF983040 IJB983040 ISX983040 JCT983040 JMP983040 JWL983040 KGH983040 KQD983040 KZZ983040 LJV983040 LTR983040 MDN983040 MNJ983040 MXF983040 NHB983040 NQX983040 OAT983040 OKP983040 OUL983040 PEH983040 POD983040 PXZ983040 QHV983040 QRR983040 RBN983040 RLJ983040 RVF983040 SFB983040 SOX983040 SYT983040 TIP983040 TSL983040 UCH983040 UMD983040 UVZ983040 VFV983040 VPR983040 VZN983040 WJJ983040 WTF983040 XDB983040 B57967 IX57967 ST57967 ACP57967 AML57967 AWH57967 BGD57967 BPZ57967 BZV57967 CJR57967 CTN57967 DDJ57967 DNF57967 DXB57967 EGX57967 EQT57967 FAP57967 FKL57967 FUH57967 GED57967 GNZ57967 GXV57967 HHR57967 HRN57967 IBJ57967 ILF57967 IVB57967 JEX57967 JOT57967 JYP57967 KIL57967 KSH57967 LCD57967 LLZ57967 LVV57967 MFR57967 MPN57967 MZJ57967 NJF57967 NTB57967 OCX57967 OMT57967 OWP57967 PGL57967 PQH57967 QAD57967 QJZ57967 QTV57967 RDR57967 RNN57967 RXJ57967 SHF57967 SRB57967 TAX57967 TKT57967 TUP57967 UEL57967 UOH57967 UYD57967 VHZ57967 VRV57967 WBR57967 WLN57967 WVJ57967 B123503 IX123503 ST123503 ACP123503 AML123503 AWH123503 BGD123503 BPZ123503 BZV123503 CJR123503 CTN123503 DDJ123503 DNF123503 DXB123503 EGX123503 EQT123503 FAP123503 FKL123503 FUH123503 GED123503 GNZ123503 GXV123503 HHR123503 HRN123503 IBJ123503 ILF123503 IVB123503 JEX123503 JOT123503 JYP123503 KIL123503 KSH123503 LCD123503 LLZ123503 LVV123503 MFR123503 MPN123503 MZJ123503 NJF123503 NTB123503 OCX123503 OMT123503 OWP123503 PGL123503 PQH123503 QAD123503 QJZ123503 QTV123503 RDR123503 RNN123503 RXJ123503 SHF123503 SRB123503 TAX123503 TKT123503 TUP123503 UEL123503 UOH123503 UYD123503 VHZ123503 VRV123503 WBR123503 WLN123503 WVJ123503 B189039 IX189039 ST189039 ACP189039 AML189039 AWH189039 BGD189039 BPZ189039 BZV189039 CJR189039 CTN189039 DDJ189039 DNF189039 DXB189039 EGX189039 EQT189039 FAP189039 FKL189039 FUH189039 GED189039 GNZ189039 GXV189039 HHR189039 HRN189039 IBJ189039 ILF189039 IVB189039 JEX189039 JOT189039 JYP189039 KIL189039 KSH189039 LCD189039 LLZ189039 LVV189039 MFR189039 MPN189039 MZJ189039 NJF189039 NTB189039 OCX189039 OMT189039 OWP189039 PGL189039 PQH189039 QAD189039 QJZ189039 QTV189039 RDR189039 RNN189039 RXJ189039 SHF189039 SRB189039 TAX189039 TKT189039 TUP189039 UEL189039 UOH189039 UYD189039 VHZ189039 VRV189039 WBR189039 WLN189039 WVJ189039 B254575 IX254575 ST254575 ACP254575 AML254575 AWH254575 BGD254575 BPZ254575 BZV254575 CJR254575 CTN254575 DDJ254575 DNF254575 DXB254575 EGX254575 EQT254575 FAP254575 FKL254575 FUH254575 GED254575 GNZ254575 GXV254575 HHR254575 HRN254575 IBJ254575 ILF254575 IVB254575 JEX254575 JOT254575 JYP254575 KIL254575 KSH254575 LCD254575 LLZ254575 LVV254575 MFR254575 MPN254575 MZJ254575 NJF254575 NTB254575 OCX254575 OMT254575 OWP254575 PGL254575 PQH254575 QAD254575 QJZ254575 QTV254575 RDR254575 RNN254575 RXJ254575 SHF254575 SRB254575 TAX254575 TKT254575 TUP254575 UEL254575 UOH254575 UYD254575 VHZ254575 VRV254575 WBR254575 WLN254575 WVJ254575 B320111 IX320111 ST320111 ACP320111 AML320111 AWH320111 BGD320111 BPZ320111 BZV320111 CJR320111 CTN320111 DDJ320111 DNF320111 DXB320111 EGX320111 EQT320111 FAP320111 FKL320111 FUH320111 GED320111 GNZ320111 GXV320111 HHR320111 HRN320111 IBJ320111 ILF320111 IVB320111 JEX320111 JOT320111 JYP320111 KIL320111 KSH320111 LCD320111 LLZ320111 LVV320111 MFR320111 MPN320111 MZJ320111 NJF320111 NTB320111 OCX320111 OMT320111 OWP320111 PGL320111 PQH320111 QAD320111 QJZ320111 QTV320111 RDR320111 RNN320111 RXJ320111 SHF320111 SRB320111 TAX320111 TKT320111 TUP320111 UEL320111 UOH320111 UYD320111 VHZ320111 VRV320111 WBR320111 WLN320111 WVJ320111 B385647 IX385647 ST385647 ACP385647 AML385647 AWH385647 BGD385647 BPZ385647 BZV385647 CJR385647 CTN385647 DDJ385647 DNF385647 DXB385647 EGX385647 EQT385647 FAP385647 FKL385647 FUH385647 GED385647 GNZ385647 GXV385647 HHR385647 HRN385647 IBJ385647 ILF385647 IVB385647 JEX385647 JOT385647 JYP385647 KIL385647 KSH385647 LCD385647 LLZ385647 LVV385647 MFR385647 MPN385647 MZJ385647 NJF385647 NTB385647 OCX385647 OMT385647 OWP385647 PGL385647 PQH385647 QAD385647 QJZ385647 QTV385647 RDR385647 RNN385647 RXJ385647 SHF385647 SRB385647 TAX385647 TKT385647 TUP385647 UEL385647 UOH385647 UYD385647 VHZ385647 VRV385647 WBR385647 WLN385647 WVJ385647 B451183 IX451183 ST451183 ACP451183 AML451183 AWH451183 BGD451183 BPZ451183 BZV451183 CJR451183 CTN451183 DDJ451183 DNF451183 DXB451183 EGX451183 EQT451183 FAP451183 FKL451183 FUH451183 GED451183 GNZ451183 GXV451183 HHR451183 HRN451183 IBJ451183 ILF451183 IVB451183 JEX451183 JOT451183 JYP451183 KIL451183 KSH451183 LCD451183 LLZ451183 LVV451183 MFR451183 MPN451183 MZJ451183 NJF451183 NTB451183 OCX451183 OMT451183 OWP451183 PGL451183 PQH451183 QAD451183 QJZ451183 QTV451183 RDR451183 RNN451183 RXJ451183 SHF451183 SRB451183 TAX451183 TKT451183 TUP451183 UEL451183 UOH451183 UYD451183 VHZ451183 VRV451183 WBR451183 WLN451183 WVJ451183 B516719 IX516719 ST516719 ACP516719 AML516719 AWH516719 BGD516719 BPZ516719 BZV516719 CJR516719 CTN516719 DDJ516719 DNF516719 DXB516719 EGX516719 EQT516719 FAP516719 FKL516719 FUH516719 GED516719 GNZ516719 GXV516719 HHR516719 HRN516719 IBJ516719 ILF516719 IVB516719 JEX516719 JOT516719 JYP516719 KIL516719 KSH516719 LCD516719 LLZ516719 LVV516719 MFR516719 MPN516719 MZJ516719 NJF516719 NTB516719 OCX516719 OMT516719 OWP516719 PGL516719 PQH516719 QAD516719 QJZ516719 QTV516719 RDR516719 RNN516719 RXJ516719 SHF516719 SRB516719 TAX516719 TKT516719 TUP516719 UEL516719 UOH516719 UYD516719 VHZ516719 VRV516719 WBR516719 WLN516719 WVJ516719 B582255 IX582255 ST582255 ACP582255 AML582255 AWH582255 BGD582255 BPZ582255 BZV582255 CJR582255 CTN582255 DDJ582255 DNF582255 DXB582255 EGX582255 EQT582255 FAP582255 FKL582255 FUH582255 GED582255 GNZ582255 GXV582255 HHR582255 HRN582255 IBJ582255 ILF582255 IVB582255 JEX582255 JOT582255 JYP582255 KIL582255 KSH582255 LCD582255 LLZ582255 LVV582255 MFR582255 MPN582255 MZJ582255 NJF582255 NTB582255 OCX582255 OMT582255 OWP582255 PGL582255 PQH582255 QAD582255 QJZ582255 QTV582255 RDR582255 RNN582255 RXJ582255 SHF582255 SRB582255 TAX582255 TKT582255 TUP582255 UEL582255 UOH582255 UYD582255 VHZ582255 VRV582255 WBR582255 WLN582255 WVJ582255 B647791 IX647791 ST647791 ACP647791 AML647791 AWH647791 BGD647791 BPZ647791 BZV647791 CJR647791 CTN647791 DDJ647791 DNF647791 DXB647791 EGX647791 EQT647791 FAP647791 FKL647791 FUH647791 GED647791 GNZ647791 GXV647791 HHR647791 HRN647791 IBJ647791 ILF647791 IVB647791 JEX647791 JOT647791 JYP647791 KIL647791 KSH647791 LCD647791 LLZ647791 LVV647791 MFR647791 MPN647791 MZJ647791 NJF647791 NTB647791 OCX647791 OMT647791 OWP647791 PGL647791 PQH647791 QAD647791 QJZ647791 QTV647791 RDR647791 RNN647791 RXJ647791 SHF647791 SRB647791 TAX647791 TKT647791 TUP647791 UEL647791 UOH647791 UYD647791 VHZ647791 VRV647791 WBR647791 WLN647791 WVJ647791 B713327 IX713327 ST713327 ACP713327 AML713327 AWH713327 BGD713327 BPZ713327 BZV713327 CJR713327 CTN713327 DDJ713327 DNF713327 DXB713327 EGX713327 EQT713327 FAP713327 FKL713327 FUH713327 GED713327 GNZ713327 GXV713327 HHR713327 HRN713327 IBJ713327 ILF713327 IVB713327 JEX713327 JOT713327 JYP713327 KIL713327 KSH713327 LCD713327 LLZ713327 LVV713327 MFR713327 MPN713327 MZJ713327 NJF713327 NTB713327 OCX713327 OMT713327 OWP713327 PGL713327 PQH713327 QAD713327 QJZ713327 QTV713327 RDR713327 RNN713327 RXJ713327 SHF713327 SRB713327 TAX713327 TKT713327 TUP713327 UEL713327 UOH713327 UYD713327 VHZ713327 VRV713327 WBR713327 WLN713327 WVJ713327 B778863 IX778863 ST778863 ACP778863 AML778863 AWH778863 BGD778863 BPZ778863 BZV778863 CJR778863 CTN778863 DDJ778863 DNF778863 DXB778863 EGX778863 EQT778863 FAP778863 FKL778863 FUH778863 GED778863 GNZ778863 GXV778863 HHR778863 HRN778863 IBJ778863 ILF778863 IVB778863 JEX778863 JOT778863 JYP778863 KIL778863 KSH778863 LCD778863 LLZ778863 LVV778863 MFR778863 MPN778863 MZJ778863 NJF778863 NTB778863 OCX778863 OMT778863 OWP778863 PGL778863 PQH778863 QAD778863 QJZ778863 QTV778863 RDR778863 RNN778863 RXJ778863 SHF778863 SRB778863 TAX778863 TKT778863 TUP778863 UEL778863 UOH778863 UYD778863 VHZ778863 VRV778863 WBR778863 WLN778863 WVJ778863 B844399 IX844399 ST844399 ACP844399 AML844399 AWH844399 BGD844399 BPZ844399 BZV844399 CJR844399 CTN844399 DDJ844399 DNF844399 DXB844399 EGX844399 EQT844399 FAP844399 FKL844399 FUH844399 GED844399 GNZ844399 GXV844399 HHR844399 HRN844399 IBJ844399 ILF844399 IVB844399 JEX844399 JOT844399 JYP844399 KIL844399 KSH844399 LCD844399 LLZ844399 LVV844399 MFR844399 MPN844399 MZJ844399 NJF844399 NTB844399 OCX844399 OMT844399 OWP844399 PGL844399 PQH844399 QAD844399 QJZ844399 QTV844399 RDR844399 RNN844399 RXJ844399 SHF844399 SRB844399 TAX844399 TKT844399 TUP844399 UEL844399 UOH844399 UYD844399 VHZ844399 VRV844399 WBR844399 WLN844399 WVJ844399 B909935 IX909935 ST909935 ACP909935 AML909935 AWH909935 BGD909935 BPZ909935 BZV909935 CJR909935 CTN909935 DDJ909935 DNF909935 DXB909935 EGX909935 EQT909935 FAP909935 FKL909935 FUH909935 GED909935 GNZ909935 GXV909935 HHR909935 HRN909935 IBJ909935 ILF909935 IVB909935 JEX909935 JOT909935 JYP909935 KIL909935 KSH909935 LCD909935 LLZ909935 LVV909935 MFR909935 MPN909935 MZJ909935 NJF909935 NTB909935 OCX909935 OMT909935 OWP909935 PGL909935 PQH909935 QAD909935 QJZ909935 QTV909935 RDR909935 RNN909935 RXJ909935 SHF909935 SRB909935 TAX909935 TKT909935 TUP909935 UEL909935 UOH909935 UYD909935 VHZ909935 VRV909935 WBR909935 WLN909935 WVJ909935 B975471 IX975471 ST975471 ACP975471 AML975471 AWH975471 BGD975471 BPZ975471 BZV975471 CJR975471 CTN975471 DDJ975471 DNF975471 DXB975471 EGX975471 EQT975471 FAP975471 FKL975471 FUH975471 GED975471 GNZ975471 GXV975471 HHR975471 HRN975471 IBJ975471 ILF975471 IVB975471 JEX975471 JOT975471 JYP975471 KIL975471 KSH975471 LCD975471 LLZ975471 LVV975471 MFR975471 MPN975471 MZJ975471 NJF975471 NTB975471 OCX975471 OMT975471 OWP975471 PGL975471 PQH975471 QAD975471 QJZ975471 QTV975471 RDR975471 RNN975471 RXJ975471 SHF975471 SRB975471 TAX975471 TKT975471 TUP975471 UEL975471 UOH975471 UYD975471 VHZ975471 VRV975471 WBR975471 WLN975471 WVJ975471 B1041007 IX1041007 ST1041007 ACP1041007 AML1041007 AWH1041007 BGD1041007 BPZ1041007 BZV1041007 CJR1041007 CTN1041007 DDJ1041007 DNF1041007 DXB1041007 EGX1041007 EQT1041007 FAP1041007 FKL1041007 FUH1041007 GED1041007 GNZ1041007 GXV1041007 HHR1041007 HRN1041007 IBJ1041007 ILF1041007 IVB1041007 JEX1041007 JOT1041007 JYP1041007 KIL1041007 KSH1041007 LCD1041007 LLZ1041007 LVV1041007 MFR1041007 MPN1041007 MZJ1041007 NJF1041007 NTB1041007 OCX1041007 OMT1041007 OWP1041007 PGL1041007 PQH1041007 QAD1041007 QJZ1041007 QTV1041007 RDR1041007 RNN1041007 RXJ1041007 SHF1041007 SRB1041007 TAX1041007 TKT1041007 TUP1041007 UEL1041007 UOH1041007 UYD1041007 VHZ1041007 VRV1041007 WBR1041007 WLN1041007 WVJ1041007 GT57967 QP57967 AAL57967 AKH57967 AUD57967 BDZ57967 BNV57967 BXR57967 CHN57967 CRJ57967 DBF57967 DLB57967 DUX57967 EET57967 EOP57967 EYL57967 FIH57967 FSD57967 GBZ57967 GLV57967 GVR57967 HFN57967 HPJ57967 HZF57967 IJB57967 ISX57967 JCT57967 JMP57967 JWL57967 KGH57967 KQD57967 KZZ57967 LJV57967 LTR57967 MDN57967 MNJ57967 MXF57967 NHB57967 NQX57967 OAT57967 OKP57967 OUL57967 PEH57967 POD57967 PXZ57967 QHV57967 QRR57967 RBN57967 RLJ57967 RVF57967 SFB57967 SOX57967 SYT57967 TIP57967 TSL57967 UCH57967 UMD57967 UVZ57967 VFV57967 VPR57967 VZN57967 WJJ57967 WTF57967 XDB57967 GT123503 QP123503 AAL123503 AKH123503 AUD123503 BDZ123503 BNV123503 BXR123503 CHN123503 CRJ123503 DBF123503 DLB123503 DUX123503 EET123503 EOP123503 EYL123503 FIH123503 FSD123503 GBZ123503 GLV123503 GVR123503 HFN123503 HPJ123503 HZF123503 IJB123503 ISX123503 JCT123503 JMP123503 JWL123503 KGH123503 KQD123503 KZZ123503 LJV123503 LTR123503 MDN123503 MNJ123503 MXF123503 NHB123503 NQX123503 OAT123503 OKP123503 OUL123503 PEH123503 POD123503 PXZ123503 QHV123503 QRR123503 RBN123503 RLJ123503 RVF123503 SFB123503 SOX123503 SYT123503 TIP123503 TSL123503 UCH123503 UMD123503 UVZ123503 VFV123503 VPR123503 VZN123503 WJJ123503 WTF123503 XDB123503 GT189039 QP189039 AAL189039 AKH189039 AUD189039 BDZ189039 BNV189039 BXR189039 CHN189039 CRJ189039 DBF189039 DLB189039 DUX189039 EET189039 EOP189039 EYL189039 FIH189039 FSD189039 GBZ189039 GLV189039 GVR189039 HFN189039 HPJ189039 HZF189039 IJB189039 ISX189039 JCT189039 JMP189039 JWL189039 KGH189039 KQD189039 KZZ189039 LJV189039 LTR189039 MDN189039 MNJ189039 MXF189039 NHB189039 NQX189039 OAT189039 OKP189039 OUL189039 PEH189039 POD189039 PXZ189039 QHV189039 QRR189039 RBN189039 RLJ189039 RVF189039 SFB189039 SOX189039 SYT189039 TIP189039 TSL189039 UCH189039 UMD189039 UVZ189039 VFV189039 VPR189039 VZN189039 WJJ189039 WTF189039 XDB189039 GT254575 QP254575 AAL254575 AKH254575 AUD254575 BDZ254575 BNV254575 BXR254575 CHN254575 CRJ254575 DBF254575 DLB254575 DUX254575 EET254575 EOP254575 EYL254575 FIH254575 FSD254575 GBZ254575 GLV254575 GVR254575 HFN254575 HPJ254575 HZF254575 IJB254575 ISX254575 JCT254575 JMP254575 JWL254575 KGH254575 KQD254575 KZZ254575 LJV254575 LTR254575 MDN254575 MNJ254575 MXF254575 NHB254575 NQX254575 OAT254575 OKP254575 OUL254575 PEH254575 POD254575 PXZ254575 QHV254575 QRR254575 RBN254575 RLJ254575 RVF254575 SFB254575 SOX254575 SYT254575 TIP254575 TSL254575 UCH254575 UMD254575 UVZ254575 VFV254575 VPR254575 VZN254575 WJJ254575 WTF254575 XDB254575 GT320111 QP320111 AAL320111 AKH320111 AUD320111 BDZ320111 BNV320111 BXR320111 CHN320111 CRJ320111 DBF320111 DLB320111 DUX320111 EET320111 EOP320111 EYL320111 FIH320111 FSD320111 GBZ320111 GLV320111 GVR320111 HFN320111 HPJ320111 HZF320111 IJB320111 ISX320111 JCT320111 JMP320111 JWL320111 KGH320111 KQD320111 KZZ320111 LJV320111 LTR320111 MDN320111 MNJ320111 MXF320111 NHB320111 NQX320111 OAT320111 OKP320111 OUL320111 PEH320111 POD320111 PXZ320111 QHV320111 QRR320111 RBN320111 RLJ320111 RVF320111 SFB320111 SOX320111 SYT320111 TIP320111 TSL320111 UCH320111 UMD320111 UVZ320111 VFV320111 VPR320111 VZN320111 WJJ320111 WTF320111 XDB320111 GT385647 QP385647 AAL385647 AKH385647 AUD385647 BDZ385647 BNV385647 BXR385647 CHN385647 CRJ385647 DBF385647 DLB385647 DUX385647 EET385647 EOP385647 EYL385647 FIH385647 FSD385647 GBZ385647 GLV385647 GVR385647 HFN385647 HPJ385647 HZF385647 IJB385647 ISX385647 JCT385647 JMP385647 JWL385647 KGH385647 KQD385647 KZZ385647 LJV385647 LTR385647 MDN385647 MNJ385647 MXF385647 NHB385647 NQX385647 OAT385647 OKP385647 OUL385647 PEH385647 POD385647 PXZ385647 QHV385647 QRR385647 RBN385647 RLJ385647 RVF385647 SFB385647 SOX385647 SYT385647 TIP385647 TSL385647 UCH385647 UMD385647 UVZ385647 VFV385647 VPR385647 VZN385647 WJJ385647 WTF385647 XDB385647 GT451183 QP451183 AAL451183 AKH451183 AUD451183 BDZ451183 BNV451183 BXR451183 CHN451183 CRJ451183 DBF451183 DLB451183 DUX451183 EET451183 EOP451183 EYL451183 FIH451183 FSD451183 GBZ451183 GLV451183 GVR451183 HFN451183 HPJ451183 HZF451183 IJB451183 ISX451183 JCT451183 JMP451183 JWL451183 KGH451183 KQD451183 KZZ451183 LJV451183 LTR451183 MDN451183 MNJ451183 MXF451183 NHB451183 NQX451183 OAT451183 OKP451183 OUL451183 PEH451183 POD451183 PXZ451183 QHV451183 QRR451183 RBN451183 RLJ451183 RVF451183 SFB451183 SOX451183 SYT451183 TIP451183 TSL451183 UCH451183 UMD451183 UVZ451183 VFV451183 VPR451183 VZN451183 WJJ451183 WTF451183 XDB451183 GT516719 QP516719 AAL516719 AKH516719 AUD516719 BDZ516719 BNV516719 BXR516719 CHN516719 CRJ516719 DBF516719 DLB516719 DUX516719 EET516719 EOP516719 EYL516719 FIH516719 FSD516719 GBZ516719 GLV516719 GVR516719 HFN516719 HPJ516719 HZF516719 IJB516719 ISX516719 JCT516719 JMP516719 JWL516719 KGH516719 KQD516719 KZZ516719 LJV516719 LTR516719 MDN516719 MNJ516719 MXF516719 NHB516719 NQX516719 OAT516719 OKP516719 OUL516719 PEH516719 POD516719 PXZ516719 QHV516719 QRR516719 RBN516719 RLJ516719 RVF516719 SFB516719 SOX516719 SYT516719 TIP516719 TSL516719 UCH516719 UMD516719 UVZ516719 VFV516719 VPR516719 VZN516719 WJJ516719 WTF516719 XDB516719 GT582255 QP582255 AAL582255 AKH582255 AUD582255 BDZ582255 BNV582255 BXR582255 CHN582255 CRJ582255 DBF582255 DLB582255 DUX582255 EET582255 EOP582255 EYL582255 FIH582255 FSD582255 GBZ582255 GLV582255 GVR582255 HFN582255 HPJ582255 HZF582255 IJB582255 ISX582255 JCT582255 JMP582255 JWL582255 KGH582255 KQD582255 KZZ582255 LJV582255 LTR582255 MDN582255 MNJ582255 MXF582255 NHB582255 NQX582255 OAT582255 OKP582255 OUL582255 PEH582255 POD582255 PXZ582255 QHV582255 QRR582255 RBN582255 RLJ582255 RVF582255 SFB582255 SOX582255 SYT582255 TIP582255 TSL582255 UCH582255 UMD582255 UVZ582255 VFV582255 VPR582255 VZN582255 WJJ582255 WTF582255 XDB582255 GT647791 QP647791 AAL647791 AKH647791 AUD647791 BDZ647791 BNV647791 BXR647791 CHN647791 CRJ647791 DBF647791 DLB647791 DUX647791 EET647791 EOP647791 EYL647791 FIH647791 FSD647791 GBZ647791 GLV647791 GVR647791 HFN647791 HPJ647791 HZF647791 IJB647791 ISX647791 JCT647791 JMP647791 JWL647791 KGH647791 KQD647791 KZZ647791 LJV647791 LTR647791 MDN647791 MNJ647791 MXF647791 NHB647791 NQX647791 OAT647791 OKP647791 OUL647791 PEH647791 POD647791 PXZ647791 QHV647791 QRR647791 RBN647791 RLJ647791 RVF647791 SFB647791 SOX647791 SYT647791 TIP647791 TSL647791 UCH647791 UMD647791 UVZ647791 VFV647791 VPR647791 VZN647791 WJJ647791 WTF647791 XDB647791 GT713327 QP713327 AAL713327 AKH713327 AUD713327 BDZ713327 BNV713327 BXR713327 CHN713327 CRJ713327 DBF713327 DLB713327 DUX713327 EET713327 EOP713327 EYL713327 FIH713327 FSD713327 GBZ713327 GLV713327 GVR713327 HFN713327 HPJ713327 HZF713327 IJB713327 ISX713327 JCT713327 JMP713327 JWL713327 KGH713327 KQD713327 KZZ713327 LJV713327 LTR713327 MDN713327 MNJ713327 MXF713327 NHB713327 NQX713327 OAT713327 OKP713327 OUL713327 PEH713327 POD713327 PXZ713327 QHV713327 QRR713327 RBN713327 RLJ713327 RVF713327 SFB713327 SOX713327 SYT713327 TIP713327 TSL713327 UCH713327 UMD713327 UVZ713327 VFV713327 VPR713327 VZN713327 WJJ713327 WTF713327 XDB713327 GT778863 QP778863 AAL778863 AKH778863 AUD778863 BDZ778863 BNV778863 BXR778863 CHN778863 CRJ778863 DBF778863 DLB778863 DUX778863 EET778863 EOP778863 EYL778863 FIH778863 FSD778863 GBZ778863 GLV778863 GVR778863 HFN778863 HPJ778863 HZF778863 IJB778863 ISX778863 JCT778863 JMP778863 JWL778863 KGH778863 KQD778863 KZZ778863 LJV778863 LTR778863 MDN778863 MNJ778863 MXF778863 NHB778863 NQX778863 OAT778863 OKP778863 OUL778863 PEH778863 POD778863 PXZ778863 QHV778863 QRR778863 RBN778863 RLJ778863 RVF778863 SFB778863 SOX778863 SYT778863 TIP778863 TSL778863 UCH778863 UMD778863 UVZ778863 VFV778863 VPR778863 VZN778863 WJJ778863 WTF778863 XDB778863 GT844399 QP844399 AAL844399 AKH844399 AUD844399 BDZ844399 BNV844399 BXR844399 CHN844399 CRJ844399 DBF844399 DLB844399 DUX844399 EET844399 EOP844399 EYL844399 FIH844399 FSD844399 GBZ844399 GLV844399 GVR844399 HFN844399 HPJ844399 HZF844399 IJB844399 ISX844399 JCT844399 JMP844399 JWL844399 KGH844399 KQD844399 KZZ844399 LJV844399 LTR844399 MDN844399 MNJ844399 MXF844399 NHB844399 NQX844399 OAT844399 OKP844399 OUL844399 PEH844399 POD844399 PXZ844399 QHV844399 QRR844399 RBN844399 RLJ844399 RVF844399 SFB844399 SOX844399 SYT844399 TIP844399 TSL844399 UCH844399 UMD844399 UVZ844399 VFV844399 VPR844399 VZN844399 WJJ844399 WTF844399 XDB844399 GT909935 QP909935 AAL909935 AKH909935 AUD909935 BDZ909935 BNV909935 BXR909935 CHN909935 CRJ909935 DBF909935 DLB909935 DUX909935 EET909935 EOP909935 EYL909935 FIH909935 FSD909935 GBZ909935 GLV909935 GVR909935 HFN909935 HPJ909935 HZF909935 IJB909935 ISX909935 JCT909935 JMP909935 JWL909935 KGH909935 KQD909935 KZZ909935 LJV909935 LTR909935 MDN909935 MNJ909935 MXF909935 NHB909935 NQX909935 OAT909935 OKP909935 OUL909935 PEH909935 POD909935 PXZ909935 QHV909935 QRR909935 RBN909935 RLJ909935 RVF909935 SFB909935 SOX909935 SYT909935 TIP909935 TSL909935 UCH909935 UMD909935 UVZ909935 VFV909935 VPR909935 VZN909935 WJJ909935 WTF909935 XDB909935 GT975471 QP975471 AAL975471 AKH975471 AUD975471 BDZ975471 BNV975471 BXR975471 CHN975471 CRJ975471 DBF975471 DLB975471 DUX975471 EET975471 EOP975471 EYL975471 FIH975471 FSD975471 GBZ975471 GLV975471 GVR975471 HFN975471 HPJ975471 HZF975471 IJB975471 ISX975471 JCT975471 JMP975471 JWL975471 KGH975471 KQD975471 KZZ975471 LJV975471 LTR975471 MDN975471 MNJ975471 MXF975471 NHB975471 NQX975471 OAT975471 OKP975471 OUL975471 PEH975471 POD975471 PXZ975471 QHV975471 QRR975471 RBN975471 RLJ975471 RVF975471 SFB975471 SOX975471 SYT975471 TIP975471 TSL975471 UCH975471 UMD975471 UVZ975471 VFV975471 VPR975471 VZN975471 WJJ975471 WTF975471 XDB975471 GT1041007 QP1041007 AAL1041007 AKH1041007 AUD1041007 BDZ1041007 BNV1041007 BXR1041007 CHN1041007 CRJ1041007 DBF1041007 DLB1041007 DUX1041007 EET1041007 EOP1041007 EYL1041007 FIH1041007 FSD1041007 GBZ1041007 GLV1041007 GVR1041007 HFN1041007 HPJ1041007 HZF1041007 IJB1041007 ISX1041007 JCT1041007 JMP1041007 JWL1041007 KGH1041007 KQD1041007 KZZ1041007 LJV1041007 LTR1041007 MDN1041007 MNJ1041007 MXF1041007 NHB1041007 NQX1041007 OAT1041007 OKP1041007 OUL1041007 PEH1041007 POD1041007 PXZ1041007 QHV1041007 QRR1041007 RBN1041007 RLJ1041007 RVF1041007 SFB1041007 SOX1041007 SYT1041007 TIP1041007 TSL1041007 UCH1041007 UMD1041007 UVZ1041007 VFV1041007 VPR1041007 VZN1041007 WJJ1041007 WTF1041007 XDB1041007" xr:uid="{9E8BB8D0-2ACF-4401-9E7C-8F63EF5FFDC5}">
      <formula1>"per share,ratio,thousands,units"</formula1>
    </dataValidation>
    <dataValidation type="custom" showInputMessage="1" showErrorMessage="1" sqref="C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C65537 IY65537 SU65537 ACQ65537 AMM65537 AWI65537 BGE65537 BQA65537 BZW65537 CJS65537 CTO65537 DDK65537 DNG65537 DXC65537 EGY65537 EQU65537 FAQ65537 FKM65537 FUI65537 GEE65537 GOA65537 GXW65537 HHS65537 HRO65537 IBK65537 ILG65537 IVC65537 JEY65537 JOU65537 JYQ65537 KIM65537 KSI65537 LCE65537 LMA65537 LVW65537 MFS65537 MPO65537 MZK65537 NJG65537 NTC65537 OCY65537 OMU65537 OWQ65537 PGM65537 PQI65537 QAE65537 QKA65537 QTW65537 RDS65537 RNO65537 RXK65537 SHG65537 SRC65537 TAY65537 TKU65537 TUQ65537 UEM65537 UOI65537 UYE65537 VIA65537 VRW65537 WBS65537 WLO65537 WVK65537 C131073 IY131073 SU131073 ACQ131073 AMM131073 AWI131073 BGE131073 BQA131073 BZW131073 CJS131073 CTO131073 DDK131073 DNG131073 DXC131073 EGY131073 EQU131073 FAQ131073 FKM131073 FUI131073 GEE131073 GOA131073 GXW131073 HHS131073 HRO131073 IBK131073 ILG131073 IVC131073 JEY131073 JOU131073 JYQ131073 KIM131073 KSI131073 LCE131073 LMA131073 LVW131073 MFS131073 MPO131073 MZK131073 NJG131073 NTC131073 OCY131073 OMU131073 OWQ131073 PGM131073 PQI131073 QAE131073 QKA131073 QTW131073 RDS131073 RNO131073 RXK131073 SHG131073 SRC131073 TAY131073 TKU131073 TUQ131073 UEM131073 UOI131073 UYE131073 VIA131073 VRW131073 WBS131073 WLO131073 WVK131073 C196609 IY196609 SU196609 ACQ196609 AMM196609 AWI196609 BGE196609 BQA196609 BZW196609 CJS196609 CTO196609 DDK196609 DNG196609 DXC196609 EGY196609 EQU196609 FAQ196609 FKM196609 FUI196609 GEE196609 GOA196609 GXW196609 HHS196609 HRO196609 IBK196609 ILG196609 IVC196609 JEY196609 JOU196609 JYQ196609 KIM196609 KSI196609 LCE196609 LMA196609 LVW196609 MFS196609 MPO196609 MZK196609 NJG196609 NTC196609 OCY196609 OMU196609 OWQ196609 PGM196609 PQI196609 QAE196609 QKA196609 QTW196609 RDS196609 RNO196609 RXK196609 SHG196609 SRC196609 TAY196609 TKU196609 TUQ196609 UEM196609 UOI196609 UYE196609 VIA196609 VRW196609 WBS196609 WLO196609 WVK196609 C262145 IY262145 SU262145 ACQ262145 AMM262145 AWI262145 BGE262145 BQA262145 BZW262145 CJS262145 CTO262145 DDK262145 DNG262145 DXC262145 EGY262145 EQU262145 FAQ262145 FKM262145 FUI262145 GEE262145 GOA262145 GXW262145 HHS262145 HRO262145 IBK262145 ILG262145 IVC262145 JEY262145 JOU262145 JYQ262145 KIM262145 KSI262145 LCE262145 LMA262145 LVW262145 MFS262145 MPO262145 MZK262145 NJG262145 NTC262145 OCY262145 OMU262145 OWQ262145 PGM262145 PQI262145 QAE262145 QKA262145 QTW262145 RDS262145 RNO262145 RXK262145 SHG262145 SRC262145 TAY262145 TKU262145 TUQ262145 UEM262145 UOI262145 UYE262145 VIA262145 VRW262145 WBS262145 WLO262145 WVK262145 C327681 IY327681 SU327681 ACQ327681 AMM327681 AWI327681 BGE327681 BQA327681 BZW327681 CJS327681 CTO327681 DDK327681 DNG327681 DXC327681 EGY327681 EQU327681 FAQ327681 FKM327681 FUI327681 GEE327681 GOA327681 GXW327681 HHS327681 HRO327681 IBK327681 ILG327681 IVC327681 JEY327681 JOU327681 JYQ327681 KIM327681 KSI327681 LCE327681 LMA327681 LVW327681 MFS327681 MPO327681 MZK327681 NJG327681 NTC327681 OCY327681 OMU327681 OWQ327681 PGM327681 PQI327681 QAE327681 QKA327681 QTW327681 RDS327681 RNO327681 RXK327681 SHG327681 SRC327681 TAY327681 TKU327681 TUQ327681 UEM327681 UOI327681 UYE327681 VIA327681 VRW327681 WBS327681 WLO327681 WVK327681 C393217 IY393217 SU393217 ACQ393217 AMM393217 AWI393217 BGE393217 BQA393217 BZW393217 CJS393217 CTO393217 DDK393217 DNG393217 DXC393217 EGY393217 EQU393217 FAQ393217 FKM393217 FUI393217 GEE393217 GOA393217 GXW393217 HHS393217 HRO393217 IBK393217 ILG393217 IVC393217 JEY393217 JOU393217 JYQ393217 KIM393217 KSI393217 LCE393217 LMA393217 LVW393217 MFS393217 MPO393217 MZK393217 NJG393217 NTC393217 OCY393217 OMU393217 OWQ393217 PGM393217 PQI393217 QAE393217 QKA393217 QTW393217 RDS393217 RNO393217 RXK393217 SHG393217 SRC393217 TAY393217 TKU393217 TUQ393217 UEM393217 UOI393217 UYE393217 VIA393217 VRW393217 WBS393217 WLO393217 WVK393217 C458753 IY458753 SU458753 ACQ458753 AMM458753 AWI458753 BGE458753 BQA458753 BZW458753 CJS458753 CTO458753 DDK458753 DNG458753 DXC458753 EGY458753 EQU458753 FAQ458753 FKM458753 FUI458753 GEE458753 GOA458753 GXW458753 HHS458753 HRO458753 IBK458753 ILG458753 IVC458753 JEY458753 JOU458753 JYQ458753 KIM458753 KSI458753 LCE458753 LMA458753 LVW458753 MFS458753 MPO458753 MZK458753 NJG458753 NTC458753 OCY458753 OMU458753 OWQ458753 PGM458753 PQI458753 QAE458753 QKA458753 QTW458753 RDS458753 RNO458753 RXK458753 SHG458753 SRC458753 TAY458753 TKU458753 TUQ458753 UEM458753 UOI458753 UYE458753 VIA458753 VRW458753 WBS458753 WLO458753 WVK458753 C524289 IY524289 SU524289 ACQ524289 AMM524289 AWI524289 BGE524289 BQA524289 BZW524289 CJS524289 CTO524289 DDK524289 DNG524289 DXC524289 EGY524289 EQU524289 FAQ524289 FKM524289 FUI524289 GEE524289 GOA524289 GXW524289 HHS524289 HRO524289 IBK524289 ILG524289 IVC524289 JEY524289 JOU524289 JYQ524289 KIM524289 KSI524289 LCE524289 LMA524289 LVW524289 MFS524289 MPO524289 MZK524289 NJG524289 NTC524289 OCY524289 OMU524289 OWQ524289 PGM524289 PQI524289 QAE524289 QKA524289 QTW524289 RDS524289 RNO524289 RXK524289 SHG524289 SRC524289 TAY524289 TKU524289 TUQ524289 UEM524289 UOI524289 UYE524289 VIA524289 VRW524289 WBS524289 WLO524289 WVK524289 C589825 IY589825 SU589825 ACQ589825 AMM589825 AWI589825 BGE589825 BQA589825 BZW589825 CJS589825 CTO589825 DDK589825 DNG589825 DXC589825 EGY589825 EQU589825 FAQ589825 FKM589825 FUI589825 GEE589825 GOA589825 GXW589825 HHS589825 HRO589825 IBK589825 ILG589825 IVC589825 JEY589825 JOU589825 JYQ589825 KIM589825 KSI589825 LCE589825 LMA589825 LVW589825 MFS589825 MPO589825 MZK589825 NJG589825 NTC589825 OCY589825 OMU589825 OWQ589825 PGM589825 PQI589825 QAE589825 QKA589825 QTW589825 RDS589825 RNO589825 RXK589825 SHG589825 SRC589825 TAY589825 TKU589825 TUQ589825 UEM589825 UOI589825 UYE589825 VIA589825 VRW589825 WBS589825 WLO589825 WVK589825 C655361 IY655361 SU655361 ACQ655361 AMM655361 AWI655361 BGE655361 BQA655361 BZW655361 CJS655361 CTO655361 DDK655361 DNG655361 DXC655361 EGY655361 EQU655361 FAQ655361 FKM655361 FUI655361 GEE655361 GOA655361 GXW655361 HHS655361 HRO655361 IBK655361 ILG655361 IVC655361 JEY655361 JOU655361 JYQ655361 KIM655361 KSI655361 LCE655361 LMA655361 LVW655361 MFS655361 MPO655361 MZK655361 NJG655361 NTC655361 OCY655361 OMU655361 OWQ655361 PGM655361 PQI655361 QAE655361 QKA655361 QTW655361 RDS655361 RNO655361 RXK655361 SHG655361 SRC655361 TAY655361 TKU655361 TUQ655361 UEM655361 UOI655361 UYE655361 VIA655361 VRW655361 WBS655361 WLO655361 WVK655361 C720897 IY720897 SU720897 ACQ720897 AMM720897 AWI720897 BGE720897 BQA720897 BZW720897 CJS720897 CTO720897 DDK720897 DNG720897 DXC720897 EGY720897 EQU720897 FAQ720897 FKM720897 FUI720897 GEE720897 GOA720897 GXW720897 HHS720897 HRO720897 IBK720897 ILG720897 IVC720897 JEY720897 JOU720897 JYQ720897 KIM720897 KSI720897 LCE720897 LMA720897 LVW720897 MFS720897 MPO720897 MZK720897 NJG720897 NTC720897 OCY720897 OMU720897 OWQ720897 PGM720897 PQI720897 QAE720897 QKA720897 QTW720897 RDS720897 RNO720897 RXK720897 SHG720897 SRC720897 TAY720897 TKU720897 TUQ720897 UEM720897 UOI720897 UYE720897 VIA720897 VRW720897 WBS720897 WLO720897 WVK720897 C786433 IY786433 SU786433 ACQ786433 AMM786433 AWI786433 BGE786433 BQA786433 BZW786433 CJS786433 CTO786433 DDK786433 DNG786433 DXC786433 EGY786433 EQU786433 FAQ786433 FKM786433 FUI786433 GEE786433 GOA786433 GXW786433 HHS786433 HRO786433 IBK786433 ILG786433 IVC786433 JEY786433 JOU786433 JYQ786433 KIM786433 KSI786433 LCE786433 LMA786433 LVW786433 MFS786433 MPO786433 MZK786433 NJG786433 NTC786433 OCY786433 OMU786433 OWQ786433 PGM786433 PQI786433 QAE786433 QKA786433 QTW786433 RDS786433 RNO786433 RXK786433 SHG786433 SRC786433 TAY786433 TKU786433 TUQ786433 UEM786433 UOI786433 UYE786433 VIA786433 VRW786433 WBS786433 WLO786433 WVK786433 C851969 IY851969 SU851969 ACQ851969 AMM851969 AWI851969 BGE851969 BQA851969 BZW851969 CJS851969 CTO851969 DDK851969 DNG851969 DXC851969 EGY851969 EQU851969 FAQ851969 FKM851969 FUI851969 GEE851969 GOA851969 GXW851969 HHS851969 HRO851969 IBK851969 ILG851969 IVC851969 JEY851969 JOU851969 JYQ851969 KIM851969 KSI851969 LCE851969 LMA851969 LVW851969 MFS851969 MPO851969 MZK851969 NJG851969 NTC851969 OCY851969 OMU851969 OWQ851969 PGM851969 PQI851969 QAE851969 QKA851969 QTW851969 RDS851969 RNO851969 RXK851969 SHG851969 SRC851969 TAY851969 TKU851969 TUQ851969 UEM851969 UOI851969 UYE851969 VIA851969 VRW851969 WBS851969 WLO851969 WVK851969 C917505 IY917505 SU917505 ACQ917505 AMM917505 AWI917505 BGE917505 BQA917505 BZW917505 CJS917505 CTO917505 DDK917505 DNG917505 DXC917505 EGY917505 EQU917505 FAQ917505 FKM917505 FUI917505 GEE917505 GOA917505 GXW917505 HHS917505 HRO917505 IBK917505 ILG917505 IVC917505 JEY917505 JOU917505 JYQ917505 KIM917505 KSI917505 LCE917505 LMA917505 LVW917505 MFS917505 MPO917505 MZK917505 NJG917505 NTC917505 OCY917505 OMU917505 OWQ917505 PGM917505 PQI917505 QAE917505 QKA917505 QTW917505 RDS917505 RNO917505 RXK917505 SHG917505 SRC917505 TAY917505 TKU917505 TUQ917505 UEM917505 UOI917505 UYE917505 VIA917505 VRW917505 WBS917505 WLO917505 WVK917505 C983041 IY983041 SU983041 ACQ983041 AMM983041 AWI983041 BGE983041 BQA983041 BZW983041 CJS983041 CTO983041 DDK983041 DNG983041 DXC983041 EGY983041 EQU983041 FAQ983041 FKM983041 FUI983041 GEE983041 GOA983041 GXW983041 HHS983041 HRO983041 IBK983041 ILG983041 IVC983041 JEY983041 JOU983041 JYQ983041 KIM983041 KSI983041 LCE983041 LMA983041 LVW983041 MFS983041 MPO983041 MZK983041 NJG983041 NTC983041 OCY983041 OMU983041 OWQ983041 PGM983041 PQI983041 QAE983041 QKA983041 QTW983041 RDS983041 RNO983041 RXK983041 SHG983041 SRC983041 TAY983041 TKU983041 TUQ983041 UEM983041 UOI983041 UYE983041 VIA983041 VRW983041 WBS983041 WLO983041 WVK983041 GU2 QQ2 AAM2 AKI2 AUE2 BEA2 BNW2 BXS2 CHO2 CRK2 DBG2 DLC2 DUY2 EEU2 EOQ2 EYM2 FII2 FSE2 GCA2 GLW2 GVS2 HFO2 HPK2 HZG2 IJC2 ISY2 JCU2 JMQ2 JWM2 KGI2 KQE2 LAA2 LJW2 LTS2 MDO2 MNK2 MXG2 NHC2 NQY2 OAU2 OKQ2 OUM2 PEI2 POE2 PYA2 QHW2 QRS2 RBO2 RLK2 RVG2 SFC2 SOY2 SYU2 TIQ2 TSM2 UCI2 UME2 UWA2 VFW2 VPS2 VZO2 WJK2 WTG2 XDC2 GU65537 QQ65537 AAM65537 AKI65537 AUE65537 BEA65537 BNW65537 BXS65537 CHO65537 CRK65537 DBG65537 DLC65537 DUY65537 EEU65537 EOQ65537 EYM65537 FII65537 FSE65537 GCA65537 GLW65537 GVS65537 HFO65537 HPK65537 HZG65537 IJC65537 ISY65537 JCU65537 JMQ65537 JWM65537 KGI65537 KQE65537 LAA65537 LJW65537 LTS65537 MDO65537 MNK65537 MXG65537 NHC65537 NQY65537 OAU65537 OKQ65537 OUM65537 PEI65537 POE65537 PYA65537 QHW65537 QRS65537 RBO65537 RLK65537 RVG65537 SFC65537 SOY65537 SYU65537 TIQ65537 TSM65537 UCI65537 UME65537 UWA65537 VFW65537 VPS65537 VZO65537 WJK65537 WTG65537 XDC65537 GU131073 QQ131073 AAM131073 AKI131073 AUE131073 BEA131073 BNW131073 BXS131073 CHO131073 CRK131073 DBG131073 DLC131073 DUY131073 EEU131073 EOQ131073 EYM131073 FII131073 FSE131073 GCA131073 GLW131073 GVS131073 HFO131073 HPK131073 HZG131073 IJC131073 ISY131073 JCU131073 JMQ131073 JWM131073 KGI131073 KQE131073 LAA131073 LJW131073 LTS131073 MDO131073 MNK131073 MXG131073 NHC131073 NQY131073 OAU131073 OKQ131073 OUM131073 PEI131073 POE131073 PYA131073 QHW131073 QRS131073 RBO131073 RLK131073 RVG131073 SFC131073 SOY131073 SYU131073 TIQ131073 TSM131073 UCI131073 UME131073 UWA131073 VFW131073 VPS131073 VZO131073 WJK131073 WTG131073 XDC131073 GU196609 QQ196609 AAM196609 AKI196609 AUE196609 BEA196609 BNW196609 BXS196609 CHO196609 CRK196609 DBG196609 DLC196609 DUY196609 EEU196609 EOQ196609 EYM196609 FII196609 FSE196609 GCA196609 GLW196609 GVS196609 HFO196609 HPK196609 HZG196609 IJC196609 ISY196609 JCU196609 JMQ196609 JWM196609 KGI196609 KQE196609 LAA196609 LJW196609 LTS196609 MDO196609 MNK196609 MXG196609 NHC196609 NQY196609 OAU196609 OKQ196609 OUM196609 PEI196609 POE196609 PYA196609 QHW196609 QRS196609 RBO196609 RLK196609 RVG196609 SFC196609 SOY196609 SYU196609 TIQ196609 TSM196609 UCI196609 UME196609 UWA196609 VFW196609 VPS196609 VZO196609 WJK196609 WTG196609 XDC196609 GU262145 QQ262145 AAM262145 AKI262145 AUE262145 BEA262145 BNW262145 BXS262145 CHO262145 CRK262145 DBG262145 DLC262145 DUY262145 EEU262145 EOQ262145 EYM262145 FII262145 FSE262145 GCA262145 GLW262145 GVS262145 HFO262145 HPK262145 HZG262145 IJC262145 ISY262145 JCU262145 JMQ262145 JWM262145 KGI262145 KQE262145 LAA262145 LJW262145 LTS262145 MDO262145 MNK262145 MXG262145 NHC262145 NQY262145 OAU262145 OKQ262145 OUM262145 PEI262145 POE262145 PYA262145 QHW262145 QRS262145 RBO262145 RLK262145 RVG262145 SFC262145 SOY262145 SYU262145 TIQ262145 TSM262145 UCI262145 UME262145 UWA262145 VFW262145 VPS262145 VZO262145 WJK262145 WTG262145 XDC262145 GU327681 QQ327681 AAM327681 AKI327681 AUE327681 BEA327681 BNW327681 BXS327681 CHO327681 CRK327681 DBG327681 DLC327681 DUY327681 EEU327681 EOQ327681 EYM327681 FII327681 FSE327681 GCA327681 GLW327681 GVS327681 HFO327681 HPK327681 HZG327681 IJC327681 ISY327681 JCU327681 JMQ327681 JWM327681 KGI327681 KQE327681 LAA327681 LJW327681 LTS327681 MDO327681 MNK327681 MXG327681 NHC327681 NQY327681 OAU327681 OKQ327681 OUM327681 PEI327681 POE327681 PYA327681 QHW327681 QRS327681 RBO327681 RLK327681 RVG327681 SFC327681 SOY327681 SYU327681 TIQ327681 TSM327681 UCI327681 UME327681 UWA327681 VFW327681 VPS327681 VZO327681 WJK327681 WTG327681 XDC327681 GU393217 QQ393217 AAM393217 AKI393217 AUE393217 BEA393217 BNW393217 BXS393217 CHO393217 CRK393217 DBG393217 DLC393217 DUY393217 EEU393217 EOQ393217 EYM393217 FII393217 FSE393217 GCA393217 GLW393217 GVS393217 HFO393217 HPK393217 HZG393217 IJC393217 ISY393217 JCU393217 JMQ393217 JWM393217 KGI393217 KQE393217 LAA393217 LJW393217 LTS393217 MDO393217 MNK393217 MXG393217 NHC393217 NQY393217 OAU393217 OKQ393217 OUM393217 PEI393217 POE393217 PYA393217 QHW393217 QRS393217 RBO393217 RLK393217 RVG393217 SFC393217 SOY393217 SYU393217 TIQ393217 TSM393217 UCI393217 UME393217 UWA393217 VFW393217 VPS393217 VZO393217 WJK393217 WTG393217 XDC393217 GU458753 QQ458753 AAM458753 AKI458753 AUE458753 BEA458753 BNW458753 BXS458753 CHO458753 CRK458753 DBG458753 DLC458753 DUY458753 EEU458753 EOQ458753 EYM458753 FII458753 FSE458753 GCA458753 GLW458753 GVS458753 HFO458753 HPK458753 HZG458753 IJC458753 ISY458753 JCU458753 JMQ458753 JWM458753 KGI458753 KQE458753 LAA458753 LJW458753 LTS458753 MDO458753 MNK458753 MXG458753 NHC458753 NQY458753 OAU458753 OKQ458753 OUM458753 PEI458753 POE458753 PYA458753 QHW458753 QRS458753 RBO458753 RLK458753 RVG458753 SFC458753 SOY458753 SYU458753 TIQ458753 TSM458753 UCI458753 UME458753 UWA458753 VFW458753 VPS458753 VZO458753 WJK458753 WTG458753 XDC458753 GU524289 QQ524289 AAM524289 AKI524289 AUE524289 BEA524289 BNW524289 BXS524289 CHO524289 CRK524289 DBG524289 DLC524289 DUY524289 EEU524289 EOQ524289 EYM524289 FII524289 FSE524289 GCA524289 GLW524289 GVS524289 HFO524289 HPK524289 HZG524289 IJC524289 ISY524289 JCU524289 JMQ524289 JWM524289 KGI524289 KQE524289 LAA524289 LJW524289 LTS524289 MDO524289 MNK524289 MXG524289 NHC524289 NQY524289 OAU524289 OKQ524289 OUM524289 PEI524289 POE524289 PYA524289 QHW524289 QRS524289 RBO524289 RLK524289 RVG524289 SFC524289 SOY524289 SYU524289 TIQ524289 TSM524289 UCI524289 UME524289 UWA524289 VFW524289 VPS524289 VZO524289 WJK524289 WTG524289 XDC524289 GU589825 QQ589825 AAM589825 AKI589825 AUE589825 BEA589825 BNW589825 BXS589825 CHO589825 CRK589825 DBG589825 DLC589825 DUY589825 EEU589825 EOQ589825 EYM589825 FII589825 FSE589825 GCA589825 GLW589825 GVS589825 HFO589825 HPK589825 HZG589825 IJC589825 ISY589825 JCU589825 JMQ589825 JWM589825 KGI589825 KQE589825 LAA589825 LJW589825 LTS589825 MDO589825 MNK589825 MXG589825 NHC589825 NQY589825 OAU589825 OKQ589825 OUM589825 PEI589825 POE589825 PYA589825 QHW589825 QRS589825 RBO589825 RLK589825 RVG589825 SFC589825 SOY589825 SYU589825 TIQ589825 TSM589825 UCI589825 UME589825 UWA589825 VFW589825 VPS589825 VZO589825 WJK589825 WTG589825 XDC589825 GU655361 QQ655361 AAM655361 AKI655361 AUE655361 BEA655361 BNW655361 BXS655361 CHO655361 CRK655361 DBG655361 DLC655361 DUY655361 EEU655361 EOQ655361 EYM655361 FII655361 FSE655361 GCA655361 GLW655361 GVS655361 HFO655361 HPK655361 HZG655361 IJC655361 ISY655361 JCU655361 JMQ655361 JWM655361 KGI655361 KQE655361 LAA655361 LJW655361 LTS655361 MDO655361 MNK655361 MXG655361 NHC655361 NQY655361 OAU655361 OKQ655361 OUM655361 PEI655361 POE655361 PYA655361 QHW655361 QRS655361 RBO655361 RLK655361 RVG655361 SFC655361 SOY655361 SYU655361 TIQ655361 TSM655361 UCI655361 UME655361 UWA655361 VFW655361 VPS655361 VZO655361 WJK655361 WTG655361 XDC655361 GU720897 QQ720897 AAM720897 AKI720897 AUE720897 BEA720897 BNW720897 BXS720897 CHO720897 CRK720897 DBG720897 DLC720897 DUY720897 EEU720897 EOQ720897 EYM720897 FII720897 FSE720897 GCA720897 GLW720897 GVS720897 HFO720897 HPK720897 HZG720897 IJC720897 ISY720897 JCU720897 JMQ720897 JWM720897 KGI720897 KQE720897 LAA720897 LJW720897 LTS720897 MDO720897 MNK720897 MXG720897 NHC720897 NQY720897 OAU720897 OKQ720897 OUM720897 PEI720897 POE720897 PYA720897 QHW720897 QRS720897 RBO720897 RLK720897 RVG720897 SFC720897 SOY720897 SYU720897 TIQ720897 TSM720897 UCI720897 UME720897 UWA720897 VFW720897 VPS720897 VZO720897 WJK720897 WTG720897 XDC720897 GU786433 QQ786433 AAM786433 AKI786433 AUE786433 BEA786433 BNW786433 BXS786433 CHO786433 CRK786433 DBG786433 DLC786433 DUY786433 EEU786433 EOQ786433 EYM786433 FII786433 FSE786433 GCA786433 GLW786433 GVS786433 HFO786433 HPK786433 HZG786433 IJC786433 ISY786433 JCU786433 JMQ786433 JWM786433 KGI786433 KQE786433 LAA786433 LJW786433 LTS786433 MDO786433 MNK786433 MXG786433 NHC786433 NQY786433 OAU786433 OKQ786433 OUM786433 PEI786433 POE786433 PYA786433 QHW786433 QRS786433 RBO786433 RLK786433 RVG786433 SFC786433 SOY786433 SYU786433 TIQ786433 TSM786433 UCI786433 UME786433 UWA786433 VFW786433 VPS786433 VZO786433 WJK786433 WTG786433 XDC786433 GU851969 QQ851969 AAM851969 AKI851969 AUE851969 BEA851969 BNW851969 BXS851969 CHO851969 CRK851969 DBG851969 DLC851969 DUY851969 EEU851969 EOQ851969 EYM851969 FII851969 FSE851969 GCA851969 GLW851969 GVS851969 HFO851969 HPK851969 HZG851969 IJC851969 ISY851969 JCU851969 JMQ851969 JWM851969 KGI851969 KQE851969 LAA851969 LJW851969 LTS851969 MDO851969 MNK851969 MXG851969 NHC851969 NQY851969 OAU851969 OKQ851969 OUM851969 PEI851969 POE851969 PYA851969 QHW851969 QRS851969 RBO851969 RLK851969 RVG851969 SFC851969 SOY851969 SYU851969 TIQ851969 TSM851969 UCI851969 UME851969 UWA851969 VFW851969 VPS851969 VZO851969 WJK851969 WTG851969 XDC851969 GU917505 QQ917505 AAM917505 AKI917505 AUE917505 BEA917505 BNW917505 BXS917505 CHO917505 CRK917505 DBG917505 DLC917505 DUY917505 EEU917505 EOQ917505 EYM917505 FII917505 FSE917505 GCA917505 GLW917505 GVS917505 HFO917505 HPK917505 HZG917505 IJC917505 ISY917505 JCU917505 JMQ917505 JWM917505 KGI917505 KQE917505 LAA917505 LJW917505 LTS917505 MDO917505 MNK917505 MXG917505 NHC917505 NQY917505 OAU917505 OKQ917505 OUM917505 PEI917505 POE917505 PYA917505 QHW917505 QRS917505 RBO917505 RLK917505 RVG917505 SFC917505 SOY917505 SYU917505 TIQ917505 TSM917505 UCI917505 UME917505 UWA917505 VFW917505 VPS917505 VZO917505 WJK917505 WTG917505 XDC917505 GU983041 QQ983041 AAM983041 AKI983041 AUE983041 BEA983041 BNW983041 BXS983041 CHO983041 CRK983041 DBG983041 DLC983041 DUY983041 EEU983041 EOQ983041 EYM983041 FII983041 FSE983041 GCA983041 GLW983041 GVS983041 HFO983041 HPK983041 HZG983041 IJC983041 ISY983041 JCU983041 JMQ983041 JWM983041 KGI983041 KQE983041 LAA983041 LJW983041 LTS983041 MDO983041 MNK983041 MXG983041 NHC983041 NQY983041 OAU983041 OKQ983041 OUM983041 PEI983041 POE983041 PYA983041 QHW983041 QRS983041 RBO983041 RLK983041 RVG983041 SFC983041 SOY983041 SYU983041 TIQ983041 TSM983041 UCI983041 UME983041 UWA983041 VFW983041 VPS983041 VZO983041 WJK983041 WTG983041 XDC983041 C57968 IY57968 SU57968 ACQ57968 AMM57968 AWI57968 BGE57968 BQA57968 BZW57968 CJS57968 CTO57968 DDK57968 DNG57968 DXC57968 EGY57968 EQU57968 FAQ57968 FKM57968 FUI57968 GEE57968 GOA57968 GXW57968 HHS57968 HRO57968 IBK57968 ILG57968 IVC57968 JEY57968 JOU57968 JYQ57968 KIM57968 KSI57968 LCE57968 LMA57968 LVW57968 MFS57968 MPO57968 MZK57968 NJG57968 NTC57968 OCY57968 OMU57968 OWQ57968 PGM57968 PQI57968 QAE57968 QKA57968 QTW57968 RDS57968 RNO57968 RXK57968 SHG57968 SRC57968 TAY57968 TKU57968 TUQ57968 UEM57968 UOI57968 UYE57968 VIA57968 VRW57968 WBS57968 WLO57968 WVK57968 C123504 IY123504 SU123504 ACQ123504 AMM123504 AWI123504 BGE123504 BQA123504 BZW123504 CJS123504 CTO123504 DDK123504 DNG123504 DXC123504 EGY123504 EQU123504 FAQ123504 FKM123504 FUI123504 GEE123504 GOA123504 GXW123504 HHS123504 HRO123504 IBK123504 ILG123504 IVC123504 JEY123504 JOU123504 JYQ123504 KIM123504 KSI123504 LCE123504 LMA123504 LVW123504 MFS123504 MPO123504 MZK123504 NJG123504 NTC123504 OCY123504 OMU123504 OWQ123504 PGM123504 PQI123504 QAE123504 QKA123504 QTW123504 RDS123504 RNO123504 RXK123504 SHG123504 SRC123504 TAY123504 TKU123504 TUQ123504 UEM123504 UOI123504 UYE123504 VIA123504 VRW123504 WBS123504 WLO123504 WVK123504 C189040 IY189040 SU189040 ACQ189040 AMM189040 AWI189040 BGE189040 BQA189040 BZW189040 CJS189040 CTO189040 DDK189040 DNG189040 DXC189040 EGY189040 EQU189040 FAQ189040 FKM189040 FUI189040 GEE189040 GOA189040 GXW189040 HHS189040 HRO189040 IBK189040 ILG189040 IVC189040 JEY189040 JOU189040 JYQ189040 KIM189040 KSI189040 LCE189040 LMA189040 LVW189040 MFS189040 MPO189040 MZK189040 NJG189040 NTC189040 OCY189040 OMU189040 OWQ189040 PGM189040 PQI189040 QAE189040 QKA189040 QTW189040 RDS189040 RNO189040 RXK189040 SHG189040 SRC189040 TAY189040 TKU189040 TUQ189040 UEM189040 UOI189040 UYE189040 VIA189040 VRW189040 WBS189040 WLO189040 WVK189040 C254576 IY254576 SU254576 ACQ254576 AMM254576 AWI254576 BGE254576 BQA254576 BZW254576 CJS254576 CTO254576 DDK254576 DNG254576 DXC254576 EGY254576 EQU254576 FAQ254576 FKM254576 FUI254576 GEE254576 GOA254576 GXW254576 HHS254576 HRO254576 IBK254576 ILG254576 IVC254576 JEY254576 JOU254576 JYQ254576 KIM254576 KSI254576 LCE254576 LMA254576 LVW254576 MFS254576 MPO254576 MZK254576 NJG254576 NTC254576 OCY254576 OMU254576 OWQ254576 PGM254576 PQI254576 QAE254576 QKA254576 QTW254576 RDS254576 RNO254576 RXK254576 SHG254576 SRC254576 TAY254576 TKU254576 TUQ254576 UEM254576 UOI254576 UYE254576 VIA254576 VRW254576 WBS254576 WLO254576 WVK254576 C320112 IY320112 SU320112 ACQ320112 AMM320112 AWI320112 BGE320112 BQA320112 BZW320112 CJS320112 CTO320112 DDK320112 DNG320112 DXC320112 EGY320112 EQU320112 FAQ320112 FKM320112 FUI320112 GEE320112 GOA320112 GXW320112 HHS320112 HRO320112 IBK320112 ILG320112 IVC320112 JEY320112 JOU320112 JYQ320112 KIM320112 KSI320112 LCE320112 LMA320112 LVW320112 MFS320112 MPO320112 MZK320112 NJG320112 NTC320112 OCY320112 OMU320112 OWQ320112 PGM320112 PQI320112 QAE320112 QKA320112 QTW320112 RDS320112 RNO320112 RXK320112 SHG320112 SRC320112 TAY320112 TKU320112 TUQ320112 UEM320112 UOI320112 UYE320112 VIA320112 VRW320112 WBS320112 WLO320112 WVK320112 C385648 IY385648 SU385648 ACQ385648 AMM385648 AWI385648 BGE385648 BQA385648 BZW385648 CJS385648 CTO385648 DDK385648 DNG385648 DXC385648 EGY385648 EQU385648 FAQ385648 FKM385648 FUI385648 GEE385648 GOA385648 GXW385648 HHS385648 HRO385648 IBK385648 ILG385648 IVC385648 JEY385648 JOU385648 JYQ385648 KIM385648 KSI385648 LCE385648 LMA385648 LVW385648 MFS385648 MPO385648 MZK385648 NJG385648 NTC385648 OCY385648 OMU385648 OWQ385648 PGM385648 PQI385648 QAE385648 QKA385648 QTW385648 RDS385648 RNO385648 RXK385648 SHG385648 SRC385648 TAY385648 TKU385648 TUQ385648 UEM385648 UOI385648 UYE385648 VIA385648 VRW385648 WBS385648 WLO385648 WVK385648 C451184 IY451184 SU451184 ACQ451184 AMM451184 AWI451184 BGE451184 BQA451184 BZW451184 CJS451184 CTO451184 DDK451184 DNG451184 DXC451184 EGY451184 EQU451184 FAQ451184 FKM451184 FUI451184 GEE451184 GOA451184 GXW451184 HHS451184 HRO451184 IBK451184 ILG451184 IVC451184 JEY451184 JOU451184 JYQ451184 KIM451184 KSI451184 LCE451184 LMA451184 LVW451184 MFS451184 MPO451184 MZK451184 NJG451184 NTC451184 OCY451184 OMU451184 OWQ451184 PGM451184 PQI451184 QAE451184 QKA451184 QTW451184 RDS451184 RNO451184 RXK451184 SHG451184 SRC451184 TAY451184 TKU451184 TUQ451184 UEM451184 UOI451184 UYE451184 VIA451184 VRW451184 WBS451184 WLO451184 WVK451184 C516720 IY516720 SU516720 ACQ516720 AMM516720 AWI516720 BGE516720 BQA516720 BZW516720 CJS516720 CTO516720 DDK516720 DNG516720 DXC516720 EGY516720 EQU516720 FAQ516720 FKM516720 FUI516720 GEE516720 GOA516720 GXW516720 HHS516720 HRO516720 IBK516720 ILG516720 IVC516720 JEY516720 JOU516720 JYQ516720 KIM516720 KSI516720 LCE516720 LMA516720 LVW516720 MFS516720 MPO516720 MZK516720 NJG516720 NTC516720 OCY516720 OMU516720 OWQ516720 PGM516720 PQI516720 QAE516720 QKA516720 QTW516720 RDS516720 RNO516720 RXK516720 SHG516720 SRC516720 TAY516720 TKU516720 TUQ516720 UEM516720 UOI516720 UYE516720 VIA516720 VRW516720 WBS516720 WLO516720 WVK516720 C582256 IY582256 SU582256 ACQ582256 AMM582256 AWI582256 BGE582256 BQA582256 BZW582256 CJS582256 CTO582256 DDK582256 DNG582256 DXC582256 EGY582256 EQU582256 FAQ582256 FKM582256 FUI582256 GEE582256 GOA582256 GXW582256 HHS582256 HRO582256 IBK582256 ILG582256 IVC582256 JEY582256 JOU582256 JYQ582256 KIM582256 KSI582256 LCE582256 LMA582256 LVW582256 MFS582256 MPO582256 MZK582256 NJG582256 NTC582256 OCY582256 OMU582256 OWQ582256 PGM582256 PQI582256 QAE582256 QKA582256 QTW582256 RDS582256 RNO582256 RXK582256 SHG582256 SRC582256 TAY582256 TKU582256 TUQ582256 UEM582256 UOI582256 UYE582256 VIA582256 VRW582256 WBS582256 WLO582256 WVK582256 C647792 IY647792 SU647792 ACQ647792 AMM647792 AWI647792 BGE647792 BQA647792 BZW647792 CJS647792 CTO647792 DDK647792 DNG647792 DXC647792 EGY647792 EQU647792 FAQ647792 FKM647792 FUI647792 GEE647792 GOA647792 GXW647792 HHS647792 HRO647792 IBK647792 ILG647792 IVC647792 JEY647792 JOU647792 JYQ647792 KIM647792 KSI647792 LCE647792 LMA647792 LVW647792 MFS647792 MPO647792 MZK647792 NJG647792 NTC647792 OCY647792 OMU647792 OWQ647792 PGM647792 PQI647792 QAE647792 QKA647792 QTW647792 RDS647792 RNO647792 RXK647792 SHG647792 SRC647792 TAY647792 TKU647792 TUQ647792 UEM647792 UOI647792 UYE647792 VIA647792 VRW647792 WBS647792 WLO647792 WVK647792 C713328 IY713328 SU713328 ACQ713328 AMM713328 AWI713328 BGE713328 BQA713328 BZW713328 CJS713328 CTO713328 DDK713328 DNG713328 DXC713328 EGY713328 EQU713328 FAQ713328 FKM713328 FUI713328 GEE713328 GOA713328 GXW713328 HHS713328 HRO713328 IBK713328 ILG713328 IVC713328 JEY713328 JOU713328 JYQ713328 KIM713328 KSI713328 LCE713328 LMA713328 LVW713328 MFS713328 MPO713328 MZK713328 NJG713328 NTC713328 OCY713328 OMU713328 OWQ713328 PGM713328 PQI713328 QAE713328 QKA713328 QTW713328 RDS713328 RNO713328 RXK713328 SHG713328 SRC713328 TAY713328 TKU713328 TUQ713328 UEM713328 UOI713328 UYE713328 VIA713328 VRW713328 WBS713328 WLO713328 WVK713328 C778864 IY778864 SU778864 ACQ778864 AMM778864 AWI778864 BGE778864 BQA778864 BZW778864 CJS778864 CTO778864 DDK778864 DNG778864 DXC778864 EGY778864 EQU778864 FAQ778864 FKM778864 FUI778864 GEE778864 GOA778864 GXW778864 HHS778864 HRO778864 IBK778864 ILG778864 IVC778864 JEY778864 JOU778864 JYQ778864 KIM778864 KSI778864 LCE778864 LMA778864 LVW778864 MFS778864 MPO778864 MZK778864 NJG778864 NTC778864 OCY778864 OMU778864 OWQ778864 PGM778864 PQI778864 QAE778864 QKA778864 QTW778864 RDS778864 RNO778864 RXK778864 SHG778864 SRC778864 TAY778864 TKU778864 TUQ778864 UEM778864 UOI778864 UYE778864 VIA778864 VRW778864 WBS778864 WLO778864 WVK778864 C844400 IY844400 SU844400 ACQ844400 AMM844400 AWI844400 BGE844400 BQA844400 BZW844400 CJS844400 CTO844400 DDK844400 DNG844400 DXC844400 EGY844400 EQU844400 FAQ844400 FKM844400 FUI844400 GEE844400 GOA844400 GXW844400 HHS844400 HRO844400 IBK844400 ILG844400 IVC844400 JEY844400 JOU844400 JYQ844400 KIM844400 KSI844400 LCE844400 LMA844400 LVW844400 MFS844400 MPO844400 MZK844400 NJG844400 NTC844400 OCY844400 OMU844400 OWQ844400 PGM844400 PQI844400 QAE844400 QKA844400 QTW844400 RDS844400 RNO844400 RXK844400 SHG844400 SRC844400 TAY844400 TKU844400 TUQ844400 UEM844400 UOI844400 UYE844400 VIA844400 VRW844400 WBS844400 WLO844400 WVK844400 C909936 IY909936 SU909936 ACQ909936 AMM909936 AWI909936 BGE909936 BQA909936 BZW909936 CJS909936 CTO909936 DDK909936 DNG909936 DXC909936 EGY909936 EQU909936 FAQ909936 FKM909936 FUI909936 GEE909936 GOA909936 GXW909936 HHS909936 HRO909936 IBK909936 ILG909936 IVC909936 JEY909936 JOU909936 JYQ909936 KIM909936 KSI909936 LCE909936 LMA909936 LVW909936 MFS909936 MPO909936 MZK909936 NJG909936 NTC909936 OCY909936 OMU909936 OWQ909936 PGM909936 PQI909936 QAE909936 QKA909936 QTW909936 RDS909936 RNO909936 RXK909936 SHG909936 SRC909936 TAY909936 TKU909936 TUQ909936 UEM909936 UOI909936 UYE909936 VIA909936 VRW909936 WBS909936 WLO909936 WVK909936 C975472 IY975472 SU975472 ACQ975472 AMM975472 AWI975472 BGE975472 BQA975472 BZW975472 CJS975472 CTO975472 DDK975472 DNG975472 DXC975472 EGY975472 EQU975472 FAQ975472 FKM975472 FUI975472 GEE975472 GOA975472 GXW975472 HHS975472 HRO975472 IBK975472 ILG975472 IVC975472 JEY975472 JOU975472 JYQ975472 KIM975472 KSI975472 LCE975472 LMA975472 LVW975472 MFS975472 MPO975472 MZK975472 NJG975472 NTC975472 OCY975472 OMU975472 OWQ975472 PGM975472 PQI975472 QAE975472 QKA975472 QTW975472 RDS975472 RNO975472 RXK975472 SHG975472 SRC975472 TAY975472 TKU975472 TUQ975472 UEM975472 UOI975472 UYE975472 VIA975472 VRW975472 WBS975472 WLO975472 WVK975472 C1041008 IY1041008 SU1041008 ACQ1041008 AMM1041008 AWI1041008 BGE1041008 BQA1041008 BZW1041008 CJS1041008 CTO1041008 DDK1041008 DNG1041008 DXC1041008 EGY1041008 EQU1041008 FAQ1041008 FKM1041008 FUI1041008 GEE1041008 GOA1041008 GXW1041008 HHS1041008 HRO1041008 IBK1041008 ILG1041008 IVC1041008 JEY1041008 JOU1041008 JYQ1041008 KIM1041008 KSI1041008 LCE1041008 LMA1041008 LVW1041008 MFS1041008 MPO1041008 MZK1041008 NJG1041008 NTC1041008 OCY1041008 OMU1041008 OWQ1041008 PGM1041008 PQI1041008 QAE1041008 QKA1041008 QTW1041008 RDS1041008 RNO1041008 RXK1041008 SHG1041008 SRC1041008 TAY1041008 TKU1041008 TUQ1041008 UEM1041008 UOI1041008 UYE1041008 VIA1041008 VRW1041008 WBS1041008 WLO1041008 WVK1041008 GU57968 QQ57968 AAM57968 AKI57968 AUE57968 BEA57968 BNW57968 BXS57968 CHO57968 CRK57968 DBG57968 DLC57968 DUY57968 EEU57968 EOQ57968 EYM57968 FII57968 FSE57968 GCA57968 GLW57968 GVS57968 HFO57968 HPK57968 HZG57968 IJC57968 ISY57968 JCU57968 JMQ57968 JWM57968 KGI57968 KQE57968 LAA57968 LJW57968 LTS57968 MDO57968 MNK57968 MXG57968 NHC57968 NQY57968 OAU57968 OKQ57968 OUM57968 PEI57968 POE57968 PYA57968 QHW57968 QRS57968 RBO57968 RLK57968 RVG57968 SFC57968 SOY57968 SYU57968 TIQ57968 TSM57968 UCI57968 UME57968 UWA57968 VFW57968 VPS57968 VZO57968 WJK57968 WTG57968 XDC57968 GU123504 QQ123504 AAM123504 AKI123504 AUE123504 BEA123504 BNW123504 BXS123504 CHO123504 CRK123504 DBG123504 DLC123504 DUY123504 EEU123504 EOQ123504 EYM123504 FII123504 FSE123504 GCA123504 GLW123504 GVS123504 HFO123504 HPK123504 HZG123504 IJC123504 ISY123504 JCU123504 JMQ123504 JWM123504 KGI123504 KQE123504 LAA123504 LJW123504 LTS123504 MDO123504 MNK123504 MXG123504 NHC123504 NQY123504 OAU123504 OKQ123504 OUM123504 PEI123504 POE123504 PYA123504 QHW123504 QRS123504 RBO123504 RLK123504 RVG123504 SFC123504 SOY123504 SYU123504 TIQ123504 TSM123504 UCI123504 UME123504 UWA123504 VFW123504 VPS123504 VZO123504 WJK123504 WTG123504 XDC123504 GU189040 QQ189040 AAM189040 AKI189040 AUE189040 BEA189040 BNW189040 BXS189040 CHO189040 CRK189040 DBG189040 DLC189040 DUY189040 EEU189040 EOQ189040 EYM189040 FII189040 FSE189040 GCA189040 GLW189040 GVS189040 HFO189040 HPK189040 HZG189040 IJC189040 ISY189040 JCU189040 JMQ189040 JWM189040 KGI189040 KQE189040 LAA189040 LJW189040 LTS189040 MDO189040 MNK189040 MXG189040 NHC189040 NQY189040 OAU189040 OKQ189040 OUM189040 PEI189040 POE189040 PYA189040 QHW189040 QRS189040 RBO189040 RLK189040 RVG189040 SFC189040 SOY189040 SYU189040 TIQ189040 TSM189040 UCI189040 UME189040 UWA189040 VFW189040 VPS189040 VZO189040 WJK189040 WTG189040 XDC189040 GU254576 QQ254576 AAM254576 AKI254576 AUE254576 BEA254576 BNW254576 BXS254576 CHO254576 CRK254576 DBG254576 DLC254576 DUY254576 EEU254576 EOQ254576 EYM254576 FII254576 FSE254576 GCA254576 GLW254576 GVS254576 HFO254576 HPK254576 HZG254576 IJC254576 ISY254576 JCU254576 JMQ254576 JWM254576 KGI254576 KQE254576 LAA254576 LJW254576 LTS254576 MDO254576 MNK254576 MXG254576 NHC254576 NQY254576 OAU254576 OKQ254576 OUM254576 PEI254576 POE254576 PYA254576 QHW254576 QRS254576 RBO254576 RLK254576 RVG254576 SFC254576 SOY254576 SYU254576 TIQ254576 TSM254576 UCI254576 UME254576 UWA254576 VFW254576 VPS254576 VZO254576 WJK254576 WTG254576 XDC254576 GU320112 QQ320112 AAM320112 AKI320112 AUE320112 BEA320112 BNW320112 BXS320112 CHO320112 CRK320112 DBG320112 DLC320112 DUY320112 EEU320112 EOQ320112 EYM320112 FII320112 FSE320112 GCA320112 GLW320112 GVS320112 HFO320112 HPK320112 HZG320112 IJC320112 ISY320112 JCU320112 JMQ320112 JWM320112 KGI320112 KQE320112 LAA320112 LJW320112 LTS320112 MDO320112 MNK320112 MXG320112 NHC320112 NQY320112 OAU320112 OKQ320112 OUM320112 PEI320112 POE320112 PYA320112 QHW320112 QRS320112 RBO320112 RLK320112 RVG320112 SFC320112 SOY320112 SYU320112 TIQ320112 TSM320112 UCI320112 UME320112 UWA320112 VFW320112 VPS320112 VZO320112 WJK320112 WTG320112 XDC320112 GU385648 QQ385648 AAM385648 AKI385648 AUE385648 BEA385648 BNW385648 BXS385648 CHO385648 CRK385648 DBG385648 DLC385648 DUY385648 EEU385648 EOQ385648 EYM385648 FII385648 FSE385648 GCA385648 GLW385648 GVS385648 HFO385648 HPK385648 HZG385648 IJC385648 ISY385648 JCU385648 JMQ385648 JWM385648 KGI385648 KQE385648 LAA385648 LJW385648 LTS385648 MDO385648 MNK385648 MXG385648 NHC385648 NQY385648 OAU385648 OKQ385648 OUM385648 PEI385648 POE385648 PYA385648 QHW385648 QRS385648 RBO385648 RLK385648 RVG385648 SFC385648 SOY385648 SYU385648 TIQ385648 TSM385648 UCI385648 UME385648 UWA385648 VFW385648 VPS385648 VZO385648 WJK385648 WTG385648 XDC385648 GU451184 QQ451184 AAM451184 AKI451184 AUE451184 BEA451184 BNW451184 BXS451184 CHO451184 CRK451184 DBG451184 DLC451184 DUY451184 EEU451184 EOQ451184 EYM451184 FII451184 FSE451184 GCA451184 GLW451184 GVS451184 HFO451184 HPK451184 HZG451184 IJC451184 ISY451184 JCU451184 JMQ451184 JWM451184 KGI451184 KQE451184 LAA451184 LJW451184 LTS451184 MDO451184 MNK451184 MXG451184 NHC451184 NQY451184 OAU451184 OKQ451184 OUM451184 PEI451184 POE451184 PYA451184 QHW451184 QRS451184 RBO451184 RLK451184 RVG451184 SFC451184 SOY451184 SYU451184 TIQ451184 TSM451184 UCI451184 UME451184 UWA451184 VFW451184 VPS451184 VZO451184 WJK451184 WTG451184 XDC451184 GU516720 QQ516720 AAM516720 AKI516720 AUE516720 BEA516720 BNW516720 BXS516720 CHO516720 CRK516720 DBG516720 DLC516720 DUY516720 EEU516720 EOQ516720 EYM516720 FII516720 FSE516720 GCA516720 GLW516720 GVS516720 HFO516720 HPK516720 HZG516720 IJC516720 ISY516720 JCU516720 JMQ516720 JWM516720 KGI516720 KQE516720 LAA516720 LJW516720 LTS516720 MDO516720 MNK516720 MXG516720 NHC516720 NQY516720 OAU516720 OKQ516720 OUM516720 PEI516720 POE516720 PYA516720 QHW516720 QRS516720 RBO516720 RLK516720 RVG516720 SFC516720 SOY516720 SYU516720 TIQ516720 TSM516720 UCI516720 UME516720 UWA516720 VFW516720 VPS516720 VZO516720 WJK516720 WTG516720 XDC516720 GU582256 QQ582256 AAM582256 AKI582256 AUE582256 BEA582256 BNW582256 BXS582256 CHO582256 CRK582256 DBG582256 DLC582256 DUY582256 EEU582256 EOQ582256 EYM582256 FII582256 FSE582256 GCA582256 GLW582256 GVS582256 HFO582256 HPK582256 HZG582256 IJC582256 ISY582256 JCU582256 JMQ582256 JWM582256 KGI582256 KQE582256 LAA582256 LJW582256 LTS582256 MDO582256 MNK582256 MXG582256 NHC582256 NQY582256 OAU582256 OKQ582256 OUM582256 PEI582256 POE582256 PYA582256 QHW582256 QRS582256 RBO582256 RLK582256 RVG582256 SFC582256 SOY582256 SYU582256 TIQ582256 TSM582256 UCI582256 UME582256 UWA582256 VFW582256 VPS582256 VZO582256 WJK582256 WTG582256 XDC582256 GU647792 QQ647792 AAM647792 AKI647792 AUE647792 BEA647792 BNW647792 BXS647792 CHO647792 CRK647792 DBG647792 DLC647792 DUY647792 EEU647792 EOQ647792 EYM647792 FII647792 FSE647792 GCA647792 GLW647792 GVS647792 HFO647792 HPK647792 HZG647792 IJC647792 ISY647792 JCU647792 JMQ647792 JWM647792 KGI647792 KQE647792 LAA647792 LJW647792 LTS647792 MDO647792 MNK647792 MXG647792 NHC647792 NQY647792 OAU647792 OKQ647792 OUM647792 PEI647792 POE647792 PYA647792 QHW647792 QRS647792 RBO647792 RLK647792 RVG647792 SFC647792 SOY647792 SYU647792 TIQ647792 TSM647792 UCI647792 UME647792 UWA647792 VFW647792 VPS647792 VZO647792 WJK647792 WTG647792 XDC647792 GU713328 QQ713328 AAM713328 AKI713328 AUE713328 BEA713328 BNW713328 BXS713328 CHO713328 CRK713328 DBG713328 DLC713328 DUY713328 EEU713328 EOQ713328 EYM713328 FII713328 FSE713328 GCA713328 GLW713328 GVS713328 HFO713328 HPK713328 HZG713328 IJC713328 ISY713328 JCU713328 JMQ713328 JWM713328 KGI713328 KQE713328 LAA713328 LJW713328 LTS713328 MDO713328 MNK713328 MXG713328 NHC713328 NQY713328 OAU713328 OKQ713328 OUM713328 PEI713328 POE713328 PYA713328 QHW713328 QRS713328 RBO713328 RLK713328 RVG713328 SFC713328 SOY713328 SYU713328 TIQ713328 TSM713328 UCI713328 UME713328 UWA713328 VFW713328 VPS713328 VZO713328 WJK713328 WTG713328 XDC713328 GU778864 QQ778864 AAM778864 AKI778864 AUE778864 BEA778864 BNW778864 BXS778864 CHO778864 CRK778864 DBG778864 DLC778864 DUY778864 EEU778864 EOQ778864 EYM778864 FII778864 FSE778864 GCA778864 GLW778864 GVS778864 HFO778864 HPK778864 HZG778864 IJC778864 ISY778864 JCU778864 JMQ778864 JWM778864 KGI778864 KQE778864 LAA778864 LJW778864 LTS778864 MDO778864 MNK778864 MXG778864 NHC778864 NQY778864 OAU778864 OKQ778864 OUM778864 PEI778864 POE778864 PYA778864 QHW778864 QRS778864 RBO778864 RLK778864 RVG778864 SFC778864 SOY778864 SYU778864 TIQ778864 TSM778864 UCI778864 UME778864 UWA778864 VFW778864 VPS778864 VZO778864 WJK778864 WTG778864 XDC778864 GU844400 QQ844400 AAM844400 AKI844400 AUE844400 BEA844400 BNW844400 BXS844400 CHO844400 CRK844400 DBG844400 DLC844400 DUY844400 EEU844400 EOQ844400 EYM844400 FII844400 FSE844400 GCA844400 GLW844400 GVS844400 HFO844400 HPK844400 HZG844400 IJC844400 ISY844400 JCU844400 JMQ844400 JWM844400 KGI844400 KQE844400 LAA844400 LJW844400 LTS844400 MDO844400 MNK844400 MXG844400 NHC844400 NQY844400 OAU844400 OKQ844400 OUM844400 PEI844400 POE844400 PYA844400 QHW844400 QRS844400 RBO844400 RLK844400 RVG844400 SFC844400 SOY844400 SYU844400 TIQ844400 TSM844400 UCI844400 UME844400 UWA844400 VFW844400 VPS844400 VZO844400 WJK844400 WTG844400 XDC844400 GU909936 QQ909936 AAM909936 AKI909936 AUE909936 BEA909936 BNW909936 BXS909936 CHO909936 CRK909936 DBG909936 DLC909936 DUY909936 EEU909936 EOQ909936 EYM909936 FII909936 FSE909936 GCA909936 GLW909936 GVS909936 HFO909936 HPK909936 HZG909936 IJC909936 ISY909936 JCU909936 JMQ909936 JWM909936 KGI909936 KQE909936 LAA909936 LJW909936 LTS909936 MDO909936 MNK909936 MXG909936 NHC909936 NQY909936 OAU909936 OKQ909936 OUM909936 PEI909936 POE909936 PYA909936 QHW909936 QRS909936 RBO909936 RLK909936 RVG909936 SFC909936 SOY909936 SYU909936 TIQ909936 TSM909936 UCI909936 UME909936 UWA909936 VFW909936 VPS909936 VZO909936 WJK909936 WTG909936 XDC909936 GU975472 QQ975472 AAM975472 AKI975472 AUE975472 BEA975472 BNW975472 BXS975472 CHO975472 CRK975472 DBG975472 DLC975472 DUY975472 EEU975472 EOQ975472 EYM975472 FII975472 FSE975472 GCA975472 GLW975472 GVS975472 HFO975472 HPK975472 HZG975472 IJC975472 ISY975472 JCU975472 JMQ975472 JWM975472 KGI975472 KQE975472 LAA975472 LJW975472 LTS975472 MDO975472 MNK975472 MXG975472 NHC975472 NQY975472 OAU975472 OKQ975472 OUM975472 PEI975472 POE975472 PYA975472 QHW975472 QRS975472 RBO975472 RLK975472 RVG975472 SFC975472 SOY975472 SYU975472 TIQ975472 TSM975472 UCI975472 UME975472 UWA975472 VFW975472 VPS975472 VZO975472 WJK975472 WTG975472 XDC975472 GU1041008 QQ1041008 AAM1041008 AKI1041008 AUE1041008 BEA1041008 BNW1041008 BXS1041008 CHO1041008 CRK1041008 DBG1041008 DLC1041008 DUY1041008 EEU1041008 EOQ1041008 EYM1041008 FII1041008 FSE1041008 GCA1041008 GLW1041008 GVS1041008 HFO1041008 HPK1041008 HZG1041008 IJC1041008 ISY1041008 JCU1041008 JMQ1041008 JWM1041008 KGI1041008 KQE1041008 LAA1041008 LJW1041008 LTS1041008 MDO1041008 MNK1041008 MXG1041008 NHC1041008 NQY1041008 OAU1041008 OKQ1041008 OUM1041008 PEI1041008 POE1041008 PYA1041008 QHW1041008 QRS1041008 RBO1041008 RLK1041008 RVG1041008 SFC1041008 SOY1041008 SYU1041008 TIQ1041008 TSM1041008 UCI1041008 UME1041008 UWA1041008 VFW1041008 VPS1041008 VZO1041008 WJK1041008 WTG1041008 XDC1041008" xr:uid="{06CAE150-B81D-4572-9943-671CCCC0170A}">
      <formula1>"CORE Estimates Upload"</formula1>
    </dataValidation>
    <dataValidation type="custom" showInputMessage="1" showErrorMessage="1" sqref="C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GU6 QQ6 AAM6 AKI6 AUE6 BEA6 BNW6 BXS6 CHO6 CRK6 DBG6 DLC6 DUY6 EEU6 EOQ6 EYM6 FII6 FSE6 GCA6 GLW6 GVS6 HFO6 HPK6 HZG6 IJC6 ISY6 JCU6 JMQ6 JWM6 KGI6 KQE6 LAA6 LJW6 LTS6 MDO6 MNK6 MXG6 NHC6 NQY6 OAU6 OKQ6 OUM6 PEI6 POE6 PYA6 QHW6 QRS6 RBO6 RLK6 RVG6 SFC6 SOY6 SYU6 TIQ6 TSM6 UCI6 UME6 UWA6 VFW6 VPS6 VZO6 WJK6 WTG6 XDC6 GU65541 QQ65541 AAM65541 AKI65541 AUE65541 BEA65541 BNW65541 BXS65541 CHO65541 CRK65541 DBG65541 DLC65541 DUY65541 EEU65541 EOQ65541 EYM65541 FII65541 FSE65541 GCA65541 GLW65541 GVS65541 HFO65541 HPK65541 HZG65541 IJC65541 ISY65541 JCU65541 JMQ65541 JWM65541 KGI65541 KQE65541 LAA65541 LJW65541 LTS65541 MDO65541 MNK65541 MXG65541 NHC65541 NQY65541 OAU65541 OKQ65541 OUM65541 PEI65541 POE65541 PYA65541 QHW65541 QRS65541 RBO65541 RLK65541 RVG65541 SFC65541 SOY65541 SYU65541 TIQ65541 TSM65541 UCI65541 UME65541 UWA65541 VFW65541 VPS65541 VZO65541 WJK65541 WTG65541 XDC65541 GU131077 QQ131077 AAM131077 AKI131077 AUE131077 BEA131077 BNW131077 BXS131077 CHO131077 CRK131077 DBG131077 DLC131077 DUY131077 EEU131077 EOQ131077 EYM131077 FII131077 FSE131077 GCA131077 GLW131077 GVS131077 HFO131077 HPK131077 HZG131077 IJC131077 ISY131077 JCU131077 JMQ131077 JWM131077 KGI131077 KQE131077 LAA131077 LJW131077 LTS131077 MDO131077 MNK131077 MXG131077 NHC131077 NQY131077 OAU131077 OKQ131077 OUM131077 PEI131077 POE131077 PYA131077 QHW131077 QRS131077 RBO131077 RLK131077 RVG131077 SFC131077 SOY131077 SYU131077 TIQ131077 TSM131077 UCI131077 UME131077 UWA131077 VFW131077 VPS131077 VZO131077 WJK131077 WTG131077 XDC131077 GU196613 QQ196613 AAM196613 AKI196613 AUE196613 BEA196613 BNW196613 BXS196613 CHO196613 CRK196613 DBG196613 DLC196613 DUY196613 EEU196613 EOQ196613 EYM196613 FII196613 FSE196613 GCA196613 GLW196613 GVS196613 HFO196613 HPK196613 HZG196613 IJC196613 ISY196613 JCU196613 JMQ196613 JWM196613 KGI196613 KQE196613 LAA196613 LJW196613 LTS196613 MDO196613 MNK196613 MXG196613 NHC196613 NQY196613 OAU196613 OKQ196613 OUM196613 PEI196613 POE196613 PYA196613 QHW196613 QRS196613 RBO196613 RLK196613 RVG196613 SFC196613 SOY196613 SYU196613 TIQ196613 TSM196613 UCI196613 UME196613 UWA196613 VFW196613 VPS196613 VZO196613 WJK196613 WTG196613 XDC196613 GU262149 QQ262149 AAM262149 AKI262149 AUE262149 BEA262149 BNW262149 BXS262149 CHO262149 CRK262149 DBG262149 DLC262149 DUY262149 EEU262149 EOQ262149 EYM262149 FII262149 FSE262149 GCA262149 GLW262149 GVS262149 HFO262149 HPK262149 HZG262149 IJC262149 ISY262149 JCU262149 JMQ262149 JWM262149 KGI262149 KQE262149 LAA262149 LJW262149 LTS262149 MDO262149 MNK262149 MXG262149 NHC262149 NQY262149 OAU262149 OKQ262149 OUM262149 PEI262149 POE262149 PYA262149 QHW262149 QRS262149 RBO262149 RLK262149 RVG262149 SFC262149 SOY262149 SYU262149 TIQ262149 TSM262149 UCI262149 UME262149 UWA262149 VFW262149 VPS262149 VZO262149 WJK262149 WTG262149 XDC262149 GU327685 QQ327685 AAM327685 AKI327685 AUE327685 BEA327685 BNW327685 BXS327685 CHO327685 CRK327685 DBG327685 DLC327685 DUY327685 EEU327685 EOQ327685 EYM327685 FII327685 FSE327685 GCA327685 GLW327685 GVS327685 HFO327685 HPK327685 HZG327685 IJC327685 ISY327685 JCU327685 JMQ327685 JWM327685 KGI327685 KQE327685 LAA327685 LJW327685 LTS327685 MDO327685 MNK327685 MXG327685 NHC327685 NQY327685 OAU327685 OKQ327685 OUM327685 PEI327685 POE327685 PYA327685 QHW327685 QRS327685 RBO327685 RLK327685 RVG327685 SFC327685 SOY327685 SYU327685 TIQ327685 TSM327685 UCI327685 UME327685 UWA327685 VFW327685 VPS327685 VZO327685 WJK327685 WTG327685 XDC327685 GU393221 QQ393221 AAM393221 AKI393221 AUE393221 BEA393221 BNW393221 BXS393221 CHO393221 CRK393221 DBG393221 DLC393221 DUY393221 EEU393221 EOQ393221 EYM393221 FII393221 FSE393221 GCA393221 GLW393221 GVS393221 HFO393221 HPK393221 HZG393221 IJC393221 ISY393221 JCU393221 JMQ393221 JWM393221 KGI393221 KQE393221 LAA393221 LJW393221 LTS393221 MDO393221 MNK393221 MXG393221 NHC393221 NQY393221 OAU393221 OKQ393221 OUM393221 PEI393221 POE393221 PYA393221 QHW393221 QRS393221 RBO393221 RLK393221 RVG393221 SFC393221 SOY393221 SYU393221 TIQ393221 TSM393221 UCI393221 UME393221 UWA393221 VFW393221 VPS393221 VZO393221 WJK393221 WTG393221 XDC393221 GU458757 QQ458757 AAM458757 AKI458757 AUE458757 BEA458757 BNW458757 BXS458757 CHO458757 CRK458757 DBG458757 DLC458757 DUY458757 EEU458757 EOQ458757 EYM458757 FII458757 FSE458757 GCA458757 GLW458757 GVS458757 HFO458757 HPK458757 HZG458757 IJC458757 ISY458757 JCU458757 JMQ458757 JWM458757 KGI458757 KQE458757 LAA458757 LJW458757 LTS458757 MDO458757 MNK458757 MXG458757 NHC458757 NQY458757 OAU458757 OKQ458757 OUM458757 PEI458757 POE458757 PYA458757 QHW458757 QRS458757 RBO458757 RLK458757 RVG458757 SFC458757 SOY458757 SYU458757 TIQ458757 TSM458757 UCI458757 UME458757 UWA458757 VFW458757 VPS458757 VZO458757 WJK458757 WTG458757 XDC458757 GU524293 QQ524293 AAM524293 AKI524293 AUE524293 BEA524293 BNW524293 BXS524293 CHO524293 CRK524293 DBG524293 DLC524293 DUY524293 EEU524293 EOQ524293 EYM524293 FII524293 FSE524293 GCA524293 GLW524293 GVS524293 HFO524293 HPK524293 HZG524293 IJC524293 ISY524293 JCU524293 JMQ524293 JWM524293 KGI524293 KQE524293 LAA524293 LJW524293 LTS524293 MDO524293 MNK524293 MXG524293 NHC524293 NQY524293 OAU524293 OKQ524293 OUM524293 PEI524293 POE524293 PYA524293 QHW524293 QRS524293 RBO524293 RLK524293 RVG524293 SFC524293 SOY524293 SYU524293 TIQ524293 TSM524293 UCI524293 UME524293 UWA524293 VFW524293 VPS524293 VZO524293 WJK524293 WTG524293 XDC524293 GU589829 QQ589829 AAM589829 AKI589829 AUE589829 BEA589829 BNW589829 BXS589829 CHO589829 CRK589829 DBG589829 DLC589829 DUY589829 EEU589829 EOQ589829 EYM589829 FII589829 FSE589829 GCA589829 GLW589829 GVS589829 HFO589829 HPK589829 HZG589829 IJC589829 ISY589829 JCU589829 JMQ589829 JWM589829 KGI589829 KQE589829 LAA589829 LJW589829 LTS589829 MDO589829 MNK589829 MXG589829 NHC589829 NQY589829 OAU589829 OKQ589829 OUM589829 PEI589829 POE589829 PYA589829 QHW589829 QRS589829 RBO589829 RLK589829 RVG589829 SFC589829 SOY589829 SYU589829 TIQ589829 TSM589829 UCI589829 UME589829 UWA589829 VFW589829 VPS589829 VZO589829 WJK589829 WTG589829 XDC589829 GU655365 QQ655365 AAM655365 AKI655365 AUE655365 BEA655365 BNW655365 BXS655365 CHO655365 CRK655365 DBG655365 DLC655365 DUY655365 EEU655365 EOQ655365 EYM655365 FII655365 FSE655365 GCA655365 GLW655365 GVS655365 HFO655365 HPK655365 HZG655365 IJC655365 ISY655365 JCU655365 JMQ655365 JWM655365 KGI655365 KQE655365 LAA655365 LJW655365 LTS655365 MDO655365 MNK655365 MXG655365 NHC655365 NQY655365 OAU655365 OKQ655365 OUM655365 PEI655365 POE655365 PYA655365 QHW655365 QRS655365 RBO655365 RLK655365 RVG655365 SFC655365 SOY655365 SYU655365 TIQ655365 TSM655365 UCI655365 UME655365 UWA655365 VFW655365 VPS655365 VZO655365 WJK655365 WTG655365 XDC655365 GU720901 QQ720901 AAM720901 AKI720901 AUE720901 BEA720901 BNW720901 BXS720901 CHO720901 CRK720901 DBG720901 DLC720901 DUY720901 EEU720901 EOQ720901 EYM720901 FII720901 FSE720901 GCA720901 GLW720901 GVS720901 HFO720901 HPK720901 HZG720901 IJC720901 ISY720901 JCU720901 JMQ720901 JWM720901 KGI720901 KQE720901 LAA720901 LJW720901 LTS720901 MDO720901 MNK720901 MXG720901 NHC720901 NQY720901 OAU720901 OKQ720901 OUM720901 PEI720901 POE720901 PYA720901 QHW720901 QRS720901 RBO720901 RLK720901 RVG720901 SFC720901 SOY720901 SYU720901 TIQ720901 TSM720901 UCI720901 UME720901 UWA720901 VFW720901 VPS720901 VZO720901 WJK720901 WTG720901 XDC720901 GU786437 QQ786437 AAM786437 AKI786437 AUE786437 BEA786437 BNW786437 BXS786437 CHO786437 CRK786437 DBG786437 DLC786437 DUY786437 EEU786437 EOQ786437 EYM786437 FII786437 FSE786437 GCA786437 GLW786437 GVS786437 HFO786437 HPK786437 HZG786437 IJC786437 ISY786437 JCU786437 JMQ786437 JWM786437 KGI786437 KQE786437 LAA786437 LJW786437 LTS786437 MDO786437 MNK786437 MXG786437 NHC786437 NQY786437 OAU786437 OKQ786437 OUM786437 PEI786437 POE786437 PYA786437 QHW786437 QRS786437 RBO786437 RLK786437 RVG786437 SFC786437 SOY786437 SYU786437 TIQ786437 TSM786437 UCI786437 UME786437 UWA786437 VFW786437 VPS786437 VZO786437 WJK786437 WTG786437 XDC786437 GU851973 QQ851973 AAM851973 AKI851973 AUE851973 BEA851973 BNW851973 BXS851973 CHO851973 CRK851973 DBG851973 DLC851973 DUY851973 EEU851973 EOQ851973 EYM851973 FII851973 FSE851973 GCA851973 GLW851973 GVS851973 HFO851973 HPK851973 HZG851973 IJC851973 ISY851973 JCU851973 JMQ851973 JWM851973 KGI851973 KQE851973 LAA851973 LJW851973 LTS851973 MDO851973 MNK851973 MXG851973 NHC851973 NQY851973 OAU851973 OKQ851973 OUM851973 PEI851973 POE851973 PYA851973 QHW851973 QRS851973 RBO851973 RLK851973 RVG851973 SFC851973 SOY851973 SYU851973 TIQ851973 TSM851973 UCI851973 UME851973 UWA851973 VFW851973 VPS851973 VZO851973 WJK851973 WTG851973 XDC851973 GU917509 QQ917509 AAM917509 AKI917509 AUE917509 BEA917509 BNW917509 BXS917509 CHO917509 CRK917509 DBG917509 DLC917509 DUY917509 EEU917509 EOQ917509 EYM917509 FII917509 FSE917509 GCA917509 GLW917509 GVS917509 HFO917509 HPK917509 HZG917509 IJC917509 ISY917509 JCU917509 JMQ917509 JWM917509 KGI917509 KQE917509 LAA917509 LJW917509 LTS917509 MDO917509 MNK917509 MXG917509 NHC917509 NQY917509 OAU917509 OKQ917509 OUM917509 PEI917509 POE917509 PYA917509 QHW917509 QRS917509 RBO917509 RLK917509 RVG917509 SFC917509 SOY917509 SYU917509 TIQ917509 TSM917509 UCI917509 UME917509 UWA917509 VFW917509 VPS917509 VZO917509 WJK917509 WTG917509 XDC917509 GU983045 QQ983045 AAM983045 AKI983045 AUE983045 BEA983045 BNW983045 BXS983045 CHO983045 CRK983045 DBG983045 DLC983045 DUY983045 EEU983045 EOQ983045 EYM983045 FII983045 FSE983045 GCA983045 GLW983045 GVS983045 HFO983045 HPK983045 HZG983045 IJC983045 ISY983045 JCU983045 JMQ983045 JWM983045 KGI983045 KQE983045 LAA983045 LJW983045 LTS983045 MDO983045 MNK983045 MXG983045 NHC983045 NQY983045 OAU983045 OKQ983045 OUM983045 PEI983045 POE983045 PYA983045 QHW983045 QRS983045 RBO983045 RLK983045 RVG983045 SFC983045 SOY983045 SYU983045 TIQ983045 TSM983045 UCI983045 UME983045 UWA983045 VFW983045 VPS983045 VZO983045 WJK983045 WTG983045 XDC983045 C57972 IY57972 SU57972 ACQ57972 AMM57972 AWI57972 BGE57972 BQA57972 BZW57972 CJS57972 CTO57972 DDK57972 DNG57972 DXC57972 EGY57972 EQU57972 FAQ57972 FKM57972 FUI57972 GEE57972 GOA57972 GXW57972 HHS57972 HRO57972 IBK57972 ILG57972 IVC57972 JEY57972 JOU57972 JYQ57972 KIM57972 KSI57972 LCE57972 LMA57972 LVW57972 MFS57972 MPO57972 MZK57972 NJG57972 NTC57972 OCY57972 OMU57972 OWQ57972 PGM57972 PQI57972 QAE57972 QKA57972 QTW57972 RDS57972 RNO57972 RXK57972 SHG57972 SRC57972 TAY57972 TKU57972 TUQ57972 UEM57972 UOI57972 UYE57972 VIA57972 VRW57972 WBS57972 WLO57972 WVK57972 C123508 IY123508 SU123508 ACQ123508 AMM123508 AWI123508 BGE123508 BQA123508 BZW123508 CJS123508 CTO123508 DDK123508 DNG123508 DXC123508 EGY123508 EQU123508 FAQ123508 FKM123508 FUI123508 GEE123508 GOA123508 GXW123508 HHS123508 HRO123508 IBK123508 ILG123508 IVC123508 JEY123508 JOU123508 JYQ123508 KIM123508 KSI123508 LCE123508 LMA123508 LVW123508 MFS123508 MPO123508 MZK123508 NJG123508 NTC123508 OCY123508 OMU123508 OWQ123508 PGM123508 PQI123508 QAE123508 QKA123508 QTW123508 RDS123508 RNO123508 RXK123508 SHG123508 SRC123508 TAY123508 TKU123508 TUQ123508 UEM123508 UOI123508 UYE123508 VIA123508 VRW123508 WBS123508 WLO123508 WVK123508 C189044 IY189044 SU189044 ACQ189044 AMM189044 AWI189044 BGE189044 BQA189044 BZW189044 CJS189044 CTO189044 DDK189044 DNG189044 DXC189044 EGY189044 EQU189044 FAQ189044 FKM189044 FUI189044 GEE189044 GOA189044 GXW189044 HHS189044 HRO189044 IBK189044 ILG189044 IVC189044 JEY189044 JOU189044 JYQ189044 KIM189044 KSI189044 LCE189044 LMA189044 LVW189044 MFS189044 MPO189044 MZK189044 NJG189044 NTC189044 OCY189044 OMU189044 OWQ189044 PGM189044 PQI189044 QAE189044 QKA189044 QTW189044 RDS189044 RNO189044 RXK189044 SHG189044 SRC189044 TAY189044 TKU189044 TUQ189044 UEM189044 UOI189044 UYE189044 VIA189044 VRW189044 WBS189044 WLO189044 WVK189044 C254580 IY254580 SU254580 ACQ254580 AMM254580 AWI254580 BGE254580 BQA254580 BZW254580 CJS254580 CTO254580 DDK254580 DNG254580 DXC254580 EGY254580 EQU254580 FAQ254580 FKM254580 FUI254580 GEE254580 GOA254580 GXW254580 HHS254580 HRO254580 IBK254580 ILG254580 IVC254580 JEY254580 JOU254580 JYQ254580 KIM254580 KSI254580 LCE254580 LMA254580 LVW254580 MFS254580 MPO254580 MZK254580 NJG254580 NTC254580 OCY254580 OMU254580 OWQ254580 PGM254580 PQI254580 QAE254580 QKA254580 QTW254580 RDS254580 RNO254580 RXK254580 SHG254580 SRC254580 TAY254580 TKU254580 TUQ254580 UEM254580 UOI254580 UYE254580 VIA254580 VRW254580 WBS254580 WLO254580 WVK254580 C320116 IY320116 SU320116 ACQ320116 AMM320116 AWI320116 BGE320116 BQA320116 BZW320116 CJS320116 CTO320116 DDK320116 DNG320116 DXC320116 EGY320116 EQU320116 FAQ320116 FKM320116 FUI320116 GEE320116 GOA320116 GXW320116 HHS320116 HRO320116 IBK320116 ILG320116 IVC320116 JEY320116 JOU320116 JYQ320116 KIM320116 KSI320116 LCE320116 LMA320116 LVW320116 MFS320116 MPO320116 MZK320116 NJG320116 NTC320116 OCY320116 OMU320116 OWQ320116 PGM320116 PQI320116 QAE320116 QKA320116 QTW320116 RDS320116 RNO320116 RXK320116 SHG320116 SRC320116 TAY320116 TKU320116 TUQ320116 UEM320116 UOI320116 UYE320116 VIA320116 VRW320116 WBS320116 WLO320116 WVK320116 C385652 IY385652 SU385652 ACQ385652 AMM385652 AWI385652 BGE385652 BQA385652 BZW385652 CJS385652 CTO385652 DDK385652 DNG385652 DXC385652 EGY385652 EQU385652 FAQ385652 FKM385652 FUI385652 GEE385652 GOA385652 GXW385652 HHS385652 HRO385652 IBK385652 ILG385652 IVC385652 JEY385652 JOU385652 JYQ385652 KIM385652 KSI385652 LCE385652 LMA385652 LVW385652 MFS385652 MPO385652 MZK385652 NJG385652 NTC385652 OCY385652 OMU385652 OWQ385652 PGM385652 PQI385652 QAE385652 QKA385652 QTW385652 RDS385652 RNO385652 RXK385652 SHG385652 SRC385652 TAY385652 TKU385652 TUQ385652 UEM385652 UOI385652 UYE385652 VIA385652 VRW385652 WBS385652 WLO385652 WVK385652 C451188 IY451188 SU451188 ACQ451188 AMM451188 AWI451188 BGE451188 BQA451188 BZW451188 CJS451188 CTO451188 DDK451188 DNG451188 DXC451188 EGY451188 EQU451188 FAQ451188 FKM451188 FUI451188 GEE451188 GOA451188 GXW451188 HHS451188 HRO451188 IBK451188 ILG451188 IVC451188 JEY451188 JOU451188 JYQ451188 KIM451188 KSI451188 LCE451188 LMA451188 LVW451188 MFS451188 MPO451188 MZK451188 NJG451188 NTC451188 OCY451188 OMU451188 OWQ451188 PGM451188 PQI451188 QAE451188 QKA451188 QTW451188 RDS451188 RNO451188 RXK451188 SHG451188 SRC451188 TAY451188 TKU451188 TUQ451188 UEM451188 UOI451188 UYE451188 VIA451188 VRW451188 WBS451188 WLO451188 WVK451188 C516724 IY516724 SU516724 ACQ516724 AMM516724 AWI516724 BGE516724 BQA516724 BZW516724 CJS516724 CTO516724 DDK516724 DNG516724 DXC516724 EGY516724 EQU516724 FAQ516724 FKM516724 FUI516724 GEE516724 GOA516724 GXW516724 HHS516724 HRO516724 IBK516724 ILG516724 IVC516724 JEY516724 JOU516724 JYQ516724 KIM516724 KSI516724 LCE516724 LMA516724 LVW516724 MFS516724 MPO516724 MZK516724 NJG516724 NTC516724 OCY516724 OMU516724 OWQ516724 PGM516724 PQI516724 QAE516724 QKA516724 QTW516724 RDS516724 RNO516724 RXK516724 SHG516724 SRC516724 TAY516724 TKU516724 TUQ516724 UEM516724 UOI516724 UYE516724 VIA516724 VRW516724 WBS516724 WLO516724 WVK516724 C582260 IY582260 SU582260 ACQ582260 AMM582260 AWI582260 BGE582260 BQA582260 BZW582260 CJS582260 CTO582260 DDK582260 DNG582260 DXC582260 EGY582260 EQU582260 FAQ582260 FKM582260 FUI582260 GEE582260 GOA582260 GXW582260 HHS582260 HRO582260 IBK582260 ILG582260 IVC582260 JEY582260 JOU582260 JYQ582260 KIM582260 KSI582260 LCE582260 LMA582260 LVW582260 MFS582260 MPO582260 MZK582260 NJG582260 NTC582260 OCY582260 OMU582260 OWQ582260 PGM582260 PQI582260 QAE582260 QKA582260 QTW582260 RDS582260 RNO582260 RXK582260 SHG582260 SRC582260 TAY582260 TKU582260 TUQ582260 UEM582260 UOI582260 UYE582260 VIA582260 VRW582260 WBS582260 WLO582260 WVK582260 C647796 IY647796 SU647796 ACQ647796 AMM647796 AWI647796 BGE647796 BQA647796 BZW647796 CJS647796 CTO647796 DDK647796 DNG647796 DXC647796 EGY647796 EQU647796 FAQ647796 FKM647796 FUI647796 GEE647796 GOA647796 GXW647796 HHS647796 HRO647796 IBK647796 ILG647796 IVC647796 JEY647796 JOU647796 JYQ647796 KIM647796 KSI647796 LCE647796 LMA647796 LVW647796 MFS647796 MPO647796 MZK647796 NJG647796 NTC647796 OCY647796 OMU647796 OWQ647796 PGM647796 PQI647796 QAE647796 QKA647796 QTW647796 RDS647796 RNO647796 RXK647796 SHG647796 SRC647796 TAY647796 TKU647796 TUQ647796 UEM647796 UOI647796 UYE647796 VIA647796 VRW647796 WBS647796 WLO647796 WVK647796 C713332 IY713332 SU713332 ACQ713332 AMM713332 AWI713332 BGE713332 BQA713332 BZW713332 CJS713332 CTO713332 DDK713332 DNG713332 DXC713332 EGY713332 EQU713332 FAQ713332 FKM713332 FUI713332 GEE713332 GOA713332 GXW713332 HHS713332 HRO713332 IBK713332 ILG713332 IVC713332 JEY713332 JOU713332 JYQ713332 KIM713332 KSI713332 LCE713332 LMA713332 LVW713332 MFS713332 MPO713332 MZK713332 NJG713332 NTC713332 OCY713332 OMU713332 OWQ713332 PGM713332 PQI713332 QAE713332 QKA713332 QTW713332 RDS713332 RNO713332 RXK713332 SHG713332 SRC713332 TAY713332 TKU713332 TUQ713332 UEM713332 UOI713332 UYE713332 VIA713332 VRW713332 WBS713332 WLO713332 WVK713332 C778868 IY778868 SU778868 ACQ778868 AMM778868 AWI778868 BGE778868 BQA778868 BZW778868 CJS778868 CTO778868 DDK778868 DNG778868 DXC778868 EGY778868 EQU778868 FAQ778868 FKM778868 FUI778868 GEE778868 GOA778868 GXW778868 HHS778868 HRO778868 IBK778868 ILG778868 IVC778868 JEY778868 JOU778868 JYQ778868 KIM778868 KSI778868 LCE778868 LMA778868 LVW778868 MFS778868 MPO778868 MZK778868 NJG778868 NTC778868 OCY778868 OMU778868 OWQ778868 PGM778868 PQI778868 QAE778868 QKA778868 QTW778868 RDS778868 RNO778868 RXK778868 SHG778868 SRC778868 TAY778868 TKU778868 TUQ778868 UEM778868 UOI778868 UYE778868 VIA778868 VRW778868 WBS778868 WLO778868 WVK778868 C844404 IY844404 SU844404 ACQ844404 AMM844404 AWI844404 BGE844404 BQA844404 BZW844404 CJS844404 CTO844404 DDK844404 DNG844404 DXC844404 EGY844404 EQU844404 FAQ844404 FKM844404 FUI844404 GEE844404 GOA844404 GXW844404 HHS844404 HRO844404 IBK844404 ILG844404 IVC844404 JEY844404 JOU844404 JYQ844404 KIM844404 KSI844404 LCE844404 LMA844404 LVW844404 MFS844404 MPO844404 MZK844404 NJG844404 NTC844404 OCY844404 OMU844404 OWQ844404 PGM844404 PQI844404 QAE844404 QKA844404 QTW844404 RDS844404 RNO844404 RXK844404 SHG844404 SRC844404 TAY844404 TKU844404 TUQ844404 UEM844404 UOI844404 UYE844404 VIA844404 VRW844404 WBS844404 WLO844404 WVK844404 C909940 IY909940 SU909940 ACQ909940 AMM909940 AWI909940 BGE909940 BQA909940 BZW909940 CJS909940 CTO909940 DDK909940 DNG909940 DXC909940 EGY909940 EQU909940 FAQ909940 FKM909940 FUI909940 GEE909940 GOA909940 GXW909940 HHS909940 HRO909940 IBK909940 ILG909940 IVC909940 JEY909940 JOU909940 JYQ909940 KIM909940 KSI909940 LCE909940 LMA909940 LVW909940 MFS909940 MPO909940 MZK909940 NJG909940 NTC909940 OCY909940 OMU909940 OWQ909940 PGM909940 PQI909940 QAE909940 QKA909940 QTW909940 RDS909940 RNO909940 RXK909940 SHG909940 SRC909940 TAY909940 TKU909940 TUQ909940 UEM909940 UOI909940 UYE909940 VIA909940 VRW909940 WBS909940 WLO909940 WVK909940 C975476 IY975476 SU975476 ACQ975476 AMM975476 AWI975476 BGE975476 BQA975476 BZW975476 CJS975476 CTO975476 DDK975476 DNG975476 DXC975476 EGY975476 EQU975476 FAQ975476 FKM975476 FUI975476 GEE975476 GOA975476 GXW975476 HHS975476 HRO975476 IBK975476 ILG975476 IVC975476 JEY975476 JOU975476 JYQ975476 KIM975476 KSI975476 LCE975476 LMA975476 LVW975476 MFS975476 MPO975476 MZK975476 NJG975476 NTC975476 OCY975476 OMU975476 OWQ975476 PGM975476 PQI975476 QAE975476 QKA975476 QTW975476 RDS975476 RNO975476 RXK975476 SHG975476 SRC975476 TAY975476 TKU975476 TUQ975476 UEM975476 UOI975476 UYE975476 VIA975476 VRW975476 WBS975476 WLO975476 WVK975476 C1041012 IY1041012 SU1041012 ACQ1041012 AMM1041012 AWI1041012 BGE1041012 BQA1041012 BZW1041012 CJS1041012 CTO1041012 DDK1041012 DNG1041012 DXC1041012 EGY1041012 EQU1041012 FAQ1041012 FKM1041012 FUI1041012 GEE1041012 GOA1041012 GXW1041012 HHS1041012 HRO1041012 IBK1041012 ILG1041012 IVC1041012 JEY1041012 JOU1041012 JYQ1041012 KIM1041012 KSI1041012 LCE1041012 LMA1041012 LVW1041012 MFS1041012 MPO1041012 MZK1041012 NJG1041012 NTC1041012 OCY1041012 OMU1041012 OWQ1041012 PGM1041012 PQI1041012 QAE1041012 QKA1041012 QTW1041012 RDS1041012 RNO1041012 RXK1041012 SHG1041012 SRC1041012 TAY1041012 TKU1041012 TUQ1041012 UEM1041012 UOI1041012 UYE1041012 VIA1041012 VRW1041012 WBS1041012 WLO1041012 WVK1041012 GU57972 QQ57972 AAM57972 AKI57972 AUE57972 BEA57972 BNW57972 BXS57972 CHO57972 CRK57972 DBG57972 DLC57972 DUY57972 EEU57972 EOQ57972 EYM57972 FII57972 FSE57972 GCA57972 GLW57972 GVS57972 HFO57972 HPK57972 HZG57972 IJC57972 ISY57972 JCU57972 JMQ57972 JWM57972 KGI57972 KQE57972 LAA57972 LJW57972 LTS57972 MDO57972 MNK57972 MXG57972 NHC57972 NQY57972 OAU57972 OKQ57972 OUM57972 PEI57972 POE57972 PYA57972 QHW57972 QRS57972 RBO57972 RLK57972 RVG57972 SFC57972 SOY57972 SYU57972 TIQ57972 TSM57972 UCI57972 UME57972 UWA57972 VFW57972 VPS57972 VZO57972 WJK57972 WTG57972 XDC57972 GU123508 QQ123508 AAM123508 AKI123508 AUE123508 BEA123508 BNW123508 BXS123508 CHO123508 CRK123508 DBG123508 DLC123508 DUY123508 EEU123508 EOQ123508 EYM123508 FII123508 FSE123508 GCA123508 GLW123508 GVS123508 HFO123508 HPK123508 HZG123508 IJC123508 ISY123508 JCU123508 JMQ123508 JWM123508 KGI123508 KQE123508 LAA123508 LJW123508 LTS123508 MDO123508 MNK123508 MXG123508 NHC123508 NQY123508 OAU123508 OKQ123508 OUM123508 PEI123508 POE123508 PYA123508 QHW123508 QRS123508 RBO123508 RLK123508 RVG123508 SFC123508 SOY123508 SYU123508 TIQ123508 TSM123508 UCI123508 UME123508 UWA123508 VFW123508 VPS123508 VZO123508 WJK123508 WTG123508 XDC123508 GU189044 QQ189044 AAM189044 AKI189044 AUE189044 BEA189044 BNW189044 BXS189044 CHO189044 CRK189044 DBG189044 DLC189044 DUY189044 EEU189044 EOQ189044 EYM189044 FII189044 FSE189044 GCA189044 GLW189044 GVS189044 HFO189044 HPK189044 HZG189044 IJC189044 ISY189044 JCU189044 JMQ189044 JWM189044 KGI189044 KQE189044 LAA189044 LJW189044 LTS189044 MDO189044 MNK189044 MXG189044 NHC189044 NQY189044 OAU189044 OKQ189044 OUM189044 PEI189044 POE189044 PYA189044 QHW189044 QRS189044 RBO189044 RLK189044 RVG189044 SFC189044 SOY189044 SYU189044 TIQ189044 TSM189044 UCI189044 UME189044 UWA189044 VFW189044 VPS189044 VZO189044 WJK189044 WTG189044 XDC189044 GU254580 QQ254580 AAM254580 AKI254580 AUE254580 BEA254580 BNW254580 BXS254580 CHO254580 CRK254580 DBG254580 DLC254580 DUY254580 EEU254580 EOQ254580 EYM254580 FII254580 FSE254580 GCA254580 GLW254580 GVS254580 HFO254580 HPK254580 HZG254580 IJC254580 ISY254580 JCU254580 JMQ254580 JWM254580 KGI254580 KQE254580 LAA254580 LJW254580 LTS254580 MDO254580 MNK254580 MXG254580 NHC254580 NQY254580 OAU254580 OKQ254580 OUM254580 PEI254580 POE254580 PYA254580 QHW254580 QRS254580 RBO254580 RLK254580 RVG254580 SFC254580 SOY254580 SYU254580 TIQ254580 TSM254580 UCI254580 UME254580 UWA254580 VFW254580 VPS254580 VZO254580 WJK254580 WTG254580 XDC254580 GU320116 QQ320116 AAM320116 AKI320116 AUE320116 BEA320116 BNW320116 BXS320116 CHO320116 CRK320116 DBG320116 DLC320116 DUY320116 EEU320116 EOQ320116 EYM320116 FII320116 FSE320116 GCA320116 GLW320116 GVS320116 HFO320116 HPK320116 HZG320116 IJC320116 ISY320116 JCU320116 JMQ320116 JWM320116 KGI320116 KQE320116 LAA320116 LJW320116 LTS320116 MDO320116 MNK320116 MXG320116 NHC320116 NQY320116 OAU320116 OKQ320116 OUM320116 PEI320116 POE320116 PYA320116 QHW320116 QRS320116 RBO320116 RLK320116 RVG320116 SFC320116 SOY320116 SYU320116 TIQ320116 TSM320116 UCI320116 UME320116 UWA320116 VFW320116 VPS320116 VZO320116 WJK320116 WTG320116 XDC320116 GU385652 QQ385652 AAM385652 AKI385652 AUE385652 BEA385652 BNW385652 BXS385652 CHO385652 CRK385652 DBG385652 DLC385652 DUY385652 EEU385652 EOQ385652 EYM385652 FII385652 FSE385652 GCA385652 GLW385652 GVS385652 HFO385652 HPK385652 HZG385652 IJC385652 ISY385652 JCU385652 JMQ385652 JWM385652 KGI385652 KQE385652 LAA385652 LJW385652 LTS385652 MDO385652 MNK385652 MXG385652 NHC385652 NQY385652 OAU385652 OKQ385652 OUM385652 PEI385652 POE385652 PYA385652 QHW385652 QRS385652 RBO385652 RLK385652 RVG385652 SFC385652 SOY385652 SYU385652 TIQ385652 TSM385652 UCI385652 UME385652 UWA385652 VFW385652 VPS385652 VZO385652 WJK385652 WTG385652 XDC385652 GU451188 QQ451188 AAM451188 AKI451188 AUE451188 BEA451188 BNW451188 BXS451188 CHO451188 CRK451188 DBG451188 DLC451188 DUY451188 EEU451188 EOQ451188 EYM451188 FII451188 FSE451188 GCA451188 GLW451188 GVS451188 HFO451188 HPK451188 HZG451188 IJC451188 ISY451188 JCU451188 JMQ451188 JWM451188 KGI451188 KQE451188 LAA451188 LJW451188 LTS451188 MDO451188 MNK451188 MXG451188 NHC451188 NQY451188 OAU451188 OKQ451188 OUM451188 PEI451188 POE451188 PYA451188 QHW451188 QRS451188 RBO451188 RLK451188 RVG451188 SFC451188 SOY451188 SYU451188 TIQ451188 TSM451188 UCI451188 UME451188 UWA451188 VFW451188 VPS451188 VZO451188 WJK451188 WTG451188 XDC451188 GU516724 QQ516724 AAM516724 AKI516724 AUE516724 BEA516724 BNW516724 BXS516724 CHO516724 CRK516724 DBG516724 DLC516724 DUY516724 EEU516724 EOQ516724 EYM516724 FII516724 FSE516724 GCA516724 GLW516724 GVS516724 HFO516724 HPK516724 HZG516724 IJC516724 ISY516724 JCU516724 JMQ516724 JWM516724 KGI516724 KQE516724 LAA516724 LJW516724 LTS516724 MDO516724 MNK516724 MXG516724 NHC516724 NQY516724 OAU516724 OKQ516724 OUM516724 PEI516724 POE516724 PYA516724 QHW516724 QRS516724 RBO516724 RLK516724 RVG516724 SFC516724 SOY516724 SYU516724 TIQ516724 TSM516724 UCI516724 UME516724 UWA516724 VFW516724 VPS516724 VZO516724 WJK516724 WTG516724 XDC516724 GU582260 QQ582260 AAM582260 AKI582260 AUE582260 BEA582260 BNW582260 BXS582260 CHO582260 CRK582260 DBG582260 DLC582260 DUY582260 EEU582260 EOQ582260 EYM582260 FII582260 FSE582260 GCA582260 GLW582260 GVS582260 HFO582260 HPK582260 HZG582260 IJC582260 ISY582260 JCU582260 JMQ582260 JWM582260 KGI582260 KQE582260 LAA582260 LJW582260 LTS582260 MDO582260 MNK582260 MXG582260 NHC582260 NQY582260 OAU582260 OKQ582260 OUM582260 PEI582260 POE582260 PYA582260 QHW582260 QRS582260 RBO582260 RLK582260 RVG582260 SFC582260 SOY582260 SYU582260 TIQ582260 TSM582260 UCI582260 UME582260 UWA582260 VFW582260 VPS582260 VZO582260 WJK582260 WTG582260 XDC582260 GU647796 QQ647796 AAM647796 AKI647796 AUE647796 BEA647796 BNW647796 BXS647796 CHO647796 CRK647796 DBG647796 DLC647796 DUY647796 EEU647796 EOQ647796 EYM647796 FII647796 FSE647796 GCA647796 GLW647796 GVS647796 HFO647796 HPK647796 HZG647796 IJC647796 ISY647796 JCU647796 JMQ647796 JWM647796 KGI647796 KQE647796 LAA647796 LJW647796 LTS647796 MDO647796 MNK647796 MXG647796 NHC647796 NQY647796 OAU647796 OKQ647796 OUM647796 PEI647796 POE647796 PYA647796 QHW647796 QRS647796 RBO647796 RLK647796 RVG647796 SFC647796 SOY647796 SYU647796 TIQ647796 TSM647796 UCI647796 UME647796 UWA647796 VFW647796 VPS647796 VZO647796 WJK647796 WTG647796 XDC647796 GU713332 QQ713332 AAM713332 AKI713332 AUE713332 BEA713332 BNW713332 BXS713332 CHO713332 CRK713332 DBG713332 DLC713332 DUY713332 EEU713332 EOQ713332 EYM713332 FII713332 FSE713332 GCA713332 GLW713332 GVS713332 HFO713332 HPK713332 HZG713332 IJC713332 ISY713332 JCU713332 JMQ713332 JWM713332 KGI713332 KQE713332 LAA713332 LJW713332 LTS713332 MDO713332 MNK713332 MXG713332 NHC713332 NQY713332 OAU713332 OKQ713332 OUM713332 PEI713332 POE713332 PYA713332 QHW713332 QRS713332 RBO713332 RLK713332 RVG713332 SFC713332 SOY713332 SYU713332 TIQ713332 TSM713332 UCI713332 UME713332 UWA713332 VFW713332 VPS713332 VZO713332 WJK713332 WTG713332 XDC713332 GU778868 QQ778868 AAM778868 AKI778868 AUE778868 BEA778868 BNW778868 BXS778868 CHO778868 CRK778868 DBG778868 DLC778868 DUY778868 EEU778868 EOQ778868 EYM778868 FII778868 FSE778868 GCA778868 GLW778868 GVS778868 HFO778868 HPK778868 HZG778868 IJC778868 ISY778868 JCU778868 JMQ778868 JWM778868 KGI778868 KQE778868 LAA778868 LJW778868 LTS778868 MDO778868 MNK778868 MXG778868 NHC778868 NQY778868 OAU778868 OKQ778868 OUM778868 PEI778868 POE778868 PYA778868 QHW778868 QRS778868 RBO778868 RLK778868 RVG778868 SFC778868 SOY778868 SYU778868 TIQ778868 TSM778868 UCI778868 UME778868 UWA778868 VFW778868 VPS778868 VZO778868 WJK778868 WTG778868 XDC778868 GU844404 QQ844404 AAM844404 AKI844404 AUE844404 BEA844404 BNW844404 BXS844404 CHO844404 CRK844404 DBG844404 DLC844404 DUY844404 EEU844404 EOQ844404 EYM844404 FII844404 FSE844404 GCA844404 GLW844404 GVS844404 HFO844404 HPK844404 HZG844404 IJC844404 ISY844404 JCU844404 JMQ844404 JWM844404 KGI844404 KQE844404 LAA844404 LJW844404 LTS844404 MDO844404 MNK844404 MXG844404 NHC844404 NQY844404 OAU844404 OKQ844404 OUM844404 PEI844404 POE844404 PYA844404 QHW844404 QRS844404 RBO844404 RLK844404 RVG844404 SFC844404 SOY844404 SYU844404 TIQ844404 TSM844404 UCI844404 UME844404 UWA844404 VFW844404 VPS844404 VZO844404 WJK844404 WTG844404 XDC844404 GU909940 QQ909940 AAM909940 AKI909940 AUE909940 BEA909940 BNW909940 BXS909940 CHO909940 CRK909940 DBG909940 DLC909940 DUY909940 EEU909940 EOQ909940 EYM909940 FII909940 FSE909940 GCA909940 GLW909940 GVS909940 HFO909940 HPK909940 HZG909940 IJC909940 ISY909940 JCU909940 JMQ909940 JWM909940 KGI909940 KQE909940 LAA909940 LJW909940 LTS909940 MDO909940 MNK909940 MXG909940 NHC909940 NQY909940 OAU909940 OKQ909940 OUM909940 PEI909940 POE909940 PYA909940 QHW909940 QRS909940 RBO909940 RLK909940 RVG909940 SFC909940 SOY909940 SYU909940 TIQ909940 TSM909940 UCI909940 UME909940 UWA909940 VFW909940 VPS909940 VZO909940 WJK909940 WTG909940 XDC909940 GU975476 QQ975476 AAM975476 AKI975476 AUE975476 BEA975476 BNW975476 BXS975476 CHO975476 CRK975476 DBG975476 DLC975476 DUY975476 EEU975476 EOQ975476 EYM975476 FII975476 FSE975476 GCA975476 GLW975476 GVS975476 HFO975476 HPK975476 HZG975476 IJC975476 ISY975476 JCU975476 JMQ975476 JWM975476 KGI975476 KQE975476 LAA975476 LJW975476 LTS975476 MDO975476 MNK975476 MXG975476 NHC975476 NQY975476 OAU975476 OKQ975476 OUM975476 PEI975476 POE975476 PYA975476 QHW975476 QRS975476 RBO975476 RLK975476 RVG975476 SFC975476 SOY975476 SYU975476 TIQ975476 TSM975476 UCI975476 UME975476 UWA975476 VFW975476 VPS975476 VZO975476 WJK975476 WTG975476 XDC975476 GU1041012 QQ1041012 AAM1041012 AKI1041012 AUE1041012 BEA1041012 BNW1041012 BXS1041012 CHO1041012 CRK1041012 DBG1041012 DLC1041012 DUY1041012 EEU1041012 EOQ1041012 EYM1041012 FII1041012 FSE1041012 GCA1041012 GLW1041012 GVS1041012 HFO1041012 HPK1041012 HZG1041012 IJC1041012 ISY1041012 JCU1041012 JMQ1041012 JWM1041012 KGI1041012 KQE1041012 LAA1041012 LJW1041012 LTS1041012 MDO1041012 MNK1041012 MXG1041012 NHC1041012 NQY1041012 OAU1041012 OKQ1041012 OUM1041012 PEI1041012 POE1041012 PYA1041012 QHW1041012 QRS1041012 RBO1041012 RLK1041012 RVG1041012 SFC1041012 SOY1041012 SYU1041012 TIQ1041012 TSM1041012 UCI1041012 UME1041012 UWA1041012 VFW1041012 VPS1041012 VZO1041012 WJK1041012 WTG1041012 XDC1041012" xr:uid="{B1BF42F8-5E32-405D-B064-814DFEBCED06}">
      <formula1>"Ticker"</formula1>
    </dataValidation>
    <dataValidation type="custom" showInputMessage="1" showErrorMessage="1" sqref="C8 IY8 SU8 ACQ8 AMM8 AWI8 BGE8 BQA8 BZW8 CJS8 CTO8 DDK8 DNG8 DXC8 EGY8 EQU8 FAQ8 FKM8 FUI8 GEE8 GOA8 GXW8 HHS8 HRO8 IBK8 ILG8 IVC8 JEY8 JOU8 JYQ8 KIM8 KSI8 LCE8 LMA8 LVW8 MFS8 MPO8 MZK8 NJG8 NTC8 OCY8 OMU8 OWQ8 PGM8 PQI8 QAE8 QKA8 QTW8 RDS8 RNO8 RXK8 SHG8 SRC8 TAY8 TKU8 TUQ8 UEM8 UOI8 UYE8 VIA8 VRW8 WBS8 WLO8 WVK8 C65543 IY65543 SU65543 ACQ65543 AMM65543 AWI65543 BGE65543 BQA65543 BZW65543 CJS65543 CTO65543 DDK65543 DNG65543 DXC65543 EGY65543 EQU65543 FAQ65543 FKM65543 FUI65543 GEE65543 GOA65543 GXW65543 HHS65543 HRO65543 IBK65543 ILG65543 IVC65543 JEY65543 JOU65543 JYQ65543 KIM65543 KSI65543 LCE65543 LMA65543 LVW65543 MFS65543 MPO65543 MZK65543 NJG65543 NTC65543 OCY65543 OMU65543 OWQ65543 PGM65543 PQI65543 QAE65543 QKA65543 QTW65543 RDS65543 RNO65543 RXK65543 SHG65543 SRC65543 TAY65543 TKU65543 TUQ65543 UEM65543 UOI65543 UYE65543 VIA65543 VRW65543 WBS65543 WLO65543 WVK65543 C131079 IY131079 SU131079 ACQ131079 AMM131079 AWI131079 BGE131079 BQA131079 BZW131079 CJS131079 CTO131079 DDK131079 DNG131079 DXC131079 EGY131079 EQU131079 FAQ131079 FKM131079 FUI131079 GEE131079 GOA131079 GXW131079 HHS131079 HRO131079 IBK131079 ILG131079 IVC131079 JEY131079 JOU131079 JYQ131079 KIM131079 KSI131079 LCE131079 LMA131079 LVW131079 MFS131079 MPO131079 MZK131079 NJG131079 NTC131079 OCY131079 OMU131079 OWQ131079 PGM131079 PQI131079 QAE131079 QKA131079 QTW131079 RDS131079 RNO131079 RXK131079 SHG131079 SRC131079 TAY131079 TKU131079 TUQ131079 UEM131079 UOI131079 UYE131079 VIA131079 VRW131079 WBS131079 WLO131079 WVK131079 C196615 IY196615 SU196615 ACQ196615 AMM196615 AWI196615 BGE196615 BQA196615 BZW196615 CJS196615 CTO196615 DDK196615 DNG196615 DXC196615 EGY196615 EQU196615 FAQ196615 FKM196615 FUI196615 GEE196615 GOA196615 GXW196615 HHS196615 HRO196615 IBK196615 ILG196615 IVC196615 JEY196615 JOU196615 JYQ196615 KIM196615 KSI196615 LCE196615 LMA196615 LVW196615 MFS196615 MPO196615 MZK196615 NJG196615 NTC196615 OCY196615 OMU196615 OWQ196615 PGM196615 PQI196615 QAE196615 QKA196615 QTW196615 RDS196615 RNO196615 RXK196615 SHG196615 SRC196615 TAY196615 TKU196615 TUQ196615 UEM196615 UOI196615 UYE196615 VIA196615 VRW196615 WBS196615 WLO196615 WVK196615 C262151 IY262151 SU262151 ACQ262151 AMM262151 AWI262151 BGE262151 BQA262151 BZW262151 CJS262151 CTO262151 DDK262151 DNG262151 DXC262151 EGY262151 EQU262151 FAQ262151 FKM262151 FUI262151 GEE262151 GOA262151 GXW262151 HHS262151 HRO262151 IBK262151 ILG262151 IVC262151 JEY262151 JOU262151 JYQ262151 KIM262151 KSI262151 LCE262151 LMA262151 LVW262151 MFS262151 MPO262151 MZK262151 NJG262151 NTC262151 OCY262151 OMU262151 OWQ262151 PGM262151 PQI262151 QAE262151 QKA262151 QTW262151 RDS262151 RNO262151 RXK262151 SHG262151 SRC262151 TAY262151 TKU262151 TUQ262151 UEM262151 UOI262151 UYE262151 VIA262151 VRW262151 WBS262151 WLO262151 WVK262151 C327687 IY327687 SU327687 ACQ327687 AMM327687 AWI327687 BGE327687 BQA327687 BZW327687 CJS327687 CTO327687 DDK327687 DNG327687 DXC327687 EGY327687 EQU327687 FAQ327687 FKM327687 FUI327687 GEE327687 GOA327687 GXW327687 HHS327687 HRO327687 IBK327687 ILG327687 IVC327687 JEY327687 JOU327687 JYQ327687 KIM327687 KSI327687 LCE327687 LMA327687 LVW327687 MFS327687 MPO327687 MZK327687 NJG327687 NTC327687 OCY327687 OMU327687 OWQ327687 PGM327687 PQI327687 QAE327687 QKA327687 QTW327687 RDS327687 RNO327687 RXK327687 SHG327687 SRC327687 TAY327687 TKU327687 TUQ327687 UEM327687 UOI327687 UYE327687 VIA327687 VRW327687 WBS327687 WLO327687 WVK327687 C393223 IY393223 SU393223 ACQ393223 AMM393223 AWI393223 BGE393223 BQA393223 BZW393223 CJS393223 CTO393223 DDK393223 DNG393223 DXC393223 EGY393223 EQU393223 FAQ393223 FKM393223 FUI393223 GEE393223 GOA393223 GXW393223 HHS393223 HRO393223 IBK393223 ILG393223 IVC393223 JEY393223 JOU393223 JYQ393223 KIM393223 KSI393223 LCE393223 LMA393223 LVW393223 MFS393223 MPO393223 MZK393223 NJG393223 NTC393223 OCY393223 OMU393223 OWQ393223 PGM393223 PQI393223 QAE393223 QKA393223 QTW393223 RDS393223 RNO393223 RXK393223 SHG393223 SRC393223 TAY393223 TKU393223 TUQ393223 UEM393223 UOI393223 UYE393223 VIA393223 VRW393223 WBS393223 WLO393223 WVK393223 C458759 IY458759 SU458759 ACQ458759 AMM458759 AWI458759 BGE458759 BQA458759 BZW458759 CJS458759 CTO458759 DDK458759 DNG458759 DXC458759 EGY458759 EQU458759 FAQ458759 FKM458759 FUI458759 GEE458759 GOA458759 GXW458759 HHS458759 HRO458759 IBK458759 ILG458759 IVC458759 JEY458759 JOU458759 JYQ458759 KIM458759 KSI458759 LCE458759 LMA458759 LVW458759 MFS458759 MPO458759 MZK458759 NJG458759 NTC458759 OCY458759 OMU458759 OWQ458759 PGM458759 PQI458759 QAE458759 QKA458759 QTW458759 RDS458759 RNO458759 RXK458759 SHG458759 SRC458759 TAY458759 TKU458759 TUQ458759 UEM458759 UOI458759 UYE458759 VIA458759 VRW458759 WBS458759 WLO458759 WVK458759 C524295 IY524295 SU524295 ACQ524295 AMM524295 AWI524295 BGE524295 BQA524295 BZW524295 CJS524295 CTO524295 DDK524295 DNG524295 DXC524295 EGY524295 EQU524295 FAQ524295 FKM524295 FUI524295 GEE524295 GOA524295 GXW524295 HHS524295 HRO524295 IBK524295 ILG524295 IVC524295 JEY524295 JOU524295 JYQ524295 KIM524295 KSI524295 LCE524295 LMA524295 LVW524295 MFS524295 MPO524295 MZK524295 NJG524295 NTC524295 OCY524295 OMU524295 OWQ524295 PGM524295 PQI524295 QAE524295 QKA524295 QTW524295 RDS524295 RNO524295 RXK524295 SHG524295 SRC524295 TAY524295 TKU524295 TUQ524295 UEM524295 UOI524295 UYE524295 VIA524295 VRW524295 WBS524295 WLO524295 WVK524295 C589831 IY589831 SU589831 ACQ589831 AMM589831 AWI589831 BGE589831 BQA589831 BZW589831 CJS589831 CTO589831 DDK589831 DNG589831 DXC589831 EGY589831 EQU589831 FAQ589831 FKM589831 FUI589831 GEE589831 GOA589831 GXW589831 HHS589831 HRO589831 IBK589831 ILG589831 IVC589831 JEY589831 JOU589831 JYQ589831 KIM589831 KSI589831 LCE589831 LMA589831 LVW589831 MFS589831 MPO589831 MZK589831 NJG589831 NTC589831 OCY589831 OMU589831 OWQ589831 PGM589831 PQI589831 QAE589831 QKA589831 QTW589831 RDS589831 RNO589831 RXK589831 SHG589831 SRC589831 TAY589831 TKU589831 TUQ589831 UEM589831 UOI589831 UYE589831 VIA589831 VRW589831 WBS589831 WLO589831 WVK589831 C655367 IY655367 SU655367 ACQ655367 AMM655367 AWI655367 BGE655367 BQA655367 BZW655367 CJS655367 CTO655367 DDK655367 DNG655367 DXC655367 EGY655367 EQU655367 FAQ655367 FKM655367 FUI655367 GEE655367 GOA655367 GXW655367 HHS655367 HRO655367 IBK655367 ILG655367 IVC655367 JEY655367 JOU655367 JYQ655367 KIM655367 KSI655367 LCE655367 LMA655367 LVW655367 MFS655367 MPO655367 MZK655367 NJG655367 NTC655367 OCY655367 OMU655367 OWQ655367 PGM655367 PQI655367 QAE655367 QKA655367 QTW655367 RDS655367 RNO655367 RXK655367 SHG655367 SRC655367 TAY655367 TKU655367 TUQ655367 UEM655367 UOI655367 UYE655367 VIA655367 VRW655367 WBS655367 WLO655367 WVK655367 C720903 IY720903 SU720903 ACQ720903 AMM720903 AWI720903 BGE720903 BQA720903 BZW720903 CJS720903 CTO720903 DDK720903 DNG720903 DXC720903 EGY720903 EQU720903 FAQ720903 FKM720903 FUI720903 GEE720903 GOA720903 GXW720903 HHS720903 HRO720903 IBK720903 ILG720903 IVC720903 JEY720903 JOU720903 JYQ720903 KIM720903 KSI720903 LCE720903 LMA720903 LVW720903 MFS720903 MPO720903 MZK720903 NJG720903 NTC720903 OCY720903 OMU720903 OWQ720903 PGM720903 PQI720903 QAE720903 QKA720903 QTW720903 RDS720903 RNO720903 RXK720903 SHG720903 SRC720903 TAY720903 TKU720903 TUQ720903 UEM720903 UOI720903 UYE720903 VIA720903 VRW720903 WBS720903 WLO720903 WVK720903 C786439 IY786439 SU786439 ACQ786439 AMM786439 AWI786439 BGE786439 BQA786439 BZW786439 CJS786439 CTO786439 DDK786439 DNG786439 DXC786439 EGY786439 EQU786439 FAQ786439 FKM786439 FUI786439 GEE786439 GOA786439 GXW786439 HHS786439 HRO786439 IBK786439 ILG786439 IVC786439 JEY786439 JOU786439 JYQ786439 KIM786439 KSI786439 LCE786439 LMA786439 LVW786439 MFS786439 MPO786439 MZK786439 NJG786439 NTC786439 OCY786439 OMU786439 OWQ786439 PGM786439 PQI786439 QAE786439 QKA786439 QTW786439 RDS786439 RNO786439 RXK786439 SHG786439 SRC786439 TAY786439 TKU786439 TUQ786439 UEM786439 UOI786439 UYE786439 VIA786439 VRW786439 WBS786439 WLO786439 WVK786439 C851975 IY851975 SU851975 ACQ851975 AMM851975 AWI851975 BGE851975 BQA851975 BZW851975 CJS851975 CTO851975 DDK851975 DNG851975 DXC851975 EGY851975 EQU851975 FAQ851975 FKM851975 FUI851975 GEE851975 GOA851975 GXW851975 HHS851975 HRO851975 IBK851975 ILG851975 IVC851975 JEY851975 JOU851975 JYQ851975 KIM851975 KSI851975 LCE851975 LMA851975 LVW851975 MFS851975 MPO851975 MZK851975 NJG851975 NTC851975 OCY851975 OMU851975 OWQ851975 PGM851975 PQI851975 QAE851975 QKA851975 QTW851975 RDS851975 RNO851975 RXK851975 SHG851975 SRC851975 TAY851975 TKU851975 TUQ851975 UEM851975 UOI851975 UYE851975 VIA851975 VRW851975 WBS851975 WLO851975 WVK851975 C917511 IY917511 SU917511 ACQ917511 AMM917511 AWI917511 BGE917511 BQA917511 BZW917511 CJS917511 CTO917511 DDK917511 DNG917511 DXC917511 EGY917511 EQU917511 FAQ917511 FKM917511 FUI917511 GEE917511 GOA917511 GXW917511 HHS917511 HRO917511 IBK917511 ILG917511 IVC917511 JEY917511 JOU917511 JYQ917511 KIM917511 KSI917511 LCE917511 LMA917511 LVW917511 MFS917511 MPO917511 MZK917511 NJG917511 NTC917511 OCY917511 OMU917511 OWQ917511 PGM917511 PQI917511 QAE917511 QKA917511 QTW917511 RDS917511 RNO917511 RXK917511 SHG917511 SRC917511 TAY917511 TKU917511 TUQ917511 UEM917511 UOI917511 UYE917511 VIA917511 VRW917511 WBS917511 WLO917511 WVK917511 C983047 IY983047 SU983047 ACQ983047 AMM983047 AWI983047 BGE983047 BQA983047 BZW983047 CJS983047 CTO983047 DDK983047 DNG983047 DXC983047 EGY983047 EQU983047 FAQ983047 FKM983047 FUI983047 GEE983047 GOA983047 GXW983047 HHS983047 HRO983047 IBK983047 ILG983047 IVC983047 JEY983047 JOU983047 JYQ983047 KIM983047 KSI983047 LCE983047 LMA983047 LVW983047 MFS983047 MPO983047 MZK983047 NJG983047 NTC983047 OCY983047 OMU983047 OWQ983047 PGM983047 PQI983047 QAE983047 QKA983047 QTW983047 RDS983047 RNO983047 RXK983047 SHG983047 SRC983047 TAY983047 TKU983047 TUQ983047 UEM983047 UOI983047 UYE983047 VIA983047 VRW983047 WBS983047 WLO983047 WVK983047 GU8 QQ8 AAM8 AKI8 AUE8 BEA8 BNW8 BXS8 CHO8 CRK8 DBG8 DLC8 DUY8 EEU8 EOQ8 EYM8 FII8 FSE8 GCA8 GLW8 GVS8 HFO8 HPK8 HZG8 IJC8 ISY8 JCU8 JMQ8 JWM8 KGI8 KQE8 LAA8 LJW8 LTS8 MDO8 MNK8 MXG8 NHC8 NQY8 OAU8 OKQ8 OUM8 PEI8 POE8 PYA8 QHW8 QRS8 RBO8 RLK8 RVG8 SFC8 SOY8 SYU8 TIQ8 TSM8 UCI8 UME8 UWA8 VFW8 VPS8 VZO8 WJK8 WTG8 XDC8 GU65543 QQ65543 AAM65543 AKI65543 AUE65543 BEA65543 BNW65543 BXS65543 CHO65543 CRK65543 DBG65543 DLC65543 DUY65543 EEU65543 EOQ65543 EYM65543 FII65543 FSE65543 GCA65543 GLW65543 GVS65543 HFO65543 HPK65543 HZG65543 IJC65543 ISY65543 JCU65543 JMQ65543 JWM65543 KGI65543 KQE65543 LAA65543 LJW65543 LTS65543 MDO65543 MNK65543 MXG65543 NHC65543 NQY65543 OAU65543 OKQ65543 OUM65543 PEI65543 POE65543 PYA65543 QHW65543 QRS65543 RBO65543 RLK65543 RVG65543 SFC65543 SOY65543 SYU65543 TIQ65543 TSM65543 UCI65543 UME65543 UWA65543 VFW65543 VPS65543 VZO65543 WJK65543 WTG65543 XDC65543 GU131079 QQ131079 AAM131079 AKI131079 AUE131079 BEA131079 BNW131079 BXS131079 CHO131079 CRK131079 DBG131079 DLC131079 DUY131079 EEU131079 EOQ131079 EYM131079 FII131079 FSE131079 GCA131079 GLW131079 GVS131079 HFO131079 HPK131079 HZG131079 IJC131079 ISY131079 JCU131079 JMQ131079 JWM131079 KGI131079 KQE131079 LAA131079 LJW131079 LTS131079 MDO131079 MNK131079 MXG131079 NHC131079 NQY131079 OAU131079 OKQ131079 OUM131079 PEI131079 POE131079 PYA131079 QHW131079 QRS131079 RBO131079 RLK131079 RVG131079 SFC131079 SOY131079 SYU131079 TIQ131079 TSM131079 UCI131079 UME131079 UWA131079 VFW131079 VPS131079 VZO131079 WJK131079 WTG131079 XDC131079 GU196615 QQ196615 AAM196615 AKI196615 AUE196615 BEA196615 BNW196615 BXS196615 CHO196615 CRK196615 DBG196615 DLC196615 DUY196615 EEU196615 EOQ196615 EYM196615 FII196615 FSE196615 GCA196615 GLW196615 GVS196615 HFO196615 HPK196615 HZG196615 IJC196615 ISY196615 JCU196615 JMQ196615 JWM196615 KGI196615 KQE196615 LAA196615 LJW196615 LTS196615 MDO196615 MNK196615 MXG196615 NHC196615 NQY196615 OAU196615 OKQ196615 OUM196615 PEI196615 POE196615 PYA196615 QHW196615 QRS196615 RBO196615 RLK196615 RVG196615 SFC196615 SOY196615 SYU196615 TIQ196615 TSM196615 UCI196615 UME196615 UWA196615 VFW196615 VPS196615 VZO196615 WJK196615 WTG196615 XDC196615 GU262151 QQ262151 AAM262151 AKI262151 AUE262151 BEA262151 BNW262151 BXS262151 CHO262151 CRK262151 DBG262151 DLC262151 DUY262151 EEU262151 EOQ262151 EYM262151 FII262151 FSE262151 GCA262151 GLW262151 GVS262151 HFO262151 HPK262151 HZG262151 IJC262151 ISY262151 JCU262151 JMQ262151 JWM262151 KGI262151 KQE262151 LAA262151 LJW262151 LTS262151 MDO262151 MNK262151 MXG262151 NHC262151 NQY262151 OAU262151 OKQ262151 OUM262151 PEI262151 POE262151 PYA262151 QHW262151 QRS262151 RBO262151 RLK262151 RVG262151 SFC262151 SOY262151 SYU262151 TIQ262151 TSM262151 UCI262151 UME262151 UWA262151 VFW262151 VPS262151 VZO262151 WJK262151 WTG262151 XDC262151 GU327687 QQ327687 AAM327687 AKI327687 AUE327687 BEA327687 BNW327687 BXS327687 CHO327687 CRK327687 DBG327687 DLC327687 DUY327687 EEU327687 EOQ327687 EYM327687 FII327687 FSE327687 GCA327687 GLW327687 GVS327687 HFO327687 HPK327687 HZG327687 IJC327687 ISY327687 JCU327687 JMQ327687 JWM327687 KGI327687 KQE327687 LAA327687 LJW327687 LTS327687 MDO327687 MNK327687 MXG327687 NHC327687 NQY327687 OAU327687 OKQ327687 OUM327687 PEI327687 POE327687 PYA327687 QHW327687 QRS327687 RBO327687 RLK327687 RVG327687 SFC327687 SOY327687 SYU327687 TIQ327687 TSM327687 UCI327687 UME327687 UWA327687 VFW327687 VPS327687 VZO327687 WJK327687 WTG327687 XDC327687 GU393223 QQ393223 AAM393223 AKI393223 AUE393223 BEA393223 BNW393223 BXS393223 CHO393223 CRK393223 DBG393223 DLC393223 DUY393223 EEU393223 EOQ393223 EYM393223 FII393223 FSE393223 GCA393223 GLW393223 GVS393223 HFO393223 HPK393223 HZG393223 IJC393223 ISY393223 JCU393223 JMQ393223 JWM393223 KGI393223 KQE393223 LAA393223 LJW393223 LTS393223 MDO393223 MNK393223 MXG393223 NHC393223 NQY393223 OAU393223 OKQ393223 OUM393223 PEI393223 POE393223 PYA393223 QHW393223 QRS393223 RBO393223 RLK393223 RVG393223 SFC393223 SOY393223 SYU393223 TIQ393223 TSM393223 UCI393223 UME393223 UWA393223 VFW393223 VPS393223 VZO393223 WJK393223 WTG393223 XDC393223 GU458759 QQ458759 AAM458759 AKI458759 AUE458759 BEA458759 BNW458759 BXS458759 CHO458759 CRK458759 DBG458759 DLC458759 DUY458759 EEU458759 EOQ458759 EYM458759 FII458759 FSE458759 GCA458759 GLW458759 GVS458759 HFO458759 HPK458759 HZG458759 IJC458759 ISY458759 JCU458759 JMQ458759 JWM458759 KGI458759 KQE458759 LAA458759 LJW458759 LTS458759 MDO458759 MNK458759 MXG458759 NHC458759 NQY458759 OAU458759 OKQ458759 OUM458759 PEI458759 POE458759 PYA458759 QHW458759 QRS458759 RBO458759 RLK458759 RVG458759 SFC458759 SOY458759 SYU458759 TIQ458759 TSM458759 UCI458759 UME458759 UWA458759 VFW458759 VPS458759 VZO458759 WJK458759 WTG458759 XDC458759 GU524295 QQ524295 AAM524295 AKI524295 AUE524295 BEA524295 BNW524295 BXS524295 CHO524295 CRK524295 DBG524295 DLC524295 DUY524295 EEU524295 EOQ524295 EYM524295 FII524295 FSE524295 GCA524295 GLW524295 GVS524295 HFO524295 HPK524295 HZG524295 IJC524295 ISY524295 JCU524295 JMQ524295 JWM524295 KGI524295 KQE524295 LAA524295 LJW524295 LTS524295 MDO524295 MNK524295 MXG524295 NHC524295 NQY524295 OAU524295 OKQ524295 OUM524295 PEI524295 POE524295 PYA524295 QHW524295 QRS524295 RBO524295 RLK524295 RVG524295 SFC524295 SOY524295 SYU524295 TIQ524295 TSM524295 UCI524295 UME524295 UWA524295 VFW524295 VPS524295 VZO524295 WJK524295 WTG524295 XDC524295 GU589831 QQ589831 AAM589831 AKI589831 AUE589831 BEA589831 BNW589831 BXS589831 CHO589831 CRK589831 DBG589831 DLC589831 DUY589831 EEU589831 EOQ589831 EYM589831 FII589831 FSE589831 GCA589831 GLW589831 GVS589831 HFO589831 HPK589831 HZG589831 IJC589831 ISY589831 JCU589831 JMQ589831 JWM589831 KGI589831 KQE589831 LAA589831 LJW589831 LTS589831 MDO589831 MNK589831 MXG589831 NHC589831 NQY589831 OAU589831 OKQ589831 OUM589831 PEI589831 POE589831 PYA589831 QHW589831 QRS589831 RBO589831 RLK589831 RVG589831 SFC589831 SOY589831 SYU589831 TIQ589831 TSM589831 UCI589831 UME589831 UWA589831 VFW589831 VPS589831 VZO589831 WJK589831 WTG589831 XDC589831 GU655367 QQ655367 AAM655367 AKI655367 AUE655367 BEA655367 BNW655367 BXS655367 CHO655367 CRK655367 DBG655367 DLC655367 DUY655367 EEU655367 EOQ655367 EYM655367 FII655367 FSE655367 GCA655367 GLW655367 GVS655367 HFO655367 HPK655367 HZG655367 IJC655367 ISY655367 JCU655367 JMQ655367 JWM655367 KGI655367 KQE655367 LAA655367 LJW655367 LTS655367 MDO655367 MNK655367 MXG655367 NHC655367 NQY655367 OAU655367 OKQ655367 OUM655367 PEI655367 POE655367 PYA655367 QHW655367 QRS655367 RBO655367 RLK655367 RVG655367 SFC655367 SOY655367 SYU655367 TIQ655367 TSM655367 UCI655367 UME655367 UWA655367 VFW655367 VPS655367 VZO655367 WJK655367 WTG655367 XDC655367 GU720903 QQ720903 AAM720903 AKI720903 AUE720903 BEA720903 BNW720903 BXS720903 CHO720903 CRK720903 DBG720903 DLC720903 DUY720903 EEU720903 EOQ720903 EYM720903 FII720903 FSE720903 GCA720903 GLW720903 GVS720903 HFO720903 HPK720903 HZG720903 IJC720903 ISY720903 JCU720903 JMQ720903 JWM720903 KGI720903 KQE720903 LAA720903 LJW720903 LTS720903 MDO720903 MNK720903 MXG720903 NHC720903 NQY720903 OAU720903 OKQ720903 OUM720903 PEI720903 POE720903 PYA720903 QHW720903 QRS720903 RBO720903 RLK720903 RVG720903 SFC720903 SOY720903 SYU720903 TIQ720903 TSM720903 UCI720903 UME720903 UWA720903 VFW720903 VPS720903 VZO720903 WJK720903 WTG720903 XDC720903 GU786439 QQ786439 AAM786439 AKI786439 AUE786439 BEA786439 BNW786439 BXS786439 CHO786439 CRK786439 DBG786439 DLC786439 DUY786439 EEU786439 EOQ786439 EYM786439 FII786439 FSE786439 GCA786439 GLW786439 GVS786439 HFO786439 HPK786439 HZG786439 IJC786439 ISY786439 JCU786439 JMQ786439 JWM786439 KGI786439 KQE786439 LAA786439 LJW786439 LTS786439 MDO786439 MNK786439 MXG786439 NHC786439 NQY786439 OAU786439 OKQ786439 OUM786439 PEI786439 POE786439 PYA786439 QHW786439 QRS786439 RBO786439 RLK786439 RVG786439 SFC786439 SOY786439 SYU786439 TIQ786439 TSM786439 UCI786439 UME786439 UWA786439 VFW786439 VPS786439 VZO786439 WJK786439 WTG786439 XDC786439 GU851975 QQ851975 AAM851975 AKI851975 AUE851975 BEA851975 BNW851975 BXS851975 CHO851975 CRK851975 DBG851975 DLC851975 DUY851975 EEU851975 EOQ851975 EYM851975 FII851975 FSE851975 GCA851975 GLW851975 GVS851975 HFO851975 HPK851975 HZG851975 IJC851975 ISY851975 JCU851975 JMQ851975 JWM851975 KGI851975 KQE851975 LAA851975 LJW851975 LTS851975 MDO851975 MNK851975 MXG851975 NHC851975 NQY851975 OAU851975 OKQ851975 OUM851975 PEI851975 POE851975 PYA851975 QHW851975 QRS851975 RBO851975 RLK851975 RVG851975 SFC851975 SOY851975 SYU851975 TIQ851975 TSM851975 UCI851975 UME851975 UWA851975 VFW851975 VPS851975 VZO851975 WJK851975 WTG851975 XDC851975 GU917511 QQ917511 AAM917511 AKI917511 AUE917511 BEA917511 BNW917511 BXS917511 CHO917511 CRK917511 DBG917511 DLC917511 DUY917511 EEU917511 EOQ917511 EYM917511 FII917511 FSE917511 GCA917511 GLW917511 GVS917511 HFO917511 HPK917511 HZG917511 IJC917511 ISY917511 JCU917511 JMQ917511 JWM917511 KGI917511 KQE917511 LAA917511 LJW917511 LTS917511 MDO917511 MNK917511 MXG917511 NHC917511 NQY917511 OAU917511 OKQ917511 OUM917511 PEI917511 POE917511 PYA917511 QHW917511 QRS917511 RBO917511 RLK917511 RVG917511 SFC917511 SOY917511 SYU917511 TIQ917511 TSM917511 UCI917511 UME917511 UWA917511 VFW917511 VPS917511 VZO917511 WJK917511 WTG917511 XDC917511 GU983047 QQ983047 AAM983047 AKI983047 AUE983047 BEA983047 BNW983047 BXS983047 CHO983047 CRK983047 DBG983047 DLC983047 DUY983047 EEU983047 EOQ983047 EYM983047 FII983047 FSE983047 GCA983047 GLW983047 GVS983047 HFO983047 HPK983047 HZG983047 IJC983047 ISY983047 JCU983047 JMQ983047 JWM983047 KGI983047 KQE983047 LAA983047 LJW983047 LTS983047 MDO983047 MNK983047 MXG983047 NHC983047 NQY983047 OAU983047 OKQ983047 OUM983047 PEI983047 POE983047 PYA983047 QHW983047 QRS983047 RBO983047 RLK983047 RVG983047 SFC983047 SOY983047 SYU983047 TIQ983047 TSM983047 UCI983047 UME983047 UWA983047 VFW983047 VPS983047 VZO983047 WJK983047 WTG983047 XDC983047 C57974 IY57974 SU57974 ACQ57974 AMM57974 AWI57974 BGE57974 BQA57974 BZW57974 CJS57974 CTO57974 DDK57974 DNG57974 DXC57974 EGY57974 EQU57974 FAQ57974 FKM57974 FUI57974 GEE57974 GOA57974 GXW57974 HHS57974 HRO57974 IBK57974 ILG57974 IVC57974 JEY57974 JOU57974 JYQ57974 KIM57974 KSI57974 LCE57974 LMA57974 LVW57974 MFS57974 MPO57974 MZK57974 NJG57974 NTC57974 OCY57974 OMU57974 OWQ57974 PGM57974 PQI57974 QAE57974 QKA57974 QTW57974 RDS57974 RNO57974 RXK57974 SHG57974 SRC57974 TAY57974 TKU57974 TUQ57974 UEM57974 UOI57974 UYE57974 VIA57974 VRW57974 WBS57974 WLO57974 WVK57974 C123510 IY123510 SU123510 ACQ123510 AMM123510 AWI123510 BGE123510 BQA123510 BZW123510 CJS123510 CTO123510 DDK123510 DNG123510 DXC123510 EGY123510 EQU123510 FAQ123510 FKM123510 FUI123510 GEE123510 GOA123510 GXW123510 HHS123510 HRO123510 IBK123510 ILG123510 IVC123510 JEY123510 JOU123510 JYQ123510 KIM123510 KSI123510 LCE123510 LMA123510 LVW123510 MFS123510 MPO123510 MZK123510 NJG123510 NTC123510 OCY123510 OMU123510 OWQ123510 PGM123510 PQI123510 QAE123510 QKA123510 QTW123510 RDS123510 RNO123510 RXK123510 SHG123510 SRC123510 TAY123510 TKU123510 TUQ123510 UEM123510 UOI123510 UYE123510 VIA123510 VRW123510 WBS123510 WLO123510 WVK123510 C189046 IY189046 SU189046 ACQ189046 AMM189046 AWI189046 BGE189046 BQA189046 BZW189046 CJS189046 CTO189046 DDK189046 DNG189046 DXC189046 EGY189046 EQU189046 FAQ189046 FKM189046 FUI189046 GEE189046 GOA189046 GXW189046 HHS189046 HRO189046 IBK189046 ILG189046 IVC189046 JEY189046 JOU189046 JYQ189046 KIM189046 KSI189046 LCE189046 LMA189046 LVW189046 MFS189046 MPO189046 MZK189046 NJG189046 NTC189046 OCY189046 OMU189046 OWQ189046 PGM189046 PQI189046 QAE189046 QKA189046 QTW189046 RDS189046 RNO189046 RXK189046 SHG189046 SRC189046 TAY189046 TKU189046 TUQ189046 UEM189046 UOI189046 UYE189046 VIA189046 VRW189046 WBS189046 WLO189046 WVK189046 C254582 IY254582 SU254582 ACQ254582 AMM254582 AWI254582 BGE254582 BQA254582 BZW254582 CJS254582 CTO254582 DDK254582 DNG254582 DXC254582 EGY254582 EQU254582 FAQ254582 FKM254582 FUI254582 GEE254582 GOA254582 GXW254582 HHS254582 HRO254582 IBK254582 ILG254582 IVC254582 JEY254582 JOU254582 JYQ254582 KIM254582 KSI254582 LCE254582 LMA254582 LVW254582 MFS254582 MPO254582 MZK254582 NJG254582 NTC254582 OCY254582 OMU254582 OWQ254582 PGM254582 PQI254582 QAE254582 QKA254582 QTW254582 RDS254582 RNO254582 RXK254582 SHG254582 SRC254582 TAY254582 TKU254582 TUQ254582 UEM254582 UOI254582 UYE254582 VIA254582 VRW254582 WBS254582 WLO254582 WVK254582 C320118 IY320118 SU320118 ACQ320118 AMM320118 AWI320118 BGE320118 BQA320118 BZW320118 CJS320118 CTO320118 DDK320118 DNG320118 DXC320118 EGY320118 EQU320118 FAQ320118 FKM320118 FUI320118 GEE320118 GOA320118 GXW320118 HHS320118 HRO320118 IBK320118 ILG320118 IVC320118 JEY320118 JOU320118 JYQ320118 KIM320118 KSI320118 LCE320118 LMA320118 LVW320118 MFS320118 MPO320118 MZK320118 NJG320118 NTC320118 OCY320118 OMU320118 OWQ320118 PGM320118 PQI320118 QAE320118 QKA320118 QTW320118 RDS320118 RNO320118 RXK320118 SHG320118 SRC320118 TAY320118 TKU320118 TUQ320118 UEM320118 UOI320118 UYE320118 VIA320118 VRW320118 WBS320118 WLO320118 WVK320118 C385654 IY385654 SU385654 ACQ385654 AMM385654 AWI385654 BGE385654 BQA385654 BZW385654 CJS385654 CTO385654 DDK385654 DNG385654 DXC385654 EGY385654 EQU385654 FAQ385654 FKM385654 FUI385654 GEE385654 GOA385654 GXW385654 HHS385654 HRO385654 IBK385654 ILG385654 IVC385654 JEY385654 JOU385654 JYQ385654 KIM385654 KSI385654 LCE385654 LMA385654 LVW385654 MFS385654 MPO385654 MZK385654 NJG385654 NTC385654 OCY385654 OMU385654 OWQ385654 PGM385654 PQI385654 QAE385654 QKA385654 QTW385654 RDS385654 RNO385654 RXK385654 SHG385654 SRC385654 TAY385654 TKU385654 TUQ385654 UEM385654 UOI385654 UYE385654 VIA385654 VRW385654 WBS385654 WLO385654 WVK385654 C451190 IY451190 SU451190 ACQ451190 AMM451190 AWI451190 BGE451190 BQA451190 BZW451190 CJS451190 CTO451190 DDK451190 DNG451190 DXC451190 EGY451190 EQU451190 FAQ451190 FKM451190 FUI451190 GEE451190 GOA451190 GXW451190 HHS451190 HRO451190 IBK451190 ILG451190 IVC451190 JEY451190 JOU451190 JYQ451190 KIM451190 KSI451190 LCE451190 LMA451190 LVW451190 MFS451190 MPO451190 MZK451190 NJG451190 NTC451190 OCY451190 OMU451190 OWQ451190 PGM451190 PQI451190 QAE451190 QKA451190 QTW451190 RDS451190 RNO451190 RXK451190 SHG451190 SRC451190 TAY451190 TKU451190 TUQ451190 UEM451190 UOI451190 UYE451190 VIA451190 VRW451190 WBS451190 WLO451190 WVK451190 C516726 IY516726 SU516726 ACQ516726 AMM516726 AWI516726 BGE516726 BQA516726 BZW516726 CJS516726 CTO516726 DDK516726 DNG516726 DXC516726 EGY516726 EQU516726 FAQ516726 FKM516726 FUI516726 GEE516726 GOA516726 GXW516726 HHS516726 HRO516726 IBK516726 ILG516726 IVC516726 JEY516726 JOU516726 JYQ516726 KIM516726 KSI516726 LCE516726 LMA516726 LVW516726 MFS516726 MPO516726 MZK516726 NJG516726 NTC516726 OCY516726 OMU516726 OWQ516726 PGM516726 PQI516726 QAE516726 QKA516726 QTW516726 RDS516726 RNO516726 RXK516726 SHG516726 SRC516726 TAY516726 TKU516726 TUQ516726 UEM516726 UOI516726 UYE516726 VIA516726 VRW516726 WBS516726 WLO516726 WVK516726 C582262 IY582262 SU582262 ACQ582262 AMM582262 AWI582262 BGE582262 BQA582262 BZW582262 CJS582262 CTO582262 DDK582262 DNG582262 DXC582262 EGY582262 EQU582262 FAQ582262 FKM582262 FUI582262 GEE582262 GOA582262 GXW582262 HHS582262 HRO582262 IBK582262 ILG582262 IVC582262 JEY582262 JOU582262 JYQ582262 KIM582262 KSI582262 LCE582262 LMA582262 LVW582262 MFS582262 MPO582262 MZK582262 NJG582262 NTC582262 OCY582262 OMU582262 OWQ582262 PGM582262 PQI582262 QAE582262 QKA582262 QTW582262 RDS582262 RNO582262 RXK582262 SHG582262 SRC582262 TAY582262 TKU582262 TUQ582262 UEM582262 UOI582262 UYE582262 VIA582262 VRW582262 WBS582262 WLO582262 WVK582262 C647798 IY647798 SU647798 ACQ647798 AMM647798 AWI647798 BGE647798 BQA647798 BZW647798 CJS647798 CTO647798 DDK647798 DNG647798 DXC647798 EGY647798 EQU647798 FAQ647798 FKM647798 FUI647798 GEE647798 GOA647798 GXW647798 HHS647798 HRO647798 IBK647798 ILG647798 IVC647798 JEY647798 JOU647798 JYQ647798 KIM647798 KSI647798 LCE647798 LMA647798 LVW647798 MFS647798 MPO647798 MZK647798 NJG647798 NTC647798 OCY647798 OMU647798 OWQ647798 PGM647798 PQI647798 QAE647798 QKA647798 QTW647798 RDS647798 RNO647798 RXK647798 SHG647798 SRC647798 TAY647798 TKU647798 TUQ647798 UEM647798 UOI647798 UYE647798 VIA647798 VRW647798 WBS647798 WLO647798 WVK647798 C713334 IY713334 SU713334 ACQ713334 AMM713334 AWI713334 BGE713334 BQA713334 BZW713334 CJS713334 CTO713334 DDK713334 DNG713334 DXC713334 EGY713334 EQU713334 FAQ713334 FKM713334 FUI713334 GEE713334 GOA713334 GXW713334 HHS713334 HRO713334 IBK713334 ILG713334 IVC713334 JEY713334 JOU713334 JYQ713334 KIM713334 KSI713334 LCE713334 LMA713334 LVW713334 MFS713334 MPO713334 MZK713334 NJG713334 NTC713334 OCY713334 OMU713334 OWQ713334 PGM713334 PQI713334 QAE713334 QKA713334 QTW713334 RDS713334 RNO713334 RXK713334 SHG713334 SRC713334 TAY713334 TKU713334 TUQ713334 UEM713334 UOI713334 UYE713334 VIA713334 VRW713334 WBS713334 WLO713334 WVK713334 C778870 IY778870 SU778870 ACQ778870 AMM778870 AWI778870 BGE778870 BQA778870 BZW778870 CJS778870 CTO778870 DDK778870 DNG778870 DXC778870 EGY778870 EQU778870 FAQ778870 FKM778870 FUI778870 GEE778870 GOA778870 GXW778870 HHS778870 HRO778870 IBK778870 ILG778870 IVC778870 JEY778870 JOU778870 JYQ778870 KIM778870 KSI778870 LCE778870 LMA778870 LVW778870 MFS778870 MPO778870 MZK778870 NJG778870 NTC778870 OCY778870 OMU778870 OWQ778870 PGM778870 PQI778870 QAE778870 QKA778870 QTW778870 RDS778870 RNO778870 RXK778870 SHG778870 SRC778870 TAY778870 TKU778870 TUQ778870 UEM778870 UOI778870 UYE778870 VIA778870 VRW778870 WBS778870 WLO778870 WVK778870 C844406 IY844406 SU844406 ACQ844406 AMM844406 AWI844406 BGE844406 BQA844406 BZW844406 CJS844406 CTO844406 DDK844406 DNG844406 DXC844406 EGY844406 EQU844406 FAQ844406 FKM844406 FUI844406 GEE844406 GOA844406 GXW844406 HHS844406 HRO844406 IBK844406 ILG844406 IVC844406 JEY844406 JOU844406 JYQ844406 KIM844406 KSI844406 LCE844406 LMA844406 LVW844406 MFS844406 MPO844406 MZK844406 NJG844406 NTC844406 OCY844406 OMU844406 OWQ844406 PGM844406 PQI844406 QAE844406 QKA844406 QTW844406 RDS844406 RNO844406 RXK844406 SHG844406 SRC844406 TAY844406 TKU844406 TUQ844406 UEM844406 UOI844406 UYE844406 VIA844406 VRW844406 WBS844406 WLO844406 WVK844406 C909942 IY909942 SU909942 ACQ909942 AMM909942 AWI909942 BGE909942 BQA909942 BZW909942 CJS909942 CTO909942 DDK909942 DNG909942 DXC909942 EGY909942 EQU909942 FAQ909942 FKM909942 FUI909942 GEE909942 GOA909942 GXW909942 HHS909942 HRO909942 IBK909942 ILG909942 IVC909942 JEY909942 JOU909942 JYQ909942 KIM909942 KSI909942 LCE909942 LMA909942 LVW909942 MFS909942 MPO909942 MZK909942 NJG909942 NTC909942 OCY909942 OMU909942 OWQ909942 PGM909942 PQI909942 QAE909942 QKA909942 QTW909942 RDS909942 RNO909942 RXK909942 SHG909942 SRC909942 TAY909942 TKU909942 TUQ909942 UEM909942 UOI909942 UYE909942 VIA909942 VRW909942 WBS909942 WLO909942 WVK909942 C975478 IY975478 SU975478 ACQ975478 AMM975478 AWI975478 BGE975478 BQA975478 BZW975478 CJS975478 CTO975478 DDK975478 DNG975478 DXC975478 EGY975478 EQU975478 FAQ975478 FKM975478 FUI975478 GEE975478 GOA975478 GXW975478 HHS975478 HRO975478 IBK975478 ILG975478 IVC975478 JEY975478 JOU975478 JYQ975478 KIM975478 KSI975478 LCE975478 LMA975478 LVW975478 MFS975478 MPO975478 MZK975478 NJG975478 NTC975478 OCY975478 OMU975478 OWQ975478 PGM975478 PQI975478 QAE975478 QKA975478 QTW975478 RDS975478 RNO975478 RXK975478 SHG975478 SRC975478 TAY975478 TKU975478 TUQ975478 UEM975478 UOI975478 UYE975478 VIA975478 VRW975478 WBS975478 WLO975478 WVK975478 C1041014 IY1041014 SU1041014 ACQ1041014 AMM1041014 AWI1041014 BGE1041014 BQA1041014 BZW1041014 CJS1041014 CTO1041014 DDK1041014 DNG1041014 DXC1041014 EGY1041014 EQU1041014 FAQ1041014 FKM1041014 FUI1041014 GEE1041014 GOA1041014 GXW1041014 HHS1041014 HRO1041014 IBK1041014 ILG1041014 IVC1041014 JEY1041014 JOU1041014 JYQ1041014 KIM1041014 KSI1041014 LCE1041014 LMA1041014 LVW1041014 MFS1041014 MPO1041014 MZK1041014 NJG1041014 NTC1041014 OCY1041014 OMU1041014 OWQ1041014 PGM1041014 PQI1041014 QAE1041014 QKA1041014 QTW1041014 RDS1041014 RNO1041014 RXK1041014 SHG1041014 SRC1041014 TAY1041014 TKU1041014 TUQ1041014 UEM1041014 UOI1041014 UYE1041014 VIA1041014 VRW1041014 WBS1041014 WLO1041014 WVK1041014 GU57974 QQ57974 AAM57974 AKI57974 AUE57974 BEA57974 BNW57974 BXS57974 CHO57974 CRK57974 DBG57974 DLC57974 DUY57974 EEU57974 EOQ57974 EYM57974 FII57974 FSE57974 GCA57974 GLW57974 GVS57974 HFO57974 HPK57974 HZG57974 IJC57974 ISY57974 JCU57974 JMQ57974 JWM57974 KGI57974 KQE57974 LAA57974 LJW57974 LTS57974 MDO57974 MNK57974 MXG57974 NHC57974 NQY57974 OAU57974 OKQ57974 OUM57974 PEI57974 POE57974 PYA57974 QHW57974 QRS57974 RBO57974 RLK57974 RVG57974 SFC57974 SOY57974 SYU57974 TIQ57974 TSM57974 UCI57974 UME57974 UWA57974 VFW57974 VPS57974 VZO57974 WJK57974 WTG57974 XDC57974 GU123510 QQ123510 AAM123510 AKI123510 AUE123510 BEA123510 BNW123510 BXS123510 CHO123510 CRK123510 DBG123510 DLC123510 DUY123510 EEU123510 EOQ123510 EYM123510 FII123510 FSE123510 GCA123510 GLW123510 GVS123510 HFO123510 HPK123510 HZG123510 IJC123510 ISY123510 JCU123510 JMQ123510 JWM123510 KGI123510 KQE123510 LAA123510 LJW123510 LTS123510 MDO123510 MNK123510 MXG123510 NHC123510 NQY123510 OAU123510 OKQ123510 OUM123510 PEI123510 POE123510 PYA123510 QHW123510 QRS123510 RBO123510 RLK123510 RVG123510 SFC123510 SOY123510 SYU123510 TIQ123510 TSM123510 UCI123510 UME123510 UWA123510 VFW123510 VPS123510 VZO123510 WJK123510 WTG123510 XDC123510 GU189046 QQ189046 AAM189046 AKI189046 AUE189046 BEA189046 BNW189046 BXS189046 CHO189046 CRK189046 DBG189046 DLC189046 DUY189046 EEU189046 EOQ189046 EYM189046 FII189046 FSE189046 GCA189046 GLW189046 GVS189046 HFO189046 HPK189046 HZG189046 IJC189046 ISY189046 JCU189046 JMQ189046 JWM189046 KGI189046 KQE189046 LAA189046 LJW189046 LTS189046 MDO189046 MNK189046 MXG189046 NHC189046 NQY189046 OAU189046 OKQ189046 OUM189046 PEI189046 POE189046 PYA189046 QHW189046 QRS189046 RBO189046 RLK189046 RVG189046 SFC189046 SOY189046 SYU189046 TIQ189046 TSM189046 UCI189046 UME189046 UWA189046 VFW189046 VPS189046 VZO189046 WJK189046 WTG189046 XDC189046 GU254582 QQ254582 AAM254582 AKI254582 AUE254582 BEA254582 BNW254582 BXS254582 CHO254582 CRK254582 DBG254582 DLC254582 DUY254582 EEU254582 EOQ254582 EYM254582 FII254582 FSE254582 GCA254582 GLW254582 GVS254582 HFO254582 HPK254582 HZG254582 IJC254582 ISY254582 JCU254582 JMQ254582 JWM254582 KGI254582 KQE254582 LAA254582 LJW254582 LTS254582 MDO254582 MNK254582 MXG254582 NHC254582 NQY254582 OAU254582 OKQ254582 OUM254582 PEI254582 POE254582 PYA254582 QHW254582 QRS254582 RBO254582 RLK254582 RVG254582 SFC254582 SOY254582 SYU254582 TIQ254582 TSM254582 UCI254582 UME254582 UWA254582 VFW254582 VPS254582 VZO254582 WJK254582 WTG254582 XDC254582 GU320118 QQ320118 AAM320118 AKI320118 AUE320118 BEA320118 BNW320118 BXS320118 CHO320118 CRK320118 DBG320118 DLC320118 DUY320118 EEU320118 EOQ320118 EYM320118 FII320118 FSE320118 GCA320118 GLW320118 GVS320118 HFO320118 HPK320118 HZG320118 IJC320118 ISY320118 JCU320118 JMQ320118 JWM320118 KGI320118 KQE320118 LAA320118 LJW320118 LTS320118 MDO320118 MNK320118 MXG320118 NHC320118 NQY320118 OAU320118 OKQ320118 OUM320118 PEI320118 POE320118 PYA320118 QHW320118 QRS320118 RBO320118 RLK320118 RVG320118 SFC320118 SOY320118 SYU320118 TIQ320118 TSM320118 UCI320118 UME320118 UWA320118 VFW320118 VPS320118 VZO320118 WJK320118 WTG320118 XDC320118 GU385654 QQ385654 AAM385654 AKI385654 AUE385654 BEA385654 BNW385654 BXS385654 CHO385654 CRK385654 DBG385654 DLC385654 DUY385654 EEU385654 EOQ385654 EYM385654 FII385654 FSE385654 GCA385654 GLW385654 GVS385654 HFO385654 HPK385654 HZG385654 IJC385654 ISY385654 JCU385654 JMQ385654 JWM385654 KGI385654 KQE385654 LAA385654 LJW385654 LTS385654 MDO385654 MNK385654 MXG385654 NHC385654 NQY385654 OAU385654 OKQ385654 OUM385654 PEI385654 POE385654 PYA385654 QHW385654 QRS385654 RBO385654 RLK385654 RVG385654 SFC385654 SOY385654 SYU385654 TIQ385654 TSM385654 UCI385654 UME385654 UWA385654 VFW385654 VPS385654 VZO385654 WJK385654 WTG385654 XDC385654 GU451190 QQ451190 AAM451190 AKI451190 AUE451190 BEA451190 BNW451190 BXS451190 CHO451190 CRK451190 DBG451190 DLC451190 DUY451190 EEU451190 EOQ451190 EYM451190 FII451190 FSE451190 GCA451190 GLW451190 GVS451190 HFO451190 HPK451190 HZG451190 IJC451190 ISY451190 JCU451190 JMQ451190 JWM451190 KGI451190 KQE451190 LAA451190 LJW451190 LTS451190 MDO451190 MNK451190 MXG451190 NHC451190 NQY451190 OAU451190 OKQ451190 OUM451190 PEI451190 POE451190 PYA451190 QHW451190 QRS451190 RBO451190 RLK451190 RVG451190 SFC451190 SOY451190 SYU451190 TIQ451190 TSM451190 UCI451190 UME451190 UWA451190 VFW451190 VPS451190 VZO451190 WJK451190 WTG451190 XDC451190 GU516726 QQ516726 AAM516726 AKI516726 AUE516726 BEA516726 BNW516726 BXS516726 CHO516726 CRK516726 DBG516726 DLC516726 DUY516726 EEU516726 EOQ516726 EYM516726 FII516726 FSE516726 GCA516726 GLW516726 GVS516726 HFO516726 HPK516726 HZG516726 IJC516726 ISY516726 JCU516726 JMQ516726 JWM516726 KGI516726 KQE516726 LAA516726 LJW516726 LTS516726 MDO516726 MNK516726 MXG516726 NHC516726 NQY516726 OAU516726 OKQ516726 OUM516726 PEI516726 POE516726 PYA516726 QHW516726 QRS516726 RBO516726 RLK516726 RVG516726 SFC516726 SOY516726 SYU516726 TIQ516726 TSM516726 UCI516726 UME516726 UWA516726 VFW516726 VPS516726 VZO516726 WJK516726 WTG516726 XDC516726 GU582262 QQ582262 AAM582262 AKI582262 AUE582262 BEA582262 BNW582262 BXS582262 CHO582262 CRK582262 DBG582262 DLC582262 DUY582262 EEU582262 EOQ582262 EYM582262 FII582262 FSE582262 GCA582262 GLW582262 GVS582262 HFO582262 HPK582262 HZG582262 IJC582262 ISY582262 JCU582262 JMQ582262 JWM582262 KGI582262 KQE582262 LAA582262 LJW582262 LTS582262 MDO582262 MNK582262 MXG582262 NHC582262 NQY582262 OAU582262 OKQ582262 OUM582262 PEI582262 POE582262 PYA582262 QHW582262 QRS582262 RBO582262 RLK582262 RVG582262 SFC582262 SOY582262 SYU582262 TIQ582262 TSM582262 UCI582262 UME582262 UWA582262 VFW582262 VPS582262 VZO582262 WJK582262 WTG582262 XDC582262 GU647798 QQ647798 AAM647798 AKI647798 AUE647798 BEA647798 BNW647798 BXS647798 CHO647798 CRK647798 DBG647798 DLC647798 DUY647798 EEU647798 EOQ647798 EYM647798 FII647798 FSE647798 GCA647798 GLW647798 GVS647798 HFO647798 HPK647798 HZG647798 IJC647798 ISY647798 JCU647798 JMQ647798 JWM647798 KGI647798 KQE647798 LAA647798 LJW647798 LTS647798 MDO647798 MNK647798 MXG647798 NHC647798 NQY647798 OAU647798 OKQ647798 OUM647798 PEI647798 POE647798 PYA647798 QHW647798 QRS647798 RBO647798 RLK647798 RVG647798 SFC647798 SOY647798 SYU647798 TIQ647798 TSM647798 UCI647798 UME647798 UWA647798 VFW647798 VPS647798 VZO647798 WJK647798 WTG647798 XDC647798 GU713334 QQ713334 AAM713334 AKI713334 AUE713334 BEA713334 BNW713334 BXS713334 CHO713334 CRK713334 DBG713334 DLC713334 DUY713334 EEU713334 EOQ713334 EYM713334 FII713334 FSE713334 GCA713334 GLW713334 GVS713334 HFO713334 HPK713334 HZG713334 IJC713334 ISY713334 JCU713334 JMQ713334 JWM713334 KGI713334 KQE713334 LAA713334 LJW713334 LTS713334 MDO713334 MNK713334 MXG713334 NHC713334 NQY713334 OAU713334 OKQ713334 OUM713334 PEI713334 POE713334 PYA713334 QHW713334 QRS713334 RBO713334 RLK713334 RVG713334 SFC713334 SOY713334 SYU713334 TIQ713334 TSM713334 UCI713334 UME713334 UWA713334 VFW713334 VPS713334 VZO713334 WJK713334 WTG713334 XDC713334 GU778870 QQ778870 AAM778870 AKI778870 AUE778870 BEA778870 BNW778870 BXS778870 CHO778870 CRK778870 DBG778870 DLC778870 DUY778870 EEU778870 EOQ778870 EYM778870 FII778870 FSE778870 GCA778870 GLW778870 GVS778870 HFO778870 HPK778870 HZG778870 IJC778870 ISY778870 JCU778870 JMQ778870 JWM778870 KGI778870 KQE778870 LAA778870 LJW778870 LTS778870 MDO778870 MNK778870 MXG778870 NHC778870 NQY778870 OAU778870 OKQ778870 OUM778870 PEI778870 POE778870 PYA778870 QHW778870 QRS778870 RBO778870 RLK778870 RVG778870 SFC778870 SOY778870 SYU778870 TIQ778870 TSM778870 UCI778870 UME778870 UWA778870 VFW778870 VPS778870 VZO778870 WJK778870 WTG778870 XDC778870 GU844406 QQ844406 AAM844406 AKI844406 AUE844406 BEA844406 BNW844406 BXS844406 CHO844406 CRK844406 DBG844406 DLC844406 DUY844406 EEU844406 EOQ844406 EYM844406 FII844406 FSE844406 GCA844406 GLW844406 GVS844406 HFO844406 HPK844406 HZG844406 IJC844406 ISY844406 JCU844406 JMQ844406 JWM844406 KGI844406 KQE844406 LAA844406 LJW844406 LTS844406 MDO844406 MNK844406 MXG844406 NHC844406 NQY844406 OAU844406 OKQ844406 OUM844406 PEI844406 POE844406 PYA844406 QHW844406 QRS844406 RBO844406 RLK844406 RVG844406 SFC844406 SOY844406 SYU844406 TIQ844406 TSM844406 UCI844406 UME844406 UWA844406 VFW844406 VPS844406 VZO844406 WJK844406 WTG844406 XDC844406 GU909942 QQ909942 AAM909942 AKI909942 AUE909942 BEA909942 BNW909942 BXS909942 CHO909942 CRK909942 DBG909942 DLC909942 DUY909942 EEU909942 EOQ909942 EYM909942 FII909942 FSE909942 GCA909942 GLW909942 GVS909942 HFO909942 HPK909942 HZG909942 IJC909942 ISY909942 JCU909942 JMQ909942 JWM909942 KGI909942 KQE909942 LAA909942 LJW909942 LTS909942 MDO909942 MNK909942 MXG909942 NHC909942 NQY909942 OAU909942 OKQ909942 OUM909942 PEI909942 POE909942 PYA909942 QHW909942 QRS909942 RBO909942 RLK909942 RVG909942 SFC909942 SOY909942 SYU909942 TIQ909942 TSM909942 UCI909942 UME909942 UWA909942 VFW909942 VPS909942 VZO909942 WJK909942 WTG909942 XDC909942 GU975478 QQ975478 AAM975478 AKI975478 AUE975478 BEA975478 BNW975478 BXS975478 CHO975478 CRK975478 DBG975478 DLC975478 DUY975478 EEU975478 EOQ975478 EYM975478 FII975478 FSE975478 GCA975478 GLW975478 GVS975478 HFO975478 HPK975478 HZG975478 IJC975478 ISY975478 JCU975478 JMQ975478 JWM975478 KGI975478 KQE975478 LAA975478 LJW975478 LTS975478 MDO975478 MNK975478 MXG975478 NHC975478 NQY975478 OAU975478 OKQ975478 OUM975478 PEI975478 POE975478 PYA975478 QHW975478 QRS975478 RBO975478 RLK975478 RVG975478 SFC975478 SOY975478 SYU975478 TIQ975478 TSM975478 UCI975478 UME975478 UWA975478 VFW975478 VPS975478 VZO975478 WJK975478 WTG975478 XDC975478 GU1041014 QQ1041014 AAM1041014 AKI1041014 AUE1041014 BEA1041014 BNW1041014 BXS1041014 CHO1041014 CRK1041014 DBG1041014 DLC1041014 DUY1041014 EEU1041014 EOQ1041014 EYM1041014 FII1041014 FSE1041014 GCA1041014 GLW1041014 GVS1041014 HFO1041014 HPK1041014 HZG1041014 IJC1041014 ISY1041014 JCU1041014 JMQ1041014 JWM1041014 KGI1041014 KQE1041014 LAA1041014 LJW1041014 LTS1041014 MDO1041014 MNK1041014 MXG1041014 NHC1041014 NQY1041014 OAU1041014 OKQ1041014 OUM1041014 PEI1041014 POE1041014 PYA1041014 QHW1041014 QRS1041014 RBO1041014 RLK1041014 RVG1041014 SFC1041014 SOY1041014 SYU1041014 TIQ1041014 TSM1041014 UCI1041014 UME1041014 UWA1041014 VFW1041014 VPS1041014 VZO1041014 WJK1041014 WTG1041014 XDC1041014" xr:uid="{37D6ACE7-6BCF-4239-8954-D5255118EDC9}">
      <formula1>"Reporting Period"</formula1>
    </dataValidation>
    <dataValidation type="custom" showInputMessage="1" showErrorMessage="1" sqref="C9 IY9 SU9 ACQ9 AMM9 AWI9 BGE9 BQA9 BZW9 CJS9 CTO9 DDK9 DNG9 DXC9 EGY9 EQU9 FAQ9 FKM9 FUI9 GEE9 GOA9 GXW9 HHS9 HRO9 IBK9 ILG9 IVC9 JEY9 JOU9 JYQ9 KIM9 KSI9 LCE9 LMA9 LVW9 MFS9 MPO9 MZK9 NJG9 NTC9 OCY9 OMU9 OWQ9 PGM9 PQI9 QAE9 QKA9 QTW9 RDS9 RNO9 RXK9 SHG9 SRC9 TAY9 TKU9 TUQ9 UEM9 UOI9 UYE9 VIA9 VRW9 WBS9 WLO9 WVK9 C65544 IY65544 SU65544 ACQ65544 AMM65544 AWI65544 BGE65544 BQA65544 BZW65544 CJS65544 CTO65544 DDK65544 DNG65544 DXC65544 EGY65544 EQU65544 FAQ65544 FKM65544 FUI65544 GEE65544 GOA65544 GXW65544 HHS65544 HRO65544 IBK65544 ILG65544 IVC65544 JEY65544 JOU65544 JYQ65544 KIM65544 KSI65544 LCE65544 LMA65544 LVW65544 MFS65544 MPO65544 MZK65544 NJG65544 NTC65544 OCY65544 OMU65544 OWQ65544 PGM65544 PQI65544 QAE65544 QKA65544 QTW65544 RDS65544 RNO65544 RXK65544 SHG65544 SRC65544 TAY65544 TKU65544 TUQ65544 UEM65544 UOI65544 UYE65544 VIA65544 VRW65544 WBS65544 WLO65544 WVK65544 C131080 IY131080 SU131080 ACQ131080 AMM131080 AWI131080 BGE131080 BQA131080 BZW131080 CJS131080 CTO131080 DDK131080 DNG131080 DXC131080 EGY131080 EQU131080 FAQ131080 FKM131080 FUI131080 GEE131080 GOA131080 GXW131080 HHS131080 HRO131080 IBK131080 ILG131080 IVC131080 JEY131080 JOU131080 JYQ131080 KIM131080 KSI131080 LCE131080 LMA131080 LVW131080 MFS131080 MPO131080 MZK131080 NJG131080 NTC131080 OCY131080 OMU131080 OWQ131080 PGM131080 PQI131080 QAE131080 QKA131080 QTW131080 RDS131080 RNO131080 RXK131080 SHG131080 SRC131080 TAY131080 TKU131080 TUQ131080 UEM131080 UOI131080 UYE131080 VIA131080 VRW131080 WBS131080 WLO131080 WVK131080 C196616 IY196616 SU196616 ACQ196616 AMM196616 AWI196616 BGE196616 BQA196616 BZW196616 CJS196616 CTO196616 DDK196616 DNG196616 DXC196616 EGY196616 EQU196616 FAQ196616 FKM196616 FUI196616 GEE196616 GOA196616 GXW196616 HHS196616 HRO196616 IBK196616 ILG196616 IVC196616 JEY196616 JOU196616 JYQ196616 KIM196616 KSI196616 LCE196616 LMA196616 LVW196616 MFS196616 MPO196616 MZK196616 NJG196616 NTC196616 OCY196616 OMU196616 OWQ196616 PGM196616 PQI196616 QAE196616 QKA196616 QTW196616 RDS196616 RNO196616 RXK196616 SHG196616 SRC196616 TAY196616 TKU196616 TUQ196616 UEM196616 UOI196616 UYE196616 VIA196616 VRW196616 WBS196616 WLO196616 WVK196616 C262152 IY262152 SU262152 ACQ262152 AMM262152 AWI262152 BGE262152 BQA262152 BZW262152 CJS262152 CTO262152 DDK262152 DNG262152 DXC262152 EGY262152 EQU262152 FAQ262152 FKM262152 FUI262152 GEE262152 GOA262152 GXW262152 HHS262152 HRO262152 IBK262152 ILG262152 IVC262152 JEY262152 JOU262152 JYQ262152 KIM262152 KSI262152 LCE262152 LMA262152 LVW262152 MFS262152 MPO262152 MZK262152 NJG262152 NTC262152 OCY262152 OMU262152 OWQ262152 PGM262152 PQI262152 QAE262152 QKA262152 QTW262152 RDS262152 RNO262152 RXK262152 SHG262152 SRC262152 TAY262152 TKU262152 TUQ262152 UEM262152 UOI262152 UYE262152 VIA262152 VRW262152 WBS262152 WLO262152 WVK262152 C327688 IY327688 SU327688 ACQ327688 AMM327688 AWI327688 BGE327688 BQA327688 BZW327688 CJS327688 CTO327688 DDK327688 DNG327688 DXC327688 EGY327688 EQU327688 FAQ327688 FKM327688 FUI327688 GEE327688 GOA327688 GXW327688 HHS327688 HRO327688 IBK327688 ILG327688 IVC327688 JEY327688 JOU327688 JYQ327688 KIM327688 KSI327688 LCE327688 LMA327688 LVW327688 MFS327688 MPO327688 MZK327688 NJG327688 NTC327688 OCY327688 OMU327688 OWQ327688 PGM327688 PQI327688 QAE327688 QKA327688 QTW327688 RDS327688 RNO327688 RXK327688 SHG327688 SRC327688 TAY327688 TKU327688 TUQ327688 UEM327688 UOI327688 UYE327688 VIA327688 VRW327688 WBS327688 WLO327688 WVK327688 C393224 IY393224 SU393224 ACQ393224 AMM393224 AWI393224 BGE393224 BQA393224 BZW393224 CJS393224 CTO393224 DDK393224 DNG393224 DXC393224 EGY393224 EQU393224 FAQ393224 FKM393224 FUI393224 GEE393224 GOA393224 GXW393224 HHS393224 HRO393224 IBK393224 ILG393224 IVC393224 JEY393224 JOU393224 JYQ393224 KIM393224 KSI393224 LCE393224 LMA393224 LVW393224 MFS393224 MPO393224 MZK393224 NJG393224 NTC393224 OCY393224 OMU393224 OWQ393224 PGM393224 PQI393224 QAE393224 QKA393224 QTW393224 RDS393224 RNO393224 RXK393224 SHG393224 SRC393224 TAY393224 TKU393224 TUQ393224 UEM393224 UOI393224 UYE393224 VIA393224 VRW393224 WBS393224 WLO393224 WVK393224 C458760 IY458760 SU458760 ACQ458760 AMM458760 AWI458760 BGE458760 BQA458760 BZW458760 CJS458760 CTO458760 DDK458760 DNG458760 DXC458760 EGY458760 EQU458760 FAQ458760 FKM458760 FUI458760 GEE458760 GOA458760 GXW458760 HHS458760 HRO458760 IBK458760 ILG458760 IVC458760 JEY458760 JOU458760 JYQ458760 KIM458760 KSI458760 LCE458760 LMA458760 LVW458760 MFS458760 MPO458760 MZK458760 NJG458760 NTC458760 OCY458760 OMU458760 OWQ458760 PGM458760 PQI458760 QAE458760 QKA458760 QTW458760 RDS458760 RNO458760 RXK458760 SHG458760 SRC458760 TAY458760 TKU458760 TUQ458760 UEM458760 UOI458760 UYE458760 VIA458760 VRW458760 WBS458760 WLO458760 WVK458760 C524296 IY524296 SU524296 ACQ524296 AMM524296 AWI524296 BGE524296 BQA524296 BZW524296 CJS524296 CTO524296 DDK524296 DNG524296 DXC524296 EGY524296 EQU524296 FAQ524296 FKM524296 FUI524296 GEE524296 GOA524296 GXW524296 HHS524296 HRO524296 IBK524296 ILG524296 IVC524296 JEY524296 JOU524296 JYQ524296 KIM524296 KSI524296 LCE524296 LMA524296 LVW524296 MFS524296 MPO524296 MZK524296 NJG524296 NTC524296 OCY524296 OMU524296 OWQ524296 PGM524296 PQI524296 QAE524296 QKA524296 QTW524296 RDS524296 RNO524296 RXK524296 SHG524296 SRC524296 TAY524296 TKU524296 TUQ524296 UEM524296 UOI524296 UYE524296 VIA524296 VRW524296 WBS524296 WLO524296 WVK524296 C589832 IY589832 SU589832 ACQ589832 AMM589832 AWI589832 BGE589832 BQA589832 BZW589832 CJS589832 CTO589832 DDK589832 DNG589832 DXC589832 EGY589832 EQU589832 FAQ589832 FKM589832 FUI589832 GEE589832 GOA589832 GXW589832 HHS589832 HRO589832 IBK589832 ILG589832 IVC589832 JEY589832 JOU589832 JYQ589832 KIM589832 KSI589832 LCE589832 LMA589832 LVW589832 MFS589832 MPO589832 MZK589832 NJG589832 NTC589832 OCY589832 OMU589832 OWQ589832 PGM589832 PQI589832 QAE589832 QKA589832 QTW589832 RDS589832 RNO589832 RXK589832 SHG589832 SRC589832 TAY589832 TKU589832 TUQ589832 UEM589832 UOI589832 UYE589832 VIA589832 VRW589832 WBS589832 WLO589832 WVK589832 C655368 IY655368 SU655368 ACQ655368 AMM655368 AWI655368 BGE655368 BQA655368 BZW655368 CJS655368 CTO655368 DDK655368 DNG655368 DXC655368 EGY655368 EQU655368 FAQ655368 FKM655368 FUI655368 GEE655368 GOA655368 GXW655368 HHS655368 HRO655368 IBK655368 ILG655368 IVC655368 JEY655368 JOU655368 JYQ655368 KIM655368 KSI655368 LCE655368 LMA655368 LVW655368 MFS655368 MPO655368 MZK655368 NJG655368 NTC655368 OCY655368 OMU655368 OWQ655368 PGM655368 PQI655368 QAE655368 QKA655368 QTW655368 RDS655368 RNO655368 RXK655368 SHG655368 SRC655368 TAY655368 TKU655368 TUQ655368 UEM655368 UOI655368 UYE655368 VIA655368 VRW655368 WBS655368 WLO655368 WVK655368 C720904 IY720904 SU720904 ACQ720904 AMM720904 AWI720904 BGE720904 BQA720904 BZW720904 CJS720904 CTO720904 DDK720904 DNG720904 DXC720904 EGY720904 EQU720904 FAQ720904 FKM720904 FUI720904 GEE720904 GOA720904 GXW720904 HHS720904 HRO720904 IBK720904 ILG720904 IVC720904 JEY720904 JOU720904 JYQ720904 KIM720904 KSI720904 LCE720904 LMA720904 LVW720904 MFS720904 MPO720904 MZK720904 NJG720904 NTC720904 OCY720904 OMU720904 OWQ720904 PGM720904 PQI720904 QAE720904 QKA720904 QTW720904 RDS720904 RNO720904 RXK720904 SHG720904 SRC720904 TAY720904 TKU720904 TUQ720904 UEM720904 UOI720904 UYE720904 VIA720904 VRW720904 WBS720904 WLO720904 WVK720904 C786440 IY786440 SU786440 ACQ786440 AMM786440 AWI786440 BGE786440 BQA786440 BZW786440 CJS786440 CTO786440 DDK786440 DNG786440 DXC786440 EGY786440 EQU786440 FAQ786440 FKM786440 FUI786440 GEE786440 GOA786440 GXW786440 HHS786440 HRO786440 IBK786440 ILG786440 IVC786440 JEY786440 JOU786440 JYQ786440 KIM786440 KSI786440 LCE786440 LMA786440 LVW786440 MFS786440 MPO786440 MZK786440 NJG786440 NTC786440 OCY786440 OMU786440 OWQ786440 PGM786440 PQI786440 QAE786440 QKA786440 QTW786440 RDS786440 RNO786440 RXK786440 SHG786440 SRC786440 TAY786440 TKU786440 TUQ786440 UEM786440 UOI786440 UYE786440 VIA786440 VRW786440 WBS786440 WLO786440 WVK786440 C851976 IY851976 SU851976 ACQ851976 AMM851976 AWI851976 BGE851976 BQA851976 BZW851976 CJS851976 CTO851976 DDK851976 DNG851976 DXC851976 EGY851976 EQU851976 FAQ851976 FKM851976 FUI851976 GEE851976 GOA851976 GXW851976 HHS851976 HRO851976 IBK851976 ILG851976 IVC851976 JEY851976 JOU851976 JYQ851976 KIM851976 KSI851976 LCE851976 LMA851976 LVW851976 MFS851976 MPO851976 MZK851976 NJG851976 NTC851976 OCY851976 OMU851976 OWQ851976 PGM851976 PQI851976 QAE851976 QKA851976 QTW851976 RDS851976 RNO851976 RXK851976 SHG851976 SRC851976 TAY851976 TKU851976 TUQ851976 UEM851976 UOI851976 UYE851976 VIA851976 VRW851976 WBS851976 WLO851976 WVK851976 C917512 IY917512 SU917512 ACQ917512 AMM917512 AWI917512 BGE917512 BQA917512 BZW917512 CJS917512 CTO917512 DDK917512 DNG917512 DXC917512 EGY917512 EQU917512 FAQ917512 FKM917512 FUI917512 GEE917512 GOA917512 GXW917512 HHS917512 HRO917512 IBK917512 ILG917512 IVC917512 JEY917512 JOU917512 JYQ917512 KIM917512 KSI917512 LCE917512 LMA917512 LVW917512 MFS917512 MPO917512 MZK917512 NJG917512 NTC917512 OCY917512 OMU917512 OWQ917512 PGM917512 PQI917512 QAE917512 QKA917512 QTW917512 RDS917512 RNO917512 RXK917512 SHG917512 SRC917512 TAY917512 TKU917512 TUQ917512 UEM917512 UOI917512 UYE917512 VIA917512 VRW917512 WBS917512 WLO917512 WVK917512 C983048 IY983048 SU983048 ACQ983048 AMM983048 AWI983048 BGE983048 BQA983048 BZW983048 CJS983048 CTO983048 DDK983048 DNG983048 DXC983048 EGY983048 EQU983048 FAQ983048 FKM983048 FUI983048 GEE983048 GOA983048 GXW983048 HHS983048 HRO983048 IBK983048 ILG983048 IVC983048 JEY983048 JOU983048 JYQ983048 KIM983048 KSI983048 LCE983048 LMA983048 LVW983048 MFS983048 MPO983048 MZK983048 NJG983048 NTC983048 OCY983048 OMU983048 OWQ983048 PGM983048 PQI983048 QAE983048 QKA983048 QTW983048 RDS983048 RNO983048 RXK983048 SHG983048 SRC983048 TAY983048 TKU983048 TUQ983048 UEM983048 UOI983048 UYE983048 VIA983048 VRW983048 WBS983048 WLO983048 WVK983048 GU9 QQ9 AAM9 AKI9 AUE9 BEA9 BNW9 BXS9 CHO9 CRK9 DBG9 DLC9 DUY9 EEU9 EOQ9 EYM9 FII9 FSE9 GCA9 GLW9 GVS9 HFO9 HPK9 HZG9 IJC9 ISY9 JCU9 JMQ9 JWM9 KGI9 KQE9 LAA9 LJW9 LTS9 MDO9 MNK9 MXG9 NHC9 NQY9 OAU9 OKQ9 OUM9 PEI9 POE9 PYA9 QHW9 QRS9 RBO9 RLK9 RVG9 SFC9 SOY9 SYU9 TIQ9 TSM9 UCI9 UME9 UWA9 VFW9 VPS9 VZO9 WJK9 WTG9 XDC9 GU65544 QQ65544 AAM65544 AKI65544 AUE65544 BEA65544 BNW65544 BXS65544 CHO65544 CRK65544 DBG65544 DLC65544 DUY65544 EEU65544 EOQ65544 EYM65544 FII65544 FSE65544 GCA65544 GLW65544 GVS65544 HFO65544 HPK65544 HZG65544 IJC65544 ISY65544 JCU65544 JMQ65544 JWM65544 KGI65544 KQE65544 LAA65544 LJW65544 LTS65544 MDO65544 MNK65544 MXG65544 NHC65544 NQY65544 OAU65544 OKQ65544 OUM65544 PEI65544 POE65544 PYA65544 QHW65544 QRS65544 RBO65544 RLK65544 RVG65544 SFC65544 SOY65544 SYU65544 TIQ65544 TSM65544 UCI65544 UME65544 UWA65544 VFW65544 VPS65544 VZO65544 WJK65544 WTG65544 XDC65544 GU131080 QQ131080 AAM131080 AKI131080 AUE131080 BEA131080 BNW131080 BXS131080 CHO131080 CRK131080 DBG131080 DLC131080 DUY131080 EEU131080 EOQ131080 EYM131080 FII131080 FSE131080 GCA131080 GLW131080 GVS131080 HFO131080 HPK131080 HZG131080 IJC131080 ISY131080 JCU131080 JMQ131080 JWM131080 KGI131080 KQE131080 LAA131080 LJW131080 LTS131080 MDO131080 MNK131080 MXG131080 NHC131080 NQY131080 OAU131080 OKQ131080 OUM131080 PEI131080 POE131080 PYA131080 QHW131080 QRS131080 RBO131080 RLK131080 RVG131080 SFC131080 SOY131080 SYU131080 TIQ131080 TSM131080 UCI131080 UME131080 UWA131080 VFW131080 VPS131080 VZO131080 WJK131080 WTG131080 XDC131080 GU196616 QQ196616 AAM196616 AKI196616 AUE196616 BEA196616 BNW196616 BXS196616 CHO196616 CRK196616 DBG196616 DLC196616 DUY196616 EEU196616 EOQ196616 EYM196616 FII196616 FSE196616 GCA196616 GLW196616 GVS196616 HFO196616 HPK196616 HZG196616 IJC196616 ISY196616 JCU196616 JMQ196616 JWM196616 KGI196616 KQE196616 LAA196616 LJW196616 LTS196616 MDO196616 MNK196616 MXG196616 NHC196616 NQY196616 OAU196616 OKQ196616 OUM196616 PEI196616 POE196616 PYA196616 QHW196616 QRS196616 RBO196616 RLK196616 RVG196616 SFC196616 SOY196616 SYU196616 TIQ196616 TSM196616 UCI196616 UME196616 UWA196616 VFW196616 VPS196616 VZO196616 WJK196616 WTG196616 XDC196616 GU262152 QQ262152 AAM262152 AKI262152 AUE262152 BEA262152 BNW262152 BXS262152 CHO262152 CRK262152 DBG262152 DLC262152 DUY262152 EEU262152 EOQ262152 EYM262152 FII262152 FSE262152 GCA262152 GLW262152 GVS262152 HFO262152 HPK262152 HZG262152 IJC262152 ISY262152 JCU262152 JMQ262152 JWM262152 KGI262152 KQE262152 LAA262152 LJW262152 LTS262152 MDO262152 MNK262152 MXG262152 NHC262152 NQY262152 OAU262152 OKQ262152 OUM262152 PEI262152 POE262152 PYA262152 QHW262152 QRS262152 RBO262152 RLK262152 RVG262152 SFC262152 SOY262152 SYU262152 TIQ262152 TSM262152 UCI262152 UME262152 UWA262152 VFW262152 VPS262152 VZO262152 WJK262152 WTG262152 XDC262152 GU327688 QQ327688 AAM327688 AKI327688 AUE327688 BEA327688 BNW327688 BXS327688 CHO327688 CRK327688 DBG327688 DLC327688 DUY327688 EEU327688 EOQ327688 EYM327688 FII327688 FSE327688 GCA327688 GLW327688 GVS327688 HFO327688 HPK327688 HZG327688 IJC327688 ISY327688 JCU327688 JMQ327688 JWM327688 KGI327688 KQE327688 LAA327688 LJW327688 LTS327688 MDO327688 MNK327688 MXG327688 NHC327688 NQY327688 OAU327688 OKQ327688 OUM327688 PEI327688 POE327688 PYA327688 QHW327688 QRS327688 RBO327688 RLK327688 RVG327688 SFC327688 SOY327688 SYU327688 TIQ327688 TSM327688 UCI327688 UME327688 UWA327688 VFW327688 VPS327688 VZO327688 WJK327688 WTG327688 XDC327688 GU393224 QQ393224 AAM393224 AKI393224 AUE393224 BEA393224 BNW393224 BXS393224 CHO393224 CRK393224 DBG393224 DLC393224 DUY393224 EEU393224 EOQ393224 EYM393224 FII393224 FSE393224 GCA393224 GLW393224 GVS393224 HFO393224 HPK393224 HZG393224 IJC393224 ISY393224 JCU393224 JMQ393224 JWM393224 KGI393224 KQE393224 LAA393224 LJW393224 LTS393224 MDO393224 MNK393224 MXG393224 NHC393224 NQY393224 OAU393224 OKQ393224 OUM393224 PEI393224 POE393224 PYA393224 QHW393224 QRS393224 RBO393224 RLK393224 RVG393224 SFC393224 SOY393224 SYU393224 TIQ393224 TSM393224 UCI393224 UME393224 UWA393224 VFW393224 VPS393224 VZO393224 WJK393224 WTG393224 XDC393224 GU458760 QQ458760 AAM458760 AKI458760 AUE458760 BEA458760 BNW458760 BXS458760 CHO458760 CRK458760 DBG458760 DLC458760 DUY458760 EEU458760 EOQ458760 EYM458760 FII458760 FSE458760 GCA458760 GLW458760 GVS458760 HFO458760 HPK458760 HZG458760 IJC458760 ISY458760 JCU458760 JMQ458760 JWM458760 KGI458760 KQE458760 LAA458760 LJW458760 LTS458760 MDO458760 MNK458760 MXG458760 NHC458760 NQY458760 OAU458760 OKQ458760 OUM458760 PEI458760 POE458760 PYA458760 QHW458760 QRS458760 RBO458760 RLK458760 RVG458760 SFC458760 SOY458760 SYU458760 TIQ458760 TSM458760 UCI458760 UME458760 UWA458760 VFW458760 VPS458760 VZO458760 WJK458760 WTG458760 XDC458760 GU524296 QQ524296 AAM524296 AKI524296 AUE524296 BEA524296 BNW524296 BXS524296 CHO524296 CRK524296 DBG524296 DLC524296 DUY524296 EEU524296 EOQ524296 EYM524296 FII524296 FSE524296 GCA524296 GLW524296 GVS524296 HFO524296 HPK524296 HZG524296 IJC524296 ISY524296 JCU524296 JMQ524296 JWM524296 KGI524296 KQE524296 LAA524296 LJW524296 LTS524296 MDO524296 MNK524296 MXG524296 NHC524296 NQY524296 OAU524296 OKQ524296 OUM524296 PEI524296 POE524296 PYA524296 QHW524296 QRS524296 RBO524296 RLK524296 RVG524296 SFC524296 SOY524296 SYU524296 TIQ524296 TSM524296 UCI524296 UME524296 UWA524296 VFW524296 VPS524296 VZO524296 WJK524296 WTG524296 XDC524296 GU589832 QQ589832 AAM589832 AKI589832 AUE589832 BEA589832 BNW589832 BXS589832 CHO589832 CRK589832 DBG589832 DLC589832 DUY589832 EEU589832 EOQ589832 EYM589832 FII589832 FSE589832 GCA589832 GLW589832 GVS589832 HFO589832 HPK589832 HZG589832 IJC589832 ISY589832 JCU589832 JMQ589832 JWM589832 KGI589832 KQE589832 LAA589832 LJW589832 LTS589832 MDO589832 MNK589832 MXG589832 NHC589832 NQY589832 OAU589832 OKQ589832 OUM589832 PEI589832 POE589832 PYA589832 QHW589832 QRS589832 RBO589832 RLK589832 RVG589832 SFC589832 SOY589832 SYU589832 TIQ589832 TSM589832 UCI589832 UME589832 UWA589832 VFW589832 VPS589832 VZO589832 WJK589832 WTG589832 XDC589832 GU655368 QQ655368 AAM655368 AKI655368 AUE655368 BEA655368 BNW655368 BXS655368 CHO655368 CRK655368 DBG655368 DLC655368 DUY655368 EEU655368 EOQ655368 EYM655368 FII655368 FSE655368 GCA655368 GLW655368 GVS655368 HFO655368 HPK655368 HZG655368 IJC655368 ISY655368 JCU655368 JMQ655368 JWM655368 KGI655368 KQE655368 LAA655368 LJW655368 LTS655368 MDO655368 MNK655368 MXG655368 NHC655368 NQY655368 OAU655368 OKQ655368 OUM655368 PEI655368 POE655368 PYA655368 QHW655368 QRS655368 RBO655368 RLK655368 RVG655368 SFC655368 SOY655368 SYU655368 TIQ655368 TSM655368 UCI655368 UME655368 UWA655368 VFW655368 VPS655368 VZO655368 WJK655368 WTG655368 XDC655368 GU720904 QQ720904 AAM720904 AKI720904 AUE720904 BEA720904 BNW720904 BXS720904 CHO720904 CRK720904 DBG720904 DLC720904 DUY720904 EEU720904 EOQ720904 EYM720904 FII720904 FSE720904 GCA720904 GLW720904 GVS720904 HFO720904 HPK720904 HZG720904 IJC720904 ISY720904 JCU720904 JMQ720904 JWM720904 KGI720904 KQE720904 LAA720904 LJW720904 LTS720904 MDO720904 MNK720904 MXG720904 NHC720904 NQY720904 OAU720904 OKQ720904 OUM720904 PEI720904 POE720904 PYA720904 QHW720904 QRS720904 RBO720904 RLK720904 RVG720904 SFC720904 SOY720904 SYU720904 TIQ720904 TSM720904 UCI720904 UME720904 UWA720904 VFW720904 VPS720904 VZO720904 WJK720904 WTG720904 XDC720904 GU786440 QQ786440 AAM786440 AKI786440 AUE786440 BEA786440 BNW786440 BXS786440 CHO786440 CRK786440 DBG786440 DLC786440 DUY786440 EEU786440 EOQ786440 EYM786440 FII786440 FSE786440 GCA786440 GLW786440 GVS786440 HFO786440 HPK786440 HZG786440 IJC786440 ISY786440 JCU786440 JMQ786440 JWM786440 KGI786440 KQE786440 LAA786440 LJW786440 LTS786440 MDO786440 MNK786440 MXG786440 NHC786440 NQY786440 OAU786440 OKQ786440 OUM786440 PEI786440 POE786440 PYA786440 QHW786440 QRS786440 RBO786440 RLK786440 RVG786440 SFC786440 SOY786440 SYU786440 TIQ786440 TSM786440 UCI786440 UME786440 UWA786440 VFW786440 VPS786440 VZO786440 WJK786440 WTG786440 XDC786440 GU851976 QQ851976 AAM851976 AKI851976 AUE851976 BEA851976 BNW851976 BXS851976 CHO851976 CRK851976 DBG851976 DLC851976 DUY851976 EEU851976 EOQ851976 EYM851976 FII851976 FSE851976 GCA851976 GLW851976 GVS851976 HFO851976 HPK851976 HZG851976 IJC851976 ISY851976 JCU851976 JMQ851976 JWM851976 KGI851976 KQE851976 LAA851976 LJW851976 LTS851976 MDO851976 MNK851976 MXG851976 NHC851976 NQY851976 OAU851976 OKQ851976 OUM851976 PEI851976 POE851976 PYA851976 QHW851976 QRS851976 RBO851976 RLK851976 RVG851976 SFC851976 SOY851976 SYU851976 TIQ851976 TSM851976 UCI851976 UME851976 UWA851976 VFW851976 VPS851976 VZO851976 WJK851976 WTG851976 XDC851976 GU917512 QQ917512 AAM917512 AKI917512 AUE917512 BEA917512 BNW917512 BXS917512 CHO917512 CRK917512 DBG917512 DLC917512 DUY917512 EEU917512 EOQ917512 EYM917512 FII917512 FSE917512 GCA917512 GLW917512 GVS917512 HFO917512 HPK917512 HZG917512 IJC917512 ISY917512 JCU917512 JMQ917512 JWM917512 KGI917512 KQE917512 LAA917512 LJW917512 LTS917512 MDO917512 MNK917512 MXG917512 NHC917512 NQY917512 OAU917512 OKQ917512 OUM917512 PEI917512 POE917512 PYA917512 QHW917512 QRS917512 RBO917512 RLK917512 RVG917512 SFC917512 SOY917512 SYU917512 TIQ917512 TSM917512 UCI917512 UME917512 UWA917512 VFW917512 VPS917512 VZO917512 WJK917512 WTG917512 XDC917512 GU983048 QQ983048 AAM983048 AKI983048 AUE983048 BEA983048 BNW983048 BXS983048 CHO983048 CRK983048 DBG983048 DLC983048 DUY983048 EEU983048 EOQ983048 EYM983048 FII983048 FSE983048 GCA983048 GLW983048 GVS983048 HFO983048 HPK983048 HZG983048 IJC983048 ISY983048 JCU983048 JMQ983048 JWM983048 KGI983048 KQE983048 LAA983048 LJW983048 LTS983048 MDO983048 MNK983048 MXG983048 NHC983048 NQY983048 OAU983048 OKQ983048 OUM983048 PEI983048 POE983048 PYA983048 QHW983048 QRS983048 RBO983048 RLK983048 RVG983048 SFC983048 SOY983048 SYU983048 TIQ983048 TSM983048 UCI983048 UME983048 UWA983048 VFW983048 VPS983048 VZO983048 WJK983048 WTG983048 XDC983048 C57975 IY57975 SU57975 ACQ57975 AMM57975 AWI57975 BGE57975 BQA57975 BZW57975 CJS57975 CTO57975 DDK57975 DNG57975 DXC57975 EGY57975 EQU57975 FAQ57975 FKM57975 FUI57975 GEE57975 GOA57975 GXW57975 HHS57975 HRO57975 IBK57975 ILG57975 IVC57975 JEY57975 JOU57975 JYQ57975 KIM57975 KSI57975 LCE57975 LMA57975 LVW57975 MFS57975 MPO57975 MZK57975 NJG57975 NTC57975 OCY57975 OMU57975 OWQ57975 PGM57975 PQI57975 QAE57975 QKA57975 QTW57975 RDS57975 RNO57975 RXK57975 SHG57975 SRC57975 TAY57975 TKU57975 TUQ57975 UEM57975 UOI57975 UYE57975 VIA57975 VRW57975 WBS57975 WLO57975 WVK57975 C123511 IY123511 SU123511 ACQ123511 AMM123511 AWI123511 BGE123511 BQA123511 BZW123511 CJS123511 CTO123511 DDK123511 DNG123511 DXC123511 EGY123511 EQU123511 FAQ123511 FKM123511 FUI123511 GEE123511 GOA123511 GXW123511 HHS123511 HRO123511 IBK123511 ILG123511 IVC123511 JEY123511 JOU123511 JYQ123511 KIM123511 KSI123511 LCE123511 LMA123511 LVW123511 MFS123511 MPO123511 MZK123511 NJG123511 NTC123511 OCY123511 OMU123511 OWQ123511 PGM123511 PQI123511 QAE123511 QKA123511 QTW123511 RDS123511 RNO123511 RXK123511 SHG123511 SRC123511 TAY123511 TKU123511 TUQ123511 UEM123511 UOI123511 UYE123511 VIA123511 VRW123511 WBS123511 WLO123511 WVK123511 C189047 IY189047 SU189047 ACQ189047 AMM189047 AWI189047 BGE189047 BQA189047 BZW189047 CJS189047 CTO189047 DDK189047 DNG189047 DXC189047 EGY189047 EQU189047 FAQ189047 FKM189047 FUI189047 GEE189047 GOA189047 GXW189047 HHS189047 HRO189047 IBK189047 ILG189047 IVC189047 JEY189047 JOU189047 JYQ189047 KIM189047 KSI189047 LCE189047 LMA189047 LVW189047 MFS189047 MPO189047 MZK189047 NJG189047 NTC189047 OCY189047 OMU189047 OWQ189047 PGM189047 PQI189047 QAE189047 QKA189047 QTW189047 RDS189047 RNO189047 RXK189047 SHG189047 SRC189047 TAY189047 TKU189047 TUQ189047 UEM189047 UOI189047 UYE189047 VIA189047 VRW189047 WBS189047 WLO189047 WVK189047 C254583 IY254583 SU254583 ACQ254583 AMM254583 AWI254583 BGE254583 BQA254583 BZW254583 CJS254583 CTO254583 DDK254583 DNG254583 DXC254583 EGY254583 EQU254583 FAQ254583 FKM254583 FUI254583 GEE254583 GOA254583 GXW254583 HHS254583 HRO254583 IBK254583 ILG254583 IVC254583 JEY254583 JOU254583 JYQ254583 KIM254583 KSI254583 LCE254583 LMA254583 LVW254583 MFS254583 MPO254583 MZK254583 NJG254583 NTC254583 OCY254583 OMU254583 OWQ254583 PGM254583 PQI254583 QAE254583 QKA254583 QTW254583 RDS254583 RNO254583 RXK254583 SHG254583 SRC254583 TAY254583 TKU254583 TUQ254583 UEM254583 UOI254583 UYE254583 VIA254583 VRW254583 WBS254583 WLO254583 WVK254583 C320119 IY320119 SU320119 ACQ320119 AMM320119 AWI320119 BGE320119 BQA320119 BZW320119 CJS320119 CTO320119 DDK320119 DNG320119 DXC320119 EGY320119 EQU320119 FAQ320119 FKM320119 FUI320119 GEE320119 GOA320119 GXW320119 HHS320119 HRO320119 IBK320119 ILG320119 IVC320119 JEY320119 JOU320119 JYQ320119 KIM320119 KSI320119 LCE320119 LMA320119 LVW320119 MFS320119 MPO320119 MZK320119 NJG320119 NTC320119 OCY320119 OMU320119 OWQ320119 PGM320119 PQI320119 QAE320119 QKA320119 QTW320119 RDS320119 RNO320119 RXK320119 SHG320119 SRC320119 TAY320119 TKU320119 TUQ320119 UEM320119 UOI320119 UYE320119 VIA320119 VRW320119 WBS320119 WLO320119 WVK320119 C385655 IY385655 SU385655 ACQ385655 AMM385655 AWI385655 BGE385655 BQA385655 BZW385655 CJS385655 CTO385655 DDK385655 DNG385655 DXC385655 EGY385655 EQU385655 FAQ385655 FKM385655 FUI385655 GEE385655 GOA385655 GXW385655 HHS385655 HRO385655 IBK385655 ILG385655 IVC385655 JEY385655 JOU385655 JYQ385655 KIM385655 KSI385655 LCE385655 LMA385655 LVW385655 MFS385655 MPO385655 MZK385655 NJG385655 NTC385655 OCY385655 OMU385655 OWQ385655 PGM385655 PQI385655 QAE385655 QKA385655 QTW385655 RDS385655 RNO385655 RXK385655 SHG385655 SRC385655 TAY385655 TKU385655 TUQ385655 UEM385655 UOI385655 UYE385655 VIA385655 VRW385655 WBS385655 WLO385655 WVK385655 C451191 IY451191 SU451191 ACQ451191 AMM451191 AWI451191 BGE451191 BQA451191 BZW451191 CJS451191 CTO451191 DDK451191 DNG451191 DXC451191 EGY451191 EQU451191 FAQ451191 FKM451191 FUI451191 GEE451191 GOA451191 GXW451191 HHS451191 HRO451191 IBK451191 ILG451191 IVC451191 JEY451191 JOU451191 JYQ451191 KIM451191 KSI451191 LCE451191 LMA451191 LVW451191 MFS451191 MPO451191 MZK451191 NJG451191 NTC451191 OCY451191 OMU451191 OWQ451191 PGM451191 PQI451191 QAE451191 QKA451191 QTW451191 RDS451191 RNO451191 RXK451191 SHG451191 SRC451191 TAY451191 TKU451191 TUQ451191 UEM451191 UOI451191 UYE451191 VIA451191 VRW451191 WBS451191 WLO451191 WVK451191 C516727 IY516727 SU516727 ACQ516727 AMM516727 AWI516727 BGE516727 BQA516727 BZW516727 CJS516727 CTO516727 DDK516727 DNG516727 DXC516727 EGY516727 EQU516727 FAQ516727 FKM516727 FUI516727 GEE516727 GOA516727 GXW516727 HHS516727 HRO516727 IBK516727 ILG516727 IVC516727 JEY516727 JOU516727 JYQ516727 KIM516727 KSI516727 LCE516727 LMA516727 LVW516727 MFS516727 MPO516727 MZK516727 NJG516727 NTC516727 OCY516727 OMU516727 OWQ516727 PGM516727 PQI516727 QAE516727 QKA516727 QTW516727 RDS516727 RNO516727 RXK516727 SHG516727 SRC516727 TAY516727 TKU516727 TUQ516727 UEM516727 UOI516727 UYE516727 VIA516727 VRW516727 WBS516727 WLO516727 WVK516727 C582263 IY582263 SU582263 ACQ582263 AMM582263 AWI582263 BGE582263 BQA582263 BZW582263 CJS582263 CTO582263 DDK582263 DNG582263 DXC582263 EGY582263 EQU582263 FAQ582263 FKM582263 FUI582263 GEE582263 GOA582263 GXW582263 HHS582263 HRO582263 IBK582263 ILG582263 IVC582263 JEY582263 JOU582263 JYQ582263 KIM582263 KSI582263 LCE582263 LMA582263 LVW582263 MFS582263 MPO582263 MZK582263 NJG582263 NTC582263 OCY582263 OMU582263 OWQ582263 PGM582263 PQI582263 QAE582263 QKA582263 QTW582263 RDS582263 RNO582263 RXK582263 SHG582263 SRC582263 TAY582263 TKU582263 TUQ582263 UEM582263 UOI582263 UYE582263 VIA582263 VRW582263 WBS582263 WLO582263 WVK582263 C647799 IY647799 SU647799 ACQ647799 AMM647799 AWI647799 BGE647799 BQA647799 BZW647799 CJS647799 CTO647799 DDK647799 DNG647799 DXC647799 EGY647799 EQU647799 FAQ647799 FKM647799 FUI647799 GEE647799 GOA647799 GXW647799 HHS647799 HRO647799 IBK647799 ILG647799 IVC647799 JEY647799 JOU647799 JYQ647799 KIM647799 KSI647799 LCE647799 LMA647799 LVW647799 MFS647799 MPO647799 MZK647799 NJG647799 NTC647799 OCY647799 OMU647799 OWQ647799 PGM647799 PQI647799 QAE647799 QKA647799 QTW647799 RDS647799 RNO647799 RXK647799 SHG647799 SRC647799 TAY647799 TKU647799 TUQ647799 UEM647799 UOI647799 UYE647799 VIA647799 VRW647799 WBS647799 WLO647799 WVK647799 C713335 IY713335 SU713335 ACQ713335 AMM713335 AWI713335 BGE713335 BQA713335 BZW713335 CJS713335 CTO713335 DDK713335 DNG713335 DXC713335 EGY713335 EQU713335 FAQ713335 FKM713335 FUI713335 GEE713335 GOA713335 GXW713335 HHS713335 HRO713335 IBK713335 ILG713335 IVC713335 JEY713335 JOU713335 JYQ713335 KIM713335 KSI713335 LCE713335 LMA713335 LVW713335 MFS713335 MPO713335 MZK713335 NJG713335 NTC713335 OCY713335 OMU713335 OWQ713335 PGM713335 PQI713335 QAE713335 QKA713335 QTW713335 RDS713335 RNO713335 RXK713335 SHG713335 SRC713335 TAY713335 TKU713335 TUQ713335 UEM713335 UOI713335 UYE713335 VIA713335 VRW713335 WBS713335 WLO713335 WVK713335 C778871 IY778871 SU778871 ACQ778871 AMM778871 AWI778871 BGE778871 BQA778871 BZW778871 CJS778871 CTO778871 DDK778871 DNG778871 DXC778871 EGY778871 EQU778871 FAQ778871 FKM778871 FUI778871 GEE778871 GOA778871 GXW778871 HHS778871 HRO778871 IBK778871 ILG778871 IVC778871 JEY778871 JOU778871 JYQ778871 KIM778871 KSI778871 LCE778871 LMA778871 LVW778871 MFS778871 MPO778871 MZK778871 NJG778871 NTC778871 OCY778871 OMU778871 OWQ778871 PGM778871 PQI778871 QAE778871 QKA778871 QTW778871 RDS778871 RNO778871 RXK778871 SHG778871 SRC778871 TAY778871 TKU778871 TUQ778871 UEM778871 UOI778871 UYE778871 VIA778871 VRW778871 WBS778871 WLO778871 WVK778871 C844407 IY844407 SU844407 ACQ844407 AMM844407 AWI844407 BGE844407 BQA844407 BZW844407 CJS844407 CTO844407 DDK844407 DNG844407 DXC844407 EGY844407 EQU844407 FAQ844407 FKM844407 FUI844407 GEE844407 GOA844407 GXW844407 HHS844407 HRO844407 IBK844407 ILG844407 IVC844407 JEY844407 JOU844407 JYQ844407 KIM844407 KSI844407 LCE844407 LMA844407 LVW844407 MFS844407 MPO844407 MZK844407 NJG844407 NTC844407 OCY844407 OMU844407 OWQ844407 PGM844407 PQI844407 QAE844407 QKA844407 QTW844407 RDS844407 RNO844407 RXK844407 SHG844407 SRC844407 TAY844407 TKU844407 TUQ844407 UEM844407 UOI844407 UYE844407 VIA844407 VRW844407 WBS844407 WLO844407 WVK844407 C909943 IY909943 SU909943 ACQ909943 AMM909943 AWI909943 BGE909943 BQA909943 BZW909943 CJS909943 CTO909943 DDK909943 DNG909943 DXC909943 EGY909943 EQU909943 FAQ909943 FKM909943 FUI909943 GEE909943 GOA909943 GXW909943 HHS909943 HRO909943 IBK909943 ILG909943 IVC909943 JEY909943 JOU909943 JYQ909943 KIM909943 KSI909943 LCE909943 LMA909943 LVW909943 MFS909943 MPO909943 MZK909943 NJG909943 NTC909943 OCY909943 OMU909943 OWQ909943 PGM909943 PQI909943 QAE909943 QKA909943 QTW909943 RDS909943 RNO909943 RXK909943 SHG909943 SRC909943 TAY909943 TKU909943 TUQ909943 UEM909943 UOI909943 UYE909943 VIA909943 VRW909943 WBS909943 WLO909943 WVK909943 C975479 IY975479 SU975479 ACQ975479 AMM975479 AWI975479 BGE975479 BQA975479 BZW975479 CJS975479 CTO975479 DDK975479 DNG975479 DXC975479 EGY975479 EQU975479 FAQ975479 FKM975479 FUI975479 GEE975479 GOA975479 GXW975479 HHS975479 HRO975479 IBK975479 ILG975479 IVC975479 JEY975479 JOU975479 JYQ975479 KIM975479 KSI975479 LCE975479 LMA975479 LVW975479 MFS975479 MPO975479 MZK975479 NJG975479 NTC975479 OCY975479 OMU975479 OWQ975479 PGM975479 PQI975479 QAE975479 QKA975479 QTW975479 RDS975479 RNO975479 RXK975479 SHG975479 SRC975479 TAY975479 TKU975479 TUQ975479 UEM975479 UOI975479 UYE975479 VIA975479 VRW975479 WBS975479 WLO975479 WVK975479 C1041015 IY1041015 SU1041015 ACQ1041015 AMM1041015 AWI1041015 BGE1041015 BQA1041015 BZW1041015 CJS1041015 CTO1041015 DDK1041015 DNG1041015 DXC1041015 EGY1041015 EQU1041015 FAQ1041015 FKM1041015 FUI1041015 GEE1041015 GOA1041015 GXW1041015 HHS1041015 HRO1041015 IBK1041015 ILG1041015 IVC1041015 JEY1041015 JOU1041015 JYQ1041015 KIM1041015 KSI1041015 LCE1041015 LMA1041015 LVW1041015 MFS1041015 MPO1041015 MZK1041015 NJG1041015 NTC1041015 OCY1041015 OMU1041015 OWQ1041015 PGM1041015 PQI1041015 QAE1041015 QKA1041015 QTW1041015 RDS1041015 RNO1041015 RXK1041015 SHG1041015 SRC1041015 TAY1041015 TKU1041015 TUQ1041015 UEM1041015 UOI1041015 UYE1041015 VIA1041015 VRW1041015 WBS1041015 WLO1041015 WVK1041015 GU57975 QQ57975 AAM57975 AKI57975 AUE57975 BEA57975 BNW57975 BXS57975 CHO57975 CRK57975 DBG57975 DLC57975 DUY57975 EEU57975 EOQ57975 EYM57975 FII57975 FSE57975 GCA57975 GLW57975 GVS57975 HFO57975 HPK57975 HZG57975 IJC57975 ISY57975 JCU57975 JMQ57975 JWM57975 KGI57975 KQE57975 LAA57975 LJW57975 LTS57975 MDO57975 MNK57975 MXG57975 NHC57975 NQY57975 OAU57975 OKQ57975 OUM57975 PEI57975 POE57975 PYA57975 QHW57975 QRS57975 RBO57975 RLK57975 RVG57975 SFC57975 SOY57975 SYU57975 TIQ57975 TSM57975 UCI57975 UME57975 UWA57975 VFW57975 VPS57975 VZO57975 WJK57975 WTG57975 XDC57975 GU123511 QQ123511 AAM123511 AKI123511 AUE123511 BEA123511 BNW123511 BXS123511 CHO123511 CRK123511 DBG123511 DLC123511 DUY123511 EEU123511 EOQ123511 EYM123511 FII123511 FSE123511 GCA123511 GLW123511 GVS123511 HFO123511 HPK123511 HZG123511 IJC123511 ISY123511 JCU123511 JMQ123511 JWM123511 KGI123511 KQE123511 LAA123511 LJW123511 LTS123511 MDO123511 MNK123511 MXG123511 NHC123511 NQY123511 OAU123511 OKQ123511 OUM123511 PEI123511 POE123511 PYA123511 QHW123511 QRS123511 RBO123511 RLK123511 RVG123511 SFC123511 SOY123511 SYU123511 TIQ123511 TSM123511 UCI123511 UME123511 UWA123511 VFW123511 VPS123511 VZO123511 WJK123511 WTG123511 XDC123511 GU189047 QQ189047 AAM189047 AKI189047 AUE189047 BEA189047 BNW189047 BXS189047 CHO189047 CRK189047 DBG189047 DLC189047 DUY189047 EEU189047 EOQ189047 EYM189047 FII189047 FSE189047 GCA189047 GLW189047 GVS189047 HFO189047 HPK189047 HZG189047 IJC189047 ISY189047 JCU189047 JMQ189047 JWM189047 KGI189047 KQE189047 LAA189047 LJW189047 LTS189047 MDO189047 MNK189047 MXG189047 NHC189047 NQY189047 OAU189047 OKQ189047 OUM189047 PEI189047 POE189047 PYA189047 QHW189047 QRS189047 RBO189047 RLK189047 RVG189047 SFC189047 SOY189047 SYU189047 TIQ189047 TSM189047 UCI189047 UME189047 UWA189047 VFW189047 VPS189047 VZO189047 WJK189047 WTG189047 XDC189047 GU254583 QQ254583 AAM254583 AKI254583 AUE254583 BEA254583 BNW254583 BXS254583 CHO254583 CRK254583 DBG254583 DLC254583 DUY254583 EEU254583 EOQ254583 EYM254583 FII254583 FSE254583 GCA254583 GLW254583 GVS254583 HFO254583 HPK254583 HZG254583 IJC254583 ISY254583 JCU254583 JMQ254583 JWM254583 KGI254583 KQE254583 LAA254583 LJW254583 LTS254583 MDO254583 MNK254583 MXG254583 NHC254583 NQY254583 OAU254583 OKQ254583 OUM254583 PEI254583 POE254583 PYA254583 QHW254583 QRS254583 RBO254583 RLK254583 RVG254583 SFC254583 SOY254583 SYU254583 TIQ254583 TSM254583 UCI254583 UME254583 UWA254583 VFW254583 VPS254583 VZO254583 WJK254583 WTG254583 XDC254583 GU320119 QQ320119 AAM320119 AKI320119 AUE320119 BEA320119 BNW320119 BXS320119 CHO320119 CRK320119 DBG320119 DLC320119 DUY320119 EEU320119 EOQ320119 EYM320119 FII320119 FSE320119 GCA320119 GLW320119 GVS320119 HFO320119 HPK320119 HZG320119 IJC320119 ISY320119 JCU320119 JMQ320119 JWM320119 KGI320119 KQE320119 LAA320119 LJW320119 LTS320119 MDO320119 MNK320119 MXG320119 NHC320119 NQY320119 OAU320119 OKQ320119 OUM320119 PEI320119 POE320119 PYA320119 QHW320119 QRS320119 RBO320119 RLK320119 RVG320119 SFC320119 SOY320119 SYU320119 TIQ320119 TSM320119 UCI320119 UME320119 UWA320119 VFW320119 VPS320119 VZO320119 WJK320119 WTG320119 XDC320119 GU385655 QQ385655 AAM385655 AKI385655 AUE385655 BEA385655 BNW385655 BXS385655 CHO385655 CRK385655 DBG385655 DLC385655 DUY385655 EEU385655 EOQ385655 EYM385655 FII385655 FSE385655 GCA385655 GLW385655 GVS385655 HFO385655 HPK385655 HZG385655 IJC385655 ISY385655 JCU385655 JMQ385655 JWM385655 KGI385655 KQE385655 LAA385655 LJW385655 LTS385655 MDO385655 MNK385655 MXG385655 NHC385655 NQY385655 OAU385655 OKQ385655 OUM385655 PEI385655 POE385655 PYA385655 QHW385655 QRS385655 RBO385655 RLK385655 RVG385655 SFC385655 SOY385655 SYU385655 TIQ385655 TSM385655 UCI385655 UME385655 UWA385655 VFW385655 VPS385655 VZO385655 WJK385655 WTG385655 XDC385655 GU451191 QQ451191 AAM451191 AKI451191 AUE451191 BEA451191 BNW451191 BXS451191 CHO451191 CRK451191 DBG451191 DLC451191 DUY451191 EEU451191 EOQ451191 EYM451191 FII451191 FSE451191 GCA451191 GLW451191 GVS451191 HFO451191 HPK451191 HZG451191 IJC451191 ISY451191 JCU451191 JMQ451191 JWM451191 KGI451191 KQE451191 LAA451191 LJW451191 LTS451191 MDO451191 MNK451191 MXG451191 NHC451191 NQY451191 OAU451191 OKQ451191 OUM451191 PEI451191 POE451191 PYA451191 QHW451191 QRS451191 RBO451191 RLK451191 RVG451191 SFC451191 SOY451191 SYU451191 TIQ451191 TSM451191 UCI451191 UME451191 UWA451191 VFW451191 VPS451191 VZO451191 WJK451191 WTG451191 XDC451191 GU516727 QQ516727 AAM516727 AKI516727 AUE516727 BEA516727 BNW516727 BXS516727 CHO516727 CRK516727 DBG516727 DLC516727 DUY516727 EEU516727 EOQ516727 EYM516727 FII516727 FSE516727 GCA516727 GLW516727 GVS516727 HFO516727 HPK516727 HZG516727 IJC516727 ISY516727 JCU516727 JMQ516727 JWM516727 KGI516727 KQE516727 LAA516727 LJW516727 LTS516727 MDO516727 MNK516727 MXG516727 NHC516727 NQY516727 OAU516727 OKQ516727 OUM516727 PEI516727 POE516727 PYA516727 QHW516727 QRS516727 RBO516727 RLK516727 RVG516727 SFC516727 SOY516727 SYU516727 TIQ516727 TSM516727 UCI516727 UME516727 UWA516727 VFW516727 VPS516727 VZO516727 WJK516727 WTG516727 XDC516727 GU582263 QQ582263 AAM582263 AKI582263 AUE582263 BEA582263 BNW582263 BXS582263 CHO582263 CRK582263 DBG582263 DLC582263 DUY582263 EEU582263 EOQ582263 EYM582263 FII582263 FSE582263 GCA582263 GLW582263 GVS582263 HFO582263 HPK582263 HZG582263 IJC582263 ISY582263 JCU582263 JMQ582263 JWM582263 KGI582263 KQE582263 LAA582263 LJW582263 LTS582263 MDO582263 MNK582263 MXG582263 NHC582263 NQY582263 OAU582263 OKQ582263 OUM582263 PEI582263 POE582263 PYA582263 QHW582263 QRS582263 RBO582263 RLK582263 RVG582263 SFC582263 SOY582263 SYU582263 TIQ582263 TSM582263 UCI582263 UME582263 UWA582263 VFW582263 VPS582263 VZO582263 WJK582263 WTG582263 XDC582263 GU647799 QQ647799 AAM647799 AKI647799 AUE647799 BEA647799 BNW647799 BXS647799 CHO647799 CRK647799 DBG647799 DLC647799 DUY647799 EEU647799 EOQ647799 EYM647799 FII647799 FSE647799 GCA647799 GLW647799 GVS647799 HFO647799 HPK647799 HZG647799 IJC647799 ISY647799 JCU647799 JMQ647799 JWM647799 KGI647799 KQE647799 LAA647799 LJW647799 LTS647799 MDO647799 MNK647799 MXG647799 NHC647799 NQY647799 OAU647799 OKQ647799 OUM647799 PEI647799 POE647799 PYA647799 QHW647799 QRS647799 RBO647799 RLK647799 RVG647799 SFC647799 SOY647799 SYU647799 TIQ647799 TSM647799 UCI647799 UME647799 UWA647799 VFW647799 VPS647799 VZO647799 WJK647799 WTG647799 XDC647799 GU713335 QQ713335 AAM713335 AKI713335 AUE713335 BEA713335 BNW713335 BXS713335 CHO713335 CRK713335 DBG713335 DLC713335 DUY713335 EEU713335 EOQ713335 EYM713335 FII713335 FSE713335 GCA713335 GLW713335 GVS713335 HFO713335 HPK713335 HZG713335 IJC713335 ISY713335 JCU713335 JMQ713335 JWM713335 KGI713335 KQE713335 LAA713335 LJW713335 LTS713335 MDO713335 MNK713335 MXG713335 NHC713335 NQY713335 OAU713335 OKQ713335 OUM713335 PEI713335 POE713335 PYA713335 QHW713335 QRS713335 RBO713335 RLK713335 RVG713335 SFC713335 SOY713335 SYU713335 TIQ713335 TSM713335 UCI713335 UME713335 UWA713335 VFW713335 VPS713335 VZO713335 WJK713335 WTG713335 XDC713335 GU778871 QQ778871 AAM778871 AKI778871 AUE778871 BEA778871 BNW778871 BXS778871 CHO778871 CRK778871 DBG778871 DLC778871 DUY778871 EEU778871 EOQ778871 EYM778871 FII778871 FSE778871 GCA778871 GLW778871 GVS778871 HFO778871 HPK778871 HZG778871 IJC778871 ISY778871 JCU778871 JMQ778871 JWM778871 KGI778871 KQE778871 LAA778871 LJW778871 LTS778871 MDO778871 MNK778871 MXG778871 NHC778871 NQY778871 OAU778871 OKQ778871 OUM778871 PEI778871 POE778871 PYA778871 QHW778871 QRS778871 RBO778871 RLK778871 RVG778871 SFC778871 SOY778871 SYU778871 TIQ778871 TSM778871 UCI778871 UME778871 UWA778871 VFW778871 VPS778871 VZO778871 WJK778871 WTG778871 XDC778871 GU844407 QQ844407 AAM844407 AKI844407 AUE844407 BEA844407 BNW844407 BXS844407 CHO844407 CRK844407 DBG844407 DLC844407 DUY844407 EEU844407 EOQ844407 EYM844407 FII844407 FSE844407 GCA844407 GLW844407 GVS844407 HFO844407 HPK844407 HZG844407 IJC844407 ISY844407 JCU844407 JMQ844407 JWM844407 KGI844407 KQE844407 LAA844407 LJW844407 LTS844407 MDO844407 MNK844407 MXG844407 NHC844407 NQY844407 OAU844407 OKQ844407 OUM844407 PEI844407 POE844407 PYA844407 QHW844407 QRS844407 RBO844407 RLK844407 RVG844407 SFC844407 SOY844407 SYU844407 TIQ844407 TSM844407 UCI844407 UME844407 UWA844407 VFW844407 VPS844407 VZO844407 WJK844407 WTG844407 XDC844407 GU909943 QQ909943 AAM909943 AKI909943 AUE909943 BEA909943 BNW909943 BXS909943 CHO909943 CRK909943 DBG909943 DLC909943 DUY909943 EEU909943 EOQ909943 EYM909943 FII909943 FSE909943 GCA909943 GLW909943 GVS909943 HFO909943 HPK909943 HZG909943 IJC909943 ISY909943 JCU909943 JMQ909943 JWM909943 KGI909943 KQE909943 LAA909943 LJW909943 LTS909943 MDO909943 MNK909943 MXG909943 NHC909943 NQY909943 OAU909943 OKQ909943 OUM909943 PEI909943 POE909943 PYA909943 QHW909943 QRS909943 RBO909943 RLK909943 RVG909943 SFC909943 SOY909943 SYU909943 TIQ909943 TSM909943 UCI909943 UME909943 UWA909943 VFW909943 VPS909943 VZO909943 WJK909943 WTG909943 XDC909943 GU975479 QQ975479 AAM975479 AKI975479 AUE975479 BEA975479 BNW975479 BXS975479 CHO975479 CRK975479 DBG975479 DLC975479 DUY975479 EEU975479 EOQ975479 EYM975479 FII975479 FSE975479 GCA975479 GLW975479 GVS975479 HFO975479 HPK975479 HZG975479 IJC975479 ISY975479 JCU975479 JMQ975479 JWM975479 KGI975479 KQE975479 LAA975479 LJW975479 LTS975479 MDO975479 MNK975479 MXG975479 NHC975479 NQY975479 OAU975479 OKQ975479 OUM975479 PEI975479 POE975479 PYA975479 QHW975479 QRS975479 RBO975479 RLK975479 RVG975479 SFC975479 SOY975479 SYU975479 TIQ975479 TSM975479 UCI975479 UME975479 UWA975479 VFW975479 VPS975479 VZO975479 WJK975479 WTG975479 XDC975479 GU1041015 QQ1041015 AAM1041015 AKI1041015 AUE1041015 BEA1041015 BNW1041015 BXS1041015 CHO1041015 CRK1041015 DBG1041015 DLC1041015 DUY1041015 EEU1041015 EOQ1041015 EYM1041015 FII1041015 FSE1041015 GCA1041015 GLW1041015 GVS1041015 HFO1041015 HPK1041015 HZG1041015 IJC1041015 ISY1041015 JCU1041015 JMQ1041015 JWM1041015 KGI1041015 KQE1041015 LAA1041015 LJW1041015 LTS1041015 MDO1041015 MNK1041015 MXG1041015 NHC1041015 NQY1041015 OAU1041015 OKQ1041015 OUM1041015 PEI1041015 POE1041015 PYA1041015 QHW1041015 QRS1041015 RBO1041015 RLK1041015 RVG1041015 SFC1041015 SOY1041015 SYU1041015 TIQ1041015 TSM1041015 UCI1041015 UME1041015 UWA1041015 VFW1041015 VPS1041015 VZO1041015 WJK1041015 WTG1041015 XDC1041015" xr:uid="{0FCA040F-EBA5-416F-8D37-306E796676DE}">
      <formula1>"Period"</formula1>
    </dataValidation>
    <dataValidation type="custom" showInputMessage="1" showErrorMessage="1" sqref="C10 IY10 SU10 ACQ10 AMM10 AWI10 BGE10 BQA10 BZW10 CJS10 CTO10 DDK10 DNG10 DXC10 EGY10 EQU10 FAQ10 FKM10 FUI10 GEE10 GOA10 GXW10 HHS10 HRO10 IBK10 ILG10 IVC10 JEY10 JOU10 JYQ10 KIM10 KSI10 LCE10 LMA10 LVW10 MFS10 MPO10 MZK10 NJG10 NTC10 OCY10 OMU10 OWQ10 PGM10 PQI10 QAE10 QKA10 QTW10 RDS10 RNO10 RXK10 SHG10 SRC10 TAY10 TKU10 TUQ10 UEM10 UOI10 UYE10 VIA10 VRW10 WBS10 WLO10 WVK10 C65545 IY65545 SU65545 ACQ65545 AMM65545 AWI65545 BGE65545 BQA65545 BZW65545 CJS65545 CTO65545 DDK65545 DNG65545 DXC65545 EGY65545 EQU65545 FAQ65545 FKM65545 FUI65545 GEE65545 GOA65545 GXW65545 HHS65545 HRO65545 IBK65545 ILG65545 IVC65545 JEY65545 JOU65545 JYQ65545 KIM65545 KSI65545 LCE65545 LMA65545 LVW65545 MFS65545 MPO65545 MZK65545 NJG65545 NTC65545 OCY65545 OMU65545 OWQ65545 PGM65545 PQI65545 QAE65545 QKA65545 QTW65545 RDS65545 RNO65545 RXK65545 SHG65545 SRC65545 TAY65545 TKU65545 TUQ65545 UEM65545 UOI65545 UYE65545 VIA65545 VRW65545 WBS65545 WLO65545 WVK65545 C131081 IY131081 SU131081 ACQ131081 AMM131081 AWI131081 BGE131081 BQA131081 BZW131081 CJS131081 CTO131081 DDK131081 DNG131081 DXC131081 EGY131081 EQU131081 FAQ131081 FKM131081 FUI131081 GEE131081 GOA131081 GXW131081 HHS131081 HRO131081 IBK131081 ILG131081 IVC131081 JEY131081 JOU131081 JYQ131081 KIM131081 KSI131081 LCE131081 LMA131081 LVW131081 MFS131081 MPO131081 MZK131081 NJG131081 NTC131081 OCY131081 OMU131081 OWQ131081 PGM131081 PQI131081 QAE131081 QKA131081 QTW131081 RDS131081 RNO131081 RXK131081 SHG131081 SRC131081 TAY131081 TKU131081 TUQ131081 UEM131081 UOI131081 UYE131081 VIA131081 VRW131081 WBS131081 WLO131081 WVK131081 C196617 IY196617 SU196617 ACQ196617 AMM196617 AWI196617 BGE196617 BQA196617 BZW196617 CJS196617 CTO196617 DDK196617 DNG196617 DXC196617 EGY196617 EQU196617 FAQ196617 FKM196617 FUI196617 GEE196617 GOA196617 GXW196617 HHS196617 HRO196617 IBK196617 ILG196617 IVC196617 JEY196617 JOU196617 JYQ196617 KIM196617 KSI196617 LCE196617 LMA196617 LVW196617 MFS196617 MPO196617 MZK196617 NJG196617 NTC196617 OCY196617 OMU196617 OWQ196617 PGM196617 PQI196617 QAE196617 QKA196617 QTW196617 RDS196617 RNO196617 RXK196617 SHG196617 SRC196617 TAY196617 TKU196617 TUQ196617 UEM196617 UOI196617 UYE196617 VIA196617 VRW196617 WBS196617 WLO196617 WVK196617 C262153 IY262153 SU262153 ACQ262153 AMM262153 AWI262153 BGE262153 BQA262153 BZW262153 CJS262153 CTO262153 DDK262153 DNG262153 DXC262153 EGY262153 EQU262153 FAQ262153 FKM262153 FUI262153 GEE262153 GOA262153 GXW262153 HHS262153 HRO262153 IBK262153 ILG262153 IVC262153 JEY262153 JOU262153 JYQ262153 KIM262153 KSI262153 LCE262153 LMA262153 LVW262153 MFS262153 MPO262153 MZK262153 NJG262153 NTC262153 OCY262153 OMU262153 OWQ262153 PGM262153 PQI262153 QAE262153 QKA262153 QTW262153 RDS262153 RNO262153 RXK262153 SHG262153 SRC262153 TAY262153 TKU262153 TUQ262153 UEM262153 UOI262153 UYE262153 VIA262153 VRW262153 WBS262153 WLO262153 WVK262153 C327689 IY327689 SU327689 ACQ327689 AMM327689 AWI327689 BGE327689 BQA327689 BZW327689 CJS327689 CTO327689 DDK327689 DNG327689 DXC327689 EGY327689 EQU327689 FAQ327689 FKM327689 FUI327689 GEE327689 GOA327689 GXW327689 HHS327689 HRO327689 IBK327689 ILG327689 IVC327689 JEY327689 JOU327689 JYQ327689 KIM327689 KSI327689 LCE327689 LMA327689 LVW327689 MFS327689 MPO327689 MZK327689 NJG327689 NTC327689 OCY327689 OMU327689 OWQ327689 PGM327689 PQI327689 QAE327689 QKA327689 QTW327689 RDS327689 RNO327689 RXK327689 SHG327689 SRC327689 TAY327689 TKU327689 TUQ327689 UEM327689 UOI327689 UYE327689 VIA327689 VRW327689 WBS327689 WLO327689 WVK327689 C393225 IY393225 SU393225 ACQ393225 AMM393225 AWI393225 BGE393225 BQA393225 BZW393225 CJS393225 CTO393225 DDK393225 DNG393225 DXC393225 EGY393225 EQU393225 FAQ393225 FKM393225 FUI393225 GEE393225 GOA393225 GXW393225 HHS393225 HRO393225 IBK393225 ILG393225 IVC393225 JEY393225 JOU393225 JYQ393225 KIM393225 KSI393225 LCE393225 LMA393225 LVW393225 MFS393225 MPO393225 MZK393225 NJG393225 NTC393225 OCY393225 OMU393225 OWQ393225 PGM393225 PQI393225 QAE393225 QKA393225 QTW393225 RDS393225 RNO393225 RXK393225 SHG393225 SRC393225 TAY393225 TKU393225 TUQ393225 UEM393225 UOI393225 UYE393225 VIA393225 VRW393225 WBS393225 WLO393225 WVK393225 C458761 IY458761 SU458761 ACQ458761 AMM458761 AWI458761 BGE458761 BQA458761 BZW458761 CJS458761 CTO458761 DDK458761 DNG458761 DXC458761 EGY458761 EQU458761 FAQ458761 FKM458761 FUI458761 GEE458761 GOA458761 GXW458761 HHS458761 HRO458761 IBK458761 ILG458761 IVC458761 JEY458761 JOU458761 JYQ458761 KIM458761 KSI458761 LCE458761 LMA458761 LVW458761 MFS458761 MPO458761 MZK458761 NJG458761 NTC458761 OCY458761 OMU458761 OWQ458761 PGM458761 PQI458761 QAE458761 QKA458761 QTW458761 RDS458761 RNO458761 RXK458761 SHG458761 SRC458761 TAY458761 TKU458761 TUQ458761 UEM458761 UOI458761 UYE458761 VIA458761 VRW458761 WBS458761 WLO458761 WVK458761 C524297 IY524297 SU524297 ACQ524297 AMM524297 AWI524297 BGE524297 BQA524297 BZW524297 CJS524297 CTO524297 DDK524297 DNG524297 DXC524297 EGY524297 EQU524297 FAQ524297 FKM524297 FUI524297 GEE524297 GOA524297 GXW524297 HHS524297 HRO524297 IBK524297 ILG524297 IVC524297 JEY524297 JOU524297 JYQ524297 KIM524297 KSI524297 LCE524297 LMA524297 LVW524297 MFS524297 MPO524297 MZK524297 NJG524297 NTC524297 OCY524297 OMU524297 OWQ524297 PGM524297 PQI524297 QAE524297 QKA524297 QTW524297 RDS524297 RNO524297 RXK524297 SHG524297 SRC524297 TAY524297 TKU524297 TUQ524297 UEM524297 UOI524297 UYE524297 VIA524297 VRW524297 WBS524297 WLO524297 WVK524297 C589833 IY589833 SU589833 ACQ589833 AMM589833 AWI589833 BGE589833 BQA589833 BZW589833 CJS589833 CTO589833 DDK589833 DNG589833 DXC589833 EGY589833 EQU589833 FAQ589833 FKM589833 FUI589833 GEE589833 GOA589833 GXW589833 HHS589833 HRO589833 IBK589833 ILG589833 IVC589833 JEY589833 JOU589833 JYQ589833 KIM589833 KSI589833 LCE589833 LMA589833 LVW589833 MFS589833 MPO589833 MZK589833 NJG589833 NTC589833 OCY589833 OMU589833 OWQ589833 PGM589833 PQI589833 QAE589833 QKA589833 QTW589833 RDS589833 RNO589833 RXK589833 SHG589833 SRC589833 TAY589833 TKU589833 TUQ589833 UEM589833 UOI589833 UYE589833 VIA589833 VRW589833 WBS589833 WLO589833 WVK589833 C655369 IY655369 SU655369 ACQ655369 AMM655369 AWI655369 BGE655369 BQA655369 BZW655369 CJS655369 CTO655369 DDK655369 DNG655369 DXC655369 EGY655369 EQU655369 FAQ655369 FKM655369 FUI655369 GEE655369 GOA655369 GXW655369 HHS655369 HRO655369 IBK655369 ILG655369 IVC655369 JEY655369 JOU655369 JYQ655369 KIM655369 KSI655369 LCE655369 LMA655369 LVW655369 MFS655369 MPO655369 MZK655369 NJG655369 NTC655369 OCY655369 OMU655369 OWQ655369 PGM655369 PQI655369 QAE655369 QKA655369 QTW655369 RDS655369 RNO655369 RXK655369 SHG655369 SRC655369 TAY655369 TKU655369 TUQ655369 UEM655369 UOI655369 UYE655369 VIA655369 VRW655369 WBS655369 WLO655369 WVK655369 C720905 IY720905 SU720905 ACQ720905 AMM720905 AWI720905 BGE720905 BQA720905 BZW720905 CJS720905 CTO720905 DDK720905 DNG720905 DXC720905 EGY720905 EQU720905 FAQ720905 FKM720905 FUI720905 GEE720905 GOA720905 GXW720905 HHS720905 HRO720905 IBK720905 ILG720905 IVC720905 JEY720905 JOU720905 JYQ720905 KIM720905 KSI720905 LCE720905 LMA720905 LVW720905 MFS720905 MPO720905 MZK720905 NJG720905 NTC720905 OCY720905 OMU720905 OWQ720905 PGM720905 PQI720905 QAE720905 QKA720905 QTW720905 RDS720905 RNO720905 RXK720905 SHG720905 SRC720905 TAY720905 TKU720905 TUQ720905 UEM720905 UOI720905 UYE720905 VIA720905 VRW720905 WBS720905 WLO720905 WVK720905 C786441 IY786441 SU786441 ACQ786441 AMM786441 AWI786441 BGE786441 BQA786441 BZW786441 CJS786441 CTO786441 DDK786441 DNG786441 DXC786441 EGY786441 EQU786441 FAQ786441 FKM786441 FUI786441 GEE786441 GOA786441 GXW786441 HHS786441 HRO786441 IBK786441 ILG786441 IVC786441 JEY786441 JOU786441 JYQ786441 KIM786441 KSI786441 LCE786441 LMA786441 LVW786441 MFS786441 MPO786441 MZK786441 NJG786441 NTC786441 OCY786441 OMU786441 OWQ786441 PGM786441 PQI786441 QAE786441 QKA786441 QTW786441 RDS786441 RNO786441 RXK786441 SHG786441 SRC786441 TAY786441 TKU786441 TUQ786441 UEM786441 UOI786441 UYE786441 VIA786441 VRW786441 WBS786441 WLO786441 WVK786441 C851977 IY851977 SU851977 ACQ851977 AMM851977 AWI851977 BGE851977 BQA851977 BZW851977 CJS851977 CTO851977 DDK851977 DNG851977 DXC851977 EGY851977 EQU851977 FAQ851977 FKM851977 FUI851977 GEE851977 GOA851977 GXW851977 HHS851977 HRO851977 IBK851977 ILG851977 IVC851977 JEY851977 JOU851977 JYQ851977 KIM851977 KSI851977 LCE851977 LMA851977 LVW851977 MFS851977 MPO851977 MZK851977 NJG851977 NTC851977 OCY851977 OMU851977 OWQ851977 PGM851977 PQI851977 QAE851977 QKA851977 QTW851977 RDS851977 RNO851977 RXK851977 SHG851977 SRC851977 TAY851977 TKU851977 TUQ851977 UEM851977 UOI851977 UYE851977 VIA851977 VRW851977 WBS851977 WLO851977 WVK851977 C917513 IY917513 SU917513 ACQ917513 AMM917513 AWI917513 BGE917513 BQA917513 BZW917513 CJS917513 CTO917513 DDK917513 DNG917513 DXC917513 EGY917513 EQU917513 FAQ917513 FKM917513 FUI917513 GEE917513 GOA917513 GXW917513 HHS917513 HRO917513 IBK917513 ILG917513 IVC917513 JEY917513 JOU917513 JYQ917513 KIM917513 KSI917513 LCE917513 LMA917513 LVW917513 MFS917513 MPO917513 MZK917513 NJG917513 NTC917513 OCY917513 OMU917513 OWQ917513 PGM917513 PQI917513 QAE917513 QKA917513 QTW917513 RDS917513 RNO917513 RXK917513 SHG917513 SRC917513 TAY917513 TKU917513 TUQ917513 UEM917513 UOI917513 UYE917513 VIA917513 VRW917513 WBS917513 WLO917513 WVK917513 C983049 IY983049 SU983049 ACQ983049 AMM983049 AWI983049 BGE983049 BQA983049 BZW983049 CJS983049 CTO983049 DDK983049 DNG983049 DXC983049 EGY983049 EQU983049 FAQ983049 FKM983049 FUI983049 GEE983049 GOA983049 GXW983049 HHS983049 HRO983049 IBK983049 ILG983049 IVC983049 JEY983049 JOU983049 JYQ983049 KIM983049 KSI983049 LCE983049 LMA983049 LVW983049 MFS983049 MPO983049 MZK983049 NJG983049 NTC983049 OCY983049 OMU983049 OWQ983049 PGM983049 PQI983049 QAE983049 QKA983049 QTW983049 RDS983049 RNO983049 RXK983049 SHG983049 SRC983049 TAY983049 TKU983049 TUQ983049 UEM983049 UOI983049 UYE983049 VIA983049 VRW983049 WBS983049 WLO983049 WVK983049 GU10 QQ10 AAM10 AKI10 AUE10 BEA10 BNW10 BXS10 CHO10 CRK10 DBG10 DLC10 DUY10 EEU10 EOQ10 EYM10 FII10 FSE10 GCA10 GLW10 GVS10 HFO10 HPK10 HZG10 IJC10 ISY10 JCU10 JMQ10 JWM10 KGI10 KQE10 LAA10 LJW10 LTS10 MDO10 MNK10 MXG10 NHC10 NQY10 OAU10 OKQ10 OUM10 PEI10 POE10 PYA10 QHW10 QRS10 RBO10 RLK10 RVG10 SFC10 SOY10 SYU10 TIQ10 TSM10 UCI10 UME10 UWA10 VFW10 VPS10 VZO10 WJK10 WTG10 XDC10 GU65545 QQ65545 AAM65545 AKI65545 AUE65545 BEA65545 BNW65545 BXS65545 CHO65545 CRK65545 DBG65545 DLC65545 DUY65545 EEU65545 EOQ65545 EYM65545 FII65545 FSE65545 GCA65545 GLW65545 GVS65545 HFO65545 HPK65545 HZG65545 IJC65545 ISY65545 JCU65545 JMQ65545 JWM65545 KGI65545 KQE65545 LAA65545 LJW65545 LTS65545 MDO65545 MNK65545 MXG65545 NHC65545 NQY65545 OAU65545 OKQ65545 OUM65545 PEI65545 POE65545 PYA65545 QHW65545 QRS65545 RBO65545 RLK65545 RVG65545 SFC65545 SOY65545 SYU65545 TIQ65545 TSM65545 UCI65545 UME65545 UWA65545 VFW65545 VPS65545 VZO65545 WJK65545 WTG65545 XDC65545 GU131081 QQ131081 AAM131081 AKI131081 AUE131081 BEA131081 BNW131081 BXS131081 CHO131081 CRK131081 DBG131081 DLC131081 DUY131081 EEU131081 EOQ131081 EYM131081 FII131081 FSE131081 GCA131081 GLW131081 GVS131081 HFO131081 HPK131081 HZG131081 IJC131081 ISY131081 JCU131081 JMQ131081 JWM131081 KGI131081 KQE131081 LAA131081 LJW131081 LTS131081 MDO131081 MNK131081 MXG131081 NHC131081 NQY131081 OAU131081 OKQ131081 OUM131081 PEI131081 POE131081 PYA131081 QHW131081 QRS131081 RBO131081 RLK131081 RVG131081 SFC131081 SOY131081 SYU131081 TIQ131081 TSM131081 UCI131081 UME131081 UWA131081 VFW131081 VPS131081 VZO131081 WJK131081 WTG131081 XDC131081 GU196617 QQ196617 AAM196617 AKI196617 AUE196617 BEA196617 BNW196617 BXS196617 CHO196617 CRK196617 DBG196617 DLC196617 DUY196617 EEU196617 EOQ196617 EYM196617 FII196617 FSE196617 GCA196617 GLW196617 GVS196617 HFO196617 HPK196617 HZG196617 IJC196617 ISY196617 JCU196617 JMQ196617 JWM196617 KGI196617 KQE196617 LAA196617 LJW196617 LTS196617 MDO196617 MNK196617 MXG196617 NHC196617 NQY196617 OAU196617 OKQ196617 OUM196617 PEI196617 POE196617 PYA196617 QHW196617 QRS196617 RBO196617 RLK196617 RVG196617 SFC196617 SOY196617 SYU196617 TIQ196617 TSM196617 UCI196617 UME196617 UWA196617 VFW196617 VPS196617 VZO196617 WJK196617 WTG196617 XDC196617 GU262153 QQ262153 AAM262153 AKI262153 AUE262153 BEA262153 BNW262153 BXS262153 CHO262153 CRK262153 DBG262153 DLC262153 DUY262153 EEU262153 EOQ262153 EYM262153 FII262153 FSE262153 GCA262153 GLW262153 GVS262153 HFO262153 HPK262153 HZG262153 IJC262153 ISY262153 JCU262153 JMQ262153 JWM262153 KGI262153 KQE262153 LAA262153 LJW262153 LTS262153 MDO262153 MNK262153 MXG262153 NHC262153 NQY262153 OAU262153 OKQ262153 OUM262153 PEI262153 POE262153 PYA262153 QHW262153 QRS262153 RBO262153 RLK262153 RVG262153 SFC262153 SOY262153 SYU262153 TIQ262153 TSM262153 UCI262153 UME262153 UWA262153 VFW262153 VPS262153 VZO262153 WJK262153 WTG262153 XDC262153 GU327689 QQ327689 AAM327689 AKI327689 AUE327689 BEA327689 BNW327689 BXS327689 CHO327689 CRK327689 DBG327689 DLC327689 DUY327689 EEU327689 EOQ327689 EYM327689 FII327689 FSE327689 GCA327689 GLW327689 GVS327689 HFO327689 HPK327689 HZG327689 IJC327689 ISY327689 JCU327689 JMQ327689 JWM327689 KGI327689 KQE327689 LAA327689 LJW327689 LTS327689 MDO327689 MNK327689 MXG327689 NHC327689 NQY327689 OAU327689 OKQ327689 OUM327689 PEI327689 POE327689 PYA327689 QHW327689 QRS327689 RBO327689 RLK327689 RVG327689 SFC327689 SOY327689 SYU327689 TIQ327689 TSM327689 UCI327689 UME327689 UWA327689 VFW327689 VPS327689 VZO327689 WJK327689 WTG327689 XDC327689 GU393225 QQ393225 AAM393225 AKI393225 AUE393225 BEA393225 BNW393225 BXS393225 CHO393225 CRK393225 DBG393225 DLC393225 DUY393225 EEU393225 EOQ393225 EYM393225 FII393225 FSE393225 GCA393225 GLW393225 GVS393225 HFO393225 HPK393225 HZG393225 IJC393225 ISY393225 JCU393225 JMQ393225 JWM393225 KGI393225 KQE393225 LAA393225 LJW393225 LTS393225 MDO393225 MNK393225 MXG393225 NHC393225 NQY393225 OAU393225 OKQ393225 OUM393225 PEI393225 POE393225 PYA393225 QHW393225 QRS393225 RBO393225 RLK393225 RVG393225 SFC393225 SOY393225 SYU393225 TIQ393225 TSM393225 UCI393225 UME393225 UWA393225 VFW393225 VPS393225 VZO393225 WJK393225 WTG393225 XDC393225 GU458761 QQ458761 AAM458761 AKI458761 AUE458761 BEA458761 BNW458761 BXS458761 CHO458761 CRK458761 DBG458761 DLC458761 DUY458761 EEU458761 EOQ458761 EYM458761 FII458761 FSE458761 GCA458761 GLW458761 GVS458761 HFO458761 HPK458761 HZG458761 IJC458761 ISY458761 JCU458761 JMQ458761 JWM458761 KGI458761 KQE458761 LAA458761 LJW458761 LTS458761 MDO458761 MNK458761 MXG458761 NHC458761 NQY458761 OAU458761 OKQ458761 OUM458761 PEI458761 POE458761 PYA458761 QHW458761 QRS458761 RBO458761 RLK458761 RVG458761 SFC458761 SOY458761 SYU458761 TIQ458761 TSM458761 UCI458761 UME458761 UWA458761 VFW458761 VPS458761 VZO458761 WJK458761 WTG458761 XDC458761 GU524297 QQ524297 AAM524297 AKI524297 AUE524297 BEA524297 BNW524297 BXS524297 CHO524297 CRK524297 DBG524297 DLC524297 DUY524297 EEU524297 EOQ524297 EYM524297 FII524297 FSE524297 GCA524297 GLW524297 GVS524297 HFO524297 HPK524297 HZG524297 IJC524297 ISY524297 JCU524297 JMQ524297 JWM524297 KGI524297 KQE524297 LAA524297 LJW524297 LTS524297 MDO524297 MNK524297 MXG524297 NHC524297 NQY524297 OAU524297 OKQ524297 OUM524297 PEI524297 POE524297 PYA524297 QHW524297 QRS524297 RBO524297 RLK524297 RVG524297 SFC524297 SOY524297 SYU524297 TIQ524297 TSM524297 UCI524297 UME524297 UWA524297 VFW524297 VPS524297 VZO524297 WJK524297 WTG524297 XDC524297 GU589833 QQ589833 AAM589833 AKI589833 AUE589833 BEA589833 BNW589833 BXS589833 CHO589833 CRK589833 DBG589833 DLC589833 DUY589833 EEU589833 EOQ589833 EYM589833 FII589833 FSE589833 GCA589833 GLW589833 GVS589833 HFO589833 HPK589833 HZG589833 IJC589833 ISY589833 JCU589833 JMQ589833 JWM589833 KGI589833 KQE589833 LAA589833 LJW589833 LTS589833 MDO589833 MNK589833 MXG589833 NHC589833 NQY589833 OAU589833 OKQ589833 OUM589833 PEI589833 POE589833 PYA589833 QHW589833 QRS589833 RBO589833 RLK589833 RVG589833 SFC589833 SOY589833 SYU589833 TIQ589833 TSM589833 UCI589833 UME589833 UWA589833 VFW589833 VPS589833 VZO589833 WJK589833 WTG589833 XDC589833 GU655369 QQ655369 AAM655369 AKI655369 AUE655369 BEA655369 BNW655369 BXS655369 CHO655369 CRK655369 DBG655369 DLC655369 DUY655369 EEU655369 EOQ655369 EYM655369 FII655369 FSE655369 GCA655369 GLW655369 GVS655369 HFO655369 HPK655369 HZG655369 IJC655369 ISY655369 JCU655369 JMQ655369 JWM655369 KGI655369 KQE655369 LAA655369 LJW655369 LTS655369 MDO655369 MNK655369 MXG655369 NHC655369 NQY655369 OAU655369 OKQ655369 OUM655369 PEI655369 POE655369 PYA655369 QHW655369 QRS655369 RBO655369 RLK655369 RVG655369 SFC655369 SOY655369 SYU655369 TIQ655369 TSM655369 UCI655369 UME655369 UWA655369 VFW655369 VPS655369 VZO655369 WJK655369 WTG655369 XDC655369 GU720905 QQ720905 AAM720905 AKI720905 AUE720905 BEA720905 BNW720905 BXS720905 CHO720905 CRK720905 DBG720905 DLC720905 DUY720905 EEU720905 EOQ720905 EYM720905 FII720905 FSE720905 GCA720905 GLW720905 GVS720905 HFO720905 HPK720905 HZG720905 IJC720905 ISY720905 JCU720905 JMQ720905 JWM720905 KGI720905 KQE720905 LAA720905 LJW720905 LTS720905 MDO720905 MNK720905 MXG720905 NHC720905 NQY720905 OAU720905 OKQ720905 OUM720905 PEI720905 POE720905 PYA720905 QHW720905 QRS720905 RBO720905 RLK720905 RVG720905 SFC720905 SOY720905 SYU720905 TIQ720905 TSM720905 UCI720905 UME720905 UWA720905 VFW720905 VPS720905 VZO720905 WJK720905 WTG720905 XDC720905 GU786441 QQ786441 AAM786441 AKI786441 AUE786441 BEA786441 BNW786441 BXS786441 CHO786441 CRK786441 DBG786441 DLC786441 DUY786441 EEU786441 EOQ786441 EYM786441 FII786441 FSE786441 GCA786441 GLW786441 GVS786441 HFO786441 HPK786441 HZG786441 IJC786441 ISY786441 JCU786441 JMQ786441 JWM786441 KGI786441 KQE786441 LAA786441 LJW786441 LTS786441 MDO786441 MNK786441 MXG786441 NHC786441 NQY786441 OAU786441 OKQ786441 OUM786441 PEI786441 POE786441 PYA786441 QHW786441 QRS786441 RBO786441 RLK786441 RVG786441 SFC786441 SOY786441 SYU786441 TIQ786441 TSM786441 UCI786441 UME786441 UWA786441 VFW786441 VPS786441 VZO786441 WJK786441 WTG786441 XDC786441 GU851977 QQ851977 AAM851977 AKI851977 AUE851977 BEA851977 BNW851977 BXS851977 CHO851977 CRK851977 DBG851977 DLC851977 DUY851977 EEU851977 EOQ851977 EYM851977 FII851977 FSE851977 GCA851977 GLW851977 GVS851977 HFO851977 HPK851977 HZG851977 IJC851977 ISY851977 JCU851977 JMQ851977 JWM851977 KGI851977 KQE851977 LAA851977 LJW851977 LTS851977 MDO851977 MNK851977 MXG851977 NHC851977 NQY851977 OAU851977 OKQ851977 OUM851977 PEI851977 POE851977 PYA851977 QHW851977 QRS851977 RBO851977 RLK851977 RVG851977 SFC851977 SOY851977 SYU851977 TIQ851977 TSM851977 UCI851977 UME851977 UWA851977 VFW851977 VPS851977 VZO851977 WJK851977 WTG851977 XDC851977 GU917513 QQ917513 AAM917513 AKI917513 AUE917513 BEA917513 BNW917513 BXS917513 CHO917513 CRK917513 DBG917513 DLC917513 DUY917513 EEU917513 EOQ917513 EYM917513 FII917513 FSE917513 GCA917513 GLW917513 GVS917513 HFO917513 HPK917513 HZG917513 IJC917513 ISY917513 JCU917513 JMQ917513 JWM917513 KGI917513 KQE917513 LAA917513 LJW917513 LTS917513 MDO917513 MNK917513 MXG917513 NHC917513 NQY917513 OAU917513 OKQ917513 OUM917513 PEI917513 POE917513 PYA917513 QHW917513 QRS917513 RBO917513 RLK917513 RVG917513 SFC917513 SOY917513 SYU917513 TIQ917513 TSM917513 UCI917513 UME917513 UWA917513 VFW917513 VPS917513 VZO917513 WJK917513 WTG917513 XDC917513 GU983049 QQ983049 AAM983049 AKI983049 AUE983049 BEA983049 BNW983049 BXS983049 CHO983049 CRK983049 DBG983049 DLC983049 DUY983049 EEU983049 EOQ983049 EYM983049 FII983049 FSE983049 GCA983049 GLW983049 GVS983049 HFO983049 HPK983049 HZG983049 IJC983049 ISY983049 JCU983049 JMQ983049 JWM983049 KGI983049 KQE983049 LAA983049 LJW983049 LTS983049 MDO983049 MNK983049 MXG983049 NHC983049 NQY983049 OAU983049 OKQ983049 OUM983049 PEI983049 POE983049 PYA983049 QHW983049 QRS983049 RBO983049 RLK983049 RVG983049 SFC983049 SOY983049 SYU983049 TIQ983049 TSM983049 UCI983049 UME983049 UWA983049 VFW983049 VPS983049 VZO983049 WJK983049 WTG983049 XDC983049 C57976 IY57976 SU57976 ACQ57976 AMM57976 AWI57976 BGE57976 BQA57976 BZW57976 CJS57976 CTO57976 DDK57976 DNG57976 DXC57976 EGY57976 EQU57976 FAQ57976 FKM57976 FUI57976 GEE57976 GOA57976 GXW57976 HHS57976 HRO57976 IBK57976 ILG57976 IVC57976 JEY57976 JOU57976 JYQ57976 KIM57976 KSI57976 LCE57976 LMA57976 LVW57976 MFS57976 MPO57976 MZK57976 NJG57976 NTC57976 OCY57976 OMU57976 OWQ57976 PGM57976 PQI57976 QAE57976 QKA57976 QTW57976 RDS57976 RNO57976 RXK57976 SHG57976 SRC57976 TAY57976 TKU57976 TUQ57976 UEM57976 UOI57976 UYE57976 VIA57976 VRW57976 WBS57976 WLO57976 WVK57976 C123512 IY123512 SU123512 ACQ123512 AMM123512 AWI123512 BGE123512 BQA123512 BZW123512 CJS123512 CTO123512 DDK123512 DNG123512 DXC123512 EGY123512 EQU123512 FAQ123512 FKM123512 FUI123512 GEE123512 GOA123512 GXW123512 HHS123512 HRO123512 IBK123512 ILG123512 IVC123512 JEY123512 JOU123512 JYQ123512 KIM123512 KSI123512 LCE123512 LMA123512 LVW123512 MFS123512 MPO123512 MZK123512 NJG123512 NTC123512 OCY123512 OMU123512 OWQ123512 PGM123512 PQI123512 QAE123512 QKA123512 QTW123512 RDS123512 RNO123512 RXK123512 SHG123512 SRC123512 TAY123512 TKU123512 TUQ123512 UEM123512 UOI123512 UYE123512 VIA123512 VRW123512 WBS123512 WLO123512 WVK123512 C189048 IY189048 SU189048 ACQ189048 AMM189048 AWI189048 BGE189048 BQA189048 BZW189048 CJS189048 CTO189048 DDK189048 DNG189048 DXC189048 EGY189048 EQU189048 FAQ189048 FKM189048 FUI189048 GEE189048 GOA189048 GXW189048 HHS189048 HRO189048 IBK189048 ILG189048 IVC189048 JEY189048 JOU189048 JYQ189048 KIM189048 KSI189048 LCE189048 LMA189048 LVW189048 MFS189048 MPO189048 MZK189048 NJG189048 NTC189048 OCY189048 OMU189048 OWQ189048 PGM189048 PQI189048 QAE189048 QKA189048 QTW189048 RDS189048 RNO189048 RXK189048 SHG189048 SRC189048 TAY189048 TKU189048 TUQ189048 UEM189048 UOI189048 UYE189048 VIA189048 VRW189048 WBS189048 WLO189048 WVK189048 C254584 IY254584 SU254584 ACQ254584 AMM254584 AWI254584 BGE254584 BQA254584 BZW254584 CJS254584 CTO254584 DDK254584 DNG254584 DXC254584 EGY254584 EQU254584 FAQ254584 FKM254584 FUI254584 GEE254584 GOA254584 GXW254584 HHS254584 HRO254584 IBK254584 ILG254584 IVC254584 JEY254584 JOU254584 JYQ254584 KIM254584 KSI254584 LCE254584 LMA254584 LVW254584 MFS254584 MPO254584 MZK254584 NJG254584 NTC254584 OCY254584 OMU254584 OWQ254584 PGM254584 PQI254584 QAE254584 QKA254584 QTW254584 RDS254584 RNO254584 RXK254584 SHG254584 SRC254584 TAY254584 TKU254584 TUQ254584 UEM254584 UOI254584 UYE254584 VIA254584 VRW254584 WBS254584 WLO254584 WVK254584 C320120 IY320120 SU320120 ACQ320120 AMM320120 AWI320120 BGE320120 BQA320120 BZW320120 CJS320120 CTO320120 DDK320120 DNG320120 DXC320120 EGY320120 EQU320120 FAQ320120 FKM320120 FUI320120 GEE320120 GOA320120 GXW320120 HHS320120 HRO320120 IBK320120 ILG320120 IVC320120 JEY320120 JOU320120 JYQ320120 KIM320120 KSI320120 LCE320120 LMA320120 LVW320120 MFS320120 MPO320120 MZK320120 NJG320120 NTC320120 OCY320120 OMU320120 OWQ320120 PGM320120 PQI320120 QAE320120 QKA320120 QTW320120 RDS320120 RNO320120 RXK320120 SHG320120 SRC320120 TAY320120 TKU320120 TUQ320120 UEM320120 UOI320120 UYE320120 VIA320120 VRW320120 WBS320120 WLO320120 WVK320120 C385656 IY385656 SU385656 ACQ385656 AMM385656 AWI385656 BGE385656 BQA385656 BZW385656 CJS385656 CTO385656 DDK385656 DNG385656 DXC385656 EGY385656 EQU385656 FAQ385656 FKM385656 FUI385656 GEE385656 GOA385656 GXW385656 HHS385656 HRO385656 IBK385656 ILG385656 IVC385656 JEY385656 JOU385656 JYQ385656 KIM385656 KSI385656 LCE385656 LMA385656 LVW385656 MFS385656 MPO385656 MZK385656 NJG385656 NTC385656 OCY385656 OMU385656 OWQ385656 PGM385656 PQI385656 QAE385656 QKA385656 QTW385656 RDS385656 RNO385656 RXK385656 SHG385656 SRC385656 TAY385656 TKU385656 TUQ385656 UEM385656 UOI385656 UYE385656 VIA385656 VRW385656 WBS385656 WLO385656 WVK385656 C451192 IY451192 SU451192 ACQ451192 AMM451192 AWI451192 BGE451192 BQA451192 BZW451192 CJS451192 CTO451192 DDK451192 DNG451192 DXC451192 EGY451192 EQU451192 FAQ451192 FKM451192 FUI451192 GEE451192 GOA451192 GXW451192 HHS451192 HRO451192 IBK451192 ILG451192 IVC451192 JEY451192 JOU451192 JYQ451192 KIM451192 KSI451192 LCE451192 LMA451192 LVW451192 MFS451192 MPO451192 MZK451192 NJG451192 NTC451192 OCY451192 OMU451192 OWQ451192 PGM451192 PQI451192 QAE451192 QKA451192 QTW451192 RDS451192 RNO451192 RXK451192 SHG451192 SRC451192 TAY451192 TKU451192 TUQ451192 UEM451192 UOI451192 UYE451192 VIA451192 VRW451192 WBS451192 WLO451192 WVK451192 C516728 IY516728 SU516728 ACQ516728 AMM516728 AWI516728 BGE516728 BQA516728 BZW516728 CJS516728 CTO516728 DDK516728 DNG516728 DXC516728 EGY516728 EQU516728 FAQ516728 FKM516728 FUI516728 GEE516728 GOA516728 GXW516728 HHS516728 HRO516728 IBK516728 ILG516728 IVC516728 JEY516728 JOU516728 JYQ516728 KIM516728 KSI516728 LCE516728 LMA516728 LVW516728 MFS516728 MPO516728 MZK516728 NJG516728 NTC516728 OCY516728 OMU516728 OWQ516728 PGM516728 PQI516728 QAE516728 QKA516728 QTW516728 RDS516728 RNO516728 RXK516728 SHG516728 SRC516728 TAY516728 TKU516728 TUQ516728 UEM516728 UOI516728 UYE516728 VIA516728 VRW516728 WBS516728 WLO516728 WVK516728 C582264 IY582264 SU582264 ACQ582264 AMM582264 AWI582264 BGE582264 BQA582264 BZW582264 CJS582264 CTO582264 DDK582264 DNG582264 DXC582264 EGY582264 EQU582264 FAQ582264 FKM582264 FUI582264 GEE582264 GOA582264 GXW582264 HHS582264 HRO582264 IBK582264 ILG582264 IVC582264 JEY582264 JOU582264 JYQ582264 KIM582264 KSI582264 LCE582264 LMA582264 LVW582264 MFS582264 MPO582264 MZK582264 NJG582264 NTC582264 OCY582264 OMU582264 OWQ582264 PGM582264 PQI582264 QAE582264 QKA582264 QTW582264 RDS582264 RNO582264 RXK582264 SHG582264 SRC582264 TAY582264 TKU582264 TUQ582264 UEM582264 UOI582264 UYE582264 VIA582264 VRW582264 WBS582264 WLO582264 WVK582264 C647800 IY647800 SU647800 ACQ647800 AMM647800 AWI647800 BGE647800 BQA647800 BZW647800 CJS647800 CTO647800 DDK647800 DNG647800 DXC647800 EGY647800 EQU647800 FAQ647800 FKM647800 FUI647800 GEE647800 GOA647800 GXW647800 HHS647800 HRO647800 IBK647800 ILG647800 IVC647800 JEY647800 JOU647800 JYQ647800 KIM647800 KSI647800 LCE647800 LMA647800 LVW647800 MFS647800 MPO647800 MZK647800 NJG647800 NTC647800 OCY647800 OMU647800 OWQ647800 PGM647800 PQI647800 QAE647800 QKA647800 QTW647800 RDS647800 RNO647800 RXK647800 SHG647800 SRC647800 TAY647800 TKU647800 TUQ647800 UEM647800 UOI647800 UYE647800 VIA647800 VRW647800 WBS647800 WLO647800 WVK647800 C713336 IY713336 SU713336 ACQ713336 AMM713336 AWI713336 BGE713336 BQA713336 BZW713336 CJS713336 CTO713336 DDK713336 DNG713336 DXC713336 EGY713336 EQU713336 FAQ713336 FKM713336 FUI713336 GEE713336 GOA713336 GXW713336 HHS713336 HRO713336 IBK713336 ILG713336 IVC713336 JEY713336 JOU713336 JYQ713336 KIM713336 KSI713336 LCE713336 LMA713336 LVW713336 MFS713336 MPO713336 MZK713336 NJG713336 NTC713336 OCY713336 OMU713336 OWQ713336 PGM713336 PQI713336 QAE713336 QKA713336 QTW713336 RDS713336 RNO713336 RXK713336 SHG713336 SRC713336 TAY713336 TKU713336 TUQ713336 UEM713336 UOI713336 UYE713336 VIA713336 VRW713336 WBS713336 WLO713336 WVK713336 C778872 IY778872 SU778872 ACQ778872 AMM778872 AWI778872 BGE778872 BQA778872 BZW778872 CJS778872 CTO778872 DDK778872 DNG778872 DXC778872 EGY778872 EQU778872 FAQ778872 FKM778872 FUI778872 GEE778872 GOA778872 GXW778872 HHS778872 HRO778872 IBK778872 ILG778872 IVC778872 JEY778872 JOU778872 JYQ778872 KIM778872 KSI778872 LCE778872 LMA778872 LVW778872 MFS778872 MPO778872 MZK778872 NJG778872 NTC778872 OCY778872 OMU778872 OWQ778872 PGM778872 PQI778872 QAE778872 QKA778872 QTW778872 RDS778872 RNO778872 RXK778872 SHG778872 SRC778872 TAY778872 TKU778872 TUQ778872 UEM778872 UOI778872 UYE778872 VIA778872 VRW778872 WBS778872 WLO778872 WVK778872 C844408 IY844408 SU844408 ACQ844408 AMM844408 AWI844408 BGE844408 BQA844408 BZW844408 CJS844408 CTO844408 DDK844408 DNG844408 DXC844408 EGY844408 EQU844408 FAQ844408 FKM844408 FUI844408 GEE844408 GOA844408 GXW844408 HHS844408 HRO844408 IBK844408 ILG844408 IVC844408 JEY844408 JOU844408 JYQ844408 KIM844408 KSI844408 LCE844408 LMA844408 LVW844408 MFS844408 MPO844408 MZK844408 NJG844408 NTC844408 OCY844408 OMU844408 OWQ844408 PGM844408 PQI844408 QAE844408 QKA844408 QTW844408 RDS844408 RNO844408 RXK844408 SHG844408 SRC844408 TAY844408 TKU844408 TUQ844408 UEM844408 UOI844408 UYE844408 VIA844408 VRW844408 WBS844408 WLO844408 WVK844408 C909944 IY909944 SU909944 ACQ909944 AMM909944 AWI909944 BGE909944 BQA909944 BZW909944 CJS909944 CTO909944 DDK909944 DNG909944 DXC909944 EGY909944 EQU909944 FAQ909944 FKM909944 FUI909944 GEE909944 GOA909944 GXW909944 HHS909944 HRO909944 IBK909944 ILG909944 IVC909944 JEY909944 JOU909944 JYQ909944 KIM909944 KSI909944 LCE909944 LMA909944 LVW909944 MFS909944 MPO909944 MZK909944 NJG909944 NTC909944 OCY909944 OMU909944 OWQ909944 PGM909944 PQI909944 QAE909944 QKA909944 QTW909944 RDS909944 RNO909944 RXK909944 SHG909944 SRC909944 TAY909944 TKU909944 TUQ909944 UEM909944 UOI909944 UYE909944 VIA909944 VRW909944 WBS909944 WLO909944 WVK909944 C975480 IY975480 SU975480 ACQ975480 AMM975480 AWI975480 BGE975480 BQA975480 BZW975480 CJS975480 CTO975480 DDK975480 DNG975480 DXC975480 EGY975480 EQU975480 FAQ975480 FKM975480 FUI975480 GEE975480 GOA975480 GXW975480 HHS975480 HRO975480 IBK975480 ILG975480 IVC975480 JEY975480 JOU975480 JYQ975480 KIM975480 KSI975480 LCE975480 LMA975480 LVW975480 MFS975480 MPO975480 MZK975480 NJG975480 NTC975480 OCY975480 OMU975480 OWQ975480 PGM975480 PQI975480 QAE975480 QKA975480 QTW975480 RDS975480 RNO975480 RXK975480 SHG975480 SRC975480 TAY975480 TKU975480 TUQ975480 UEM975480 UOI975480 UYE975480 VIA975480 VRW975480 WBS975480 WLO975480 WVK975480 C1041016 IY1041016 SU1041016 ACQ1041016 AMM1041016 AWI1041016 BGE1041016 BQA1041016 BZW1041016 CJS1041016 CTO1041016 DDK1041016 DNG1041016 DXC1041016 EGY1041016 EQU1041016 FAQ1041016 FKM1041016 FUI1041016 GEE1041016 GOA1041016 GXW1041016 HHS1041016 HRO1041016 IBK1041016 ILG1041016 IVC1041016 JEY1041016 JOU1041016 JYQ1041016 KIM1041016 KSI1041016 LCE1041016 LMA1041016 LVW1041016 MFS1041016 MPO1041016 MZK1041016 NJG1041016 NTC1041016 OCY1041016 OMU1041016 OWQ1041016 PGM1041016 PQI1041016 QAE1041016 QKA1041016 QTW1041016 RDS1041016 RNO1041016 RXK1041016 SHG1041016 SRC1041016 TAY1041016 TKU1041016 TUQ1041016 UEM1041016 UOI1041016 UYE1041016 VIA1041016 VRW1041016 WBS1041016 WLO1041016 WVK1041016 GU57976 QQ57976 AAM57976 AKI57976 AUE57976 BEA57976 BNW57976 BXS57976 CHO57976 CRK57976 DBG57976 DLC57976 DUY57976 EEU57976 EOQ57976 EYM57976 FII57976 FSE57976 GCA57976 GLW57976 GVS57976 HFO57976 HPK57976 HZG57976 IJC57976 ISY57976 JCU57976 JMQ57976 JWM57976 KGI57976 KQE57976 LAA57976 LJW57976 LTS57976 MDO57976 MNK57976 MXG57976 NHC57976 NQY57976 OAU57976 OKQ57976 OUM57976 PEI57976 POE57976 PYA57976 QHW57976 QRS57976 RBO57976 RLK57976 RVG57976 SFC57976 SOY57976 SYU57976 TIQ57976 TSM57976 UCI57976 UME57976 UWA57976 VFW57976 VPS57976 VZO57976 WJK57976 WTG57976 XDC57976 GU123512 QQ123512 AAM123512 AKI123512 AUE123512 BEA123512 BNW123512 BXS123512 CHO123512 CRK123512 DBG123512 DLC123512 DUY123512 EEU123512 EOQ123512 EYM123512 FII123512 FSE123512 GCA123512 GLW123512 GVS123512 HFO123512 HPK123512 HZG123512 IJC123512 ISY123512 JCU123512 JMQ123512 JWM123512 KGI123512 KQE123512 LAA123512 LJW123512 LTS123512 MDO123512 MNK123512 MXG123512 NHC123512 NQY123512 OAU123512 OKQ123512 OUM123512 PEI123512 POE123512 PYA123512 QHW123512 QRS123512 RBO123512 RLK123512 RVG123512 SFC123512 SOY123512 SYU123512 TIQ123512 TSM123512 UCI123512 UME123512 UWA123512 VFW123512 VPS123512 VZO123512 WJK123512 WTG123512 XDC123512 GU189048 QQ189048 AAM189048 AKI189048 AUE189048 BEA189048 BNW189048 BXS189048 CHO189048 CRK189048 DBG189048 DLC189048 DUY189048 EEU189048 EOQ189048 EYM189048 FII189048 FSE189048 GCA189048 GLW189048 GVS189048 HFO189048 HPK189048 HZG189048 IJC189048 ISY189048 JCU189048 JMQ189048 JWM189048 KGI189048 KQE189048 LAA189048 LJW189048 LTS189048 MDO189048 MNK189048 MXG189048 NHC189048 NQY189048 OAU189048 OKQ189048 OUM189048 PEI189048 POE189048 PYA189048 QHW189048 QRS189048 RBO189048 RLK189048 RVG189048 SFC189048 SOY189048 SYU189048 TIQ189048 TSM189048 UCI189048 UME189048 UWA189048 VFW189048 VPS189048 VZO189048 WJK189048 WTG189048 XDC189048 GU254584 QQ254584 AAM254584 AKI254584 AUE254584 BEA254584 BNW254584 BXS254584 CHO254584 CRK254584 DBG254584 DLC254584 DUY254584 EEU254584 EOQ254584 EYM254584 FII254584 FSE254584 GCA254584 GLW254584 GVS254584 HFO254584 HPK254584 HZG254584 IJC254584 ISY254584 JCU254584 JMQ254584 JWM254584 KGI254584 KQE254584 LAA254584 LJW254584 LTS254584 MDO254584 MNK254584 MXG254584 NHC254584 NQY254584 OAU254584 OKQ254584 OUM254584 PEI254584 POE254584 PYA254584 QHW254584 QRS254584 RBO254584 RLK254584 RVG254584 SFC254584 SOY254584 SYU254584 TIQ254584 TSM254584 UCI254584 UME254584 UWA254584 VFW254584 VPS254584 VZO254584 WJK254584 WTG254584 XDC254584 GU320120 QQ320120 AAM320120 AKI320120 AUE320120 BEA320120 BNW320120 BXS320120 CHO320120 CRK320120 DBG320120 DLC320120 DUY320120 EEU320120 EOQ320120 EYM320120 FII320120 FSE320120 GCA320120 GLW320120 GVS320120 HFO320120 HPK320120 HZG320120 IJC320120 ISY320120 JCU320120 JMQ320120 JWM320120 KGI320120 KQE320120 LAA320120 LJW320120 LTS320120 MDO320120 MNK320120 MXG320120 NHC320120 NQY320120 OAU320120 OKQ320120 OUM320120 PEI320120 POE320120 PYA320120 QHW320120 QRS320120 RBO320120 RLK320120 RVG320120 SFC320120 SOY320120 SYU320120 TIQ320120 TSM320120 UCI320120 UME320120 UWA320120 VFW320120 VPS320120 VZO320120 WJK320120 WTG320120 XDC320120 GU385656 QQ385656 AAM385656 AKI385656 AUE385656 BEA385656 BNW385656 BXS385656 CHO385656 CRK385656 DBG385656 DLC385656 DUY385656 EEU385656 EOQ385656 EYM385656 FII385656 FSE385656 GCA385656 GLW385656 GVS385656 HFO385656 HPK385656 HZG385656 IJC385656 ISY385656 JCU385656 JMQ385656 JWM385656 KGI385656 KQE385656 LAA385656 LJW385656 LTS385656 MDO385656 MNK385656 MXG385656 NHC385656 NQY385656 OAU385656 OKQ385656 OUM385656 PEI385656 POE385656 PYA385656 QHW385656 QRS385656 RBO385656 RLK385656 RVG385656 SFC385656 SOY385656 SYU385656 TIQ385656 TSM385656 UCI385656 UME385656 UWA385656 VFW385656 VPS385656 VZO385656 WJK385656 WTG385656 XDC385656 GU451192 QQ451192 AAM451192 AKI451192 AUE451192 BEA451192 BNW451192 BXS451192 CHO451192 CRK451192 DBG451192 DLC451192 DUY451192 EEU451192 EOQ451192 EYM451192 FII451192 FSE451192 GCA451192 GLW451192 GVS451192 HFO451192 HPK451192 HZG451192 IJC451192 ISY451192 JCU451192 JMQ451192 JWM451192 KGI451192 KQE451192 LAA451192 LJW451192 LTS451192 MDO451192 MNK451192 MXG451192 NHC451192 NQY451192 OAU451192 OKQ451192 OUM451192 PEI451192 POE451192 PYA451192 QHW451192 QRS451192 RBO451192 RLK451192 RVG451192 SFC451192 SOY451192 SYU451192 TIQ451192 TSM451192 UCI451192 UME451192 UWA451192 VFW451192 VPS451192 VZO451192 WJK451192 WTG451192 XDC451192 GU516728 QQ516728 AAM516728 AKI516728 AUE516728 BEA516728 BNW516728 BXS516728 CHO516728 CRK516728 DBG516728 DLC516728 DUY516728 EEU516728 EOQ516728 EYM516728 FII516728 FSE516728 GCA516728 GLW516728 GVS516728 HFO516728 HPK516728 HZG516728 IJC516728 ISY516728 JCU516728 JMQ516728 JWM516728 KGI516728 KQE516728 LAA516728 LJW516728 LTS516728 MDO516728 MNK516728 MXG516728 NHC516728 NQY516728 OAU516728 OKQ516728 OUM516728 PEI516728 POE516728 PYA516728 QHW516728 QRS516728 RBO516728 RLK516728 RVG516728 SFC516728 SOY516728 SYU516728 TIQ516728 TSM516728 UCI516728 UME516728 UWA516728 VFW516728 VPS516728 VZO516728 WJK516728 WTG516728 XDC516728 GU582264 QQ582264 AAM582264 AKI582264 AUE582264 BEA582264 BNW582264 BXS582264 CHO582264 CRK582264 DBG582264 DLC582264 DUY582264 EEU582264 EOQ582264 EYM582264 FII582264 FSE582264 GCA582264 GLW582264 GVS582264 HFO582264 HPK582264 HZG582264 IJC582264 ISY582264 JCU582264 JMQ582264 JWM582264 KGI582264 KQE582264 LAA582264 LJW582264 LTS582264 MDO582264 MNK582264 MXG582264 NHC582264 NQY582264 OAU582264 OKQ582264 OUM582264 PEI582264 POE582264 PYA582264 QHW582264 QRS582264 RBO582264 RLK582264 RVG582264 SFC582264 SOY582264 SYU582264 TIQ582264 TSM582264 UCI582264 UME582264 UWA582264 VFW582264 VPS582264 VZO582264 WJK582264 WTG582264 XDC582264 GU647800 QQ647800 AAM647800 AKI647800 AUE647800 BEA647800 BNW647800 BXS647800 CHO647800 CRK647800 DBG647800 DLC647800 DUY647800 EEU647800 EOQ647800 EYM647800 FII647800 FSE647800 GCA647800 GLW647800 GVS647800 HFO647800 HPK647800 HZG647800 IJC647800 ISY647800 JCU647800 JMQ647800 JWM647800 KGI647800 KQE647800 LAA647800 LJW647800 LTS647800 MDO647800 MNK647800 MXG647800 NHC647800 NQY647800 OAU647800 OKQ647800 OUM647800 PEI647800 POE647800 PYA647800 QHW647800 QRS647800 RBO647800 RLK647800 RVG647800 SFC647800 SOY647800 SYU647800 TIQ647800 TSM647800 UCI647800 UME647800 UWA647800 VFW647800 VPS647800 VZO647800 WJK647800 WTG647800 XDC647800 GU713336 QQ713336 AAM713336 AKI713336 AUE713336 BEA713336 BNW713336 BXS713336 CHO713336 CRK713336 DBG713336 DLC713336 DUY713336 EEU713336 EOQ713336 EYM713336 FII713336 FSE713336 GCA713336 GLW713336 GVS713336 HFO713336 HPK713336 HZG713336 IJC713336 ISY713336 JCU713336 JMQ713336 JWM713336 KGI713336 KQE713336 LAA713336 LJW713336 LTS713336 MDO713336 MNK713336 MXG713336 NHC713336 NQY713336 OAU713336 OKQ713336 OUM713336 PEI713336 POE713336 PYA713336 QHW713336 QRS713336 RBO713336 RLK713336 RVG713336 SFC713336 SOY713336 SYU713336 TIQ713336 TSM713336 UCI713336 UME713336 UWA713336 VFW713336 VPS713336 VZO713336 WJK713336 WTG713336 XDC713336 GU778872 QQ778872 AAM778872 AKI778872 AUE778872 BEA778872 BNW778872 BXS778872 CHO778872 CRK778872 DBG778872 DLC778872 DUY778872 EEU778872 EOQ778872 EYM778872 FII778872 FSE778872 GCA778872 GLW778872 GVS778872 HFO778872 HPK778872 HZG778872 IJC778872 ISY778872 JCU778872 JMQ778872 JWM778872 KGI778872 KQE778872 LAA778872 LJW778872 LTS778872 MDO778872 MNK778872 MXG778872 NHC778872 NQY778872 OAU778872 OKQ778872 OUM778872 PEI778872 POE778872 PYA778872 QHW778872 QRS778872 RBO778872 RLK778872 RVG778872 SFC778872 SOY778872 SYU778872 TIQ778872 TSM778872 UCI778872 UME778872 UWA778872 VFW778872 VPS778872 VZO778872 WJK778872 WTG778872 XDC778872 GU844408 QQ844408 AAM844408 AKI844408 AUE844408 BEA844408 BNW844408 BXS844408 CHO844408 CRK844408 DBG844408 DLC844408 DUY844408 EEU844408 EOQ844408 EYM844408 FII844408 FSE844408 GCA844408 GLW844408 GVS844408 HFO844408 HPK844408 HZG844408 IJC844408 ISY844408 JCU844408 JMQ844408 JWM844408 KGI844408 KQE844408 LAA844408 LJW844408 LTS844408 MDO844408 MNK844408 MXG844408 NHC844408 NQY844408 OAU844408 OKQ844408 OUM844408 PEI844408 POE844408 PYA844408 QHW844408 QRS844408 RBO844408 RLK844408 RVG844408 SFC844408 SOY844408 SYU844408 TIQ844408 TSM844408 UCI844408 UME844408 UWA844408 VFW844408 VPS844408 VZO844408 WJK844408 WTG844408 XDC844408 GU909944 QQ909944 AAM909944 AKI909944 AUE909944 BEA909944 BNW909944 BXS909944 CHO909944 CRK909944 DBG909944 DLC909944 DUY909944 EEU909944 EOQ909944 EYM909944 FII909944 FSE909944 GCA909944 GLW909944 GVS909944 HFO909944 HPK909944 HZG909944 IJC909944 ISY909944 JCU909944 JMQ909944 JWM909944 KGI909944 KQE909944 LAA909944 LJW909944 LTS909944 MDO909944 MNK909944 MXG909944 NHC909944 NQY909944 OAU909944 OKQ909944 OUM909944 PEI909944 POE909944 PYA909944 QHW909944 QRS909944 RBO909944 RLK909944 RVG909944 SFC909944 SOY909944 SYU909944 TIQ909944 TSM909944 UCI909944 UME909944 UWA909944 VFW909944 VPS909944 VZO909944 WJK909944 WTG909944 XDC909944 GU975480 QQ975480 AAM975480 AKI975480 AUE975480 BEA975480 BNW975480 BXS975480 CHO975480 CRK975480 DBG975480 DLC975480 DUY975480 EEU975480 EOQ975480 EYM975480 FII975480 FSE975480 GCA975480 GLW975480 GVS975480 HFO975480 HPK975480 HZG975480 IJC975480 ISY975480 JCU975480 JMQ975480 JWM975480 KGI975480 KQE975480 LAA975480 LJW975480 LTS975480 MDO975480 MNK975480 MXG975480 NHC975480 NQY975480 OAU975480 OKQ975480 OUM975480 PEI975480 POE975480 PYA975480 QHW975480 QRS975480 RBO975480 RLK975480 RVG975480 SFC975480 SOY975480 SYU975480 TIQ975480 TSM975480 UCI975480 UME975480 UWA975480 VFW975480 VPS975480 VZO975480 WJK975480 WTG975480 XDC975480 GU1041016 QQ1041016 AAM1041016 AKI1041016 AUE1041016 BEA1041016 BNW1041016 BXS1041016 CHO1041016 CRK1041016 DBG1041016 DLC1041016 DUY1041016 EEU1041016 EOQ1041016 EYM1041016 FII1041016 FSE1041016 GCA1041016 GLW1041016 GVS1041016 HFO1041016 HPK1041016 HZG1041016 IJC1041016 ISY1041016 JCU1041016 JMQ1041016 JWM1041016 KGI1041016 KQE1041016 LAA1041016 LJW1041016 LTS1041016 MDO1041016 MNK1041016 MXG1041016 NHC1041016 NQY1041016 OAU1041016 OKQ1041016 OUM1041016 PEI1041016 POE1041016 PYA1041016 QHW1041016 QRS1041016 RBO1041016 RLK1041016 RVG1041016 SFC1041016 SOY1041016 SYU1041016 TIQ1041016 TSM1041016 UCI1041016 UME1041016 UWA1041016 VFW1041016 VPS1041016 VZO1041016 WJK1041016 WTG1041016 XDC1041016" xr:uid="{6677CA97-42EF-4469-A73E-7784CCCFF14B}">
      <formula1>"Period Type"</formula1>
    </dataValidation>
    <dataValidation type="custom" showInputMessage="1" showErrorMessage="1" sqref="C12 IY12 SU12 ACQ12 AMM12 AWI12 BGE12 BQA12 BZW12 CJS12 CTO12 DDK12 DNG12 DXC12 EGY12 EQU12 FAQ12 FKM12 FUI12 GEE12 GOA12 GXW12 HHS12 HRO12 IBK12 ILG12 IVC12 JEY12 JOU12 JYQ12 KIM12 KSI12 LCE12 LMA12 LVW12 MFS12 MPO12 MZK12 NJG12 NTC12 OCY12 OMU12 OWQ12 PGM12 PQI12 QAE12 QKA12 QTW12 RDS12 RNO12 RXK12 SHG12 SRC12 TAY12 TKU12 TUQ12 UEM12 UOI12 UYE12 VIA12 VRW12 WBS12 WLO12 WVK12 C65547 IY65547 SU65547 ACQ65547 AMM65547 AWI65547 BGE65547 BQA65547 BZW65547 CJS65547 CTO65547 DDK65547 DNG65547 DXC65547 EGY65547 EQU65547 FAQ65547 FKM65547 FUI65547 GEE65547 GOA65547 GXW65547 HHS65547 HRO65547 IBK65547 ILG65547 IVC65547 JEY65547 JOU65547 JYQ65547 KIM65547 KSI65547 LCE65547 LMA65547 LVW65547 MFS65547 MPO65547 MZK65547 NJG65547 NTC65547 OCY65547 OMU65547 OWQ65547 PGM65547 PQI65547 QAE65547 QKA65547 QTW65547 RDS65547 RNO65547 RXK65547 SHG65547 SRC65547 TAY65547 TKU65547 TUQ65547 UEM65547 UOI65547 UYE65547 VIA65547 VRW65547 WBS65547 WLO65547 WVK65547 C131083 IY131083 SU131083 ACQ131083 AMM131083 AWI131083 BGE131083 BQA131083 BZW131083 CJS131083 CTO131083 DDK131083 DNG131083 DXC131083 EGY131083 EQU131083 FAQ131083 FKM131083 FUI131083 GEE131083 GOA131083 GXW131083 HHS131083 HRO131083 IBK131083 ILG131083 IVC131083 JEY131083 JOU131083 JYQ131083 KIM131083 KSI131083 LCE131083 LMA131083 LVW131083 MFS131083 MPO131083 MZK131083 NJG131083 NTC131083 OCY131083 OMU131083 OWQ131083 PGM131083 PQI131083 QAE131083 QKA131083 QTW131083 RDS131083 RNO131083 RXK131083 SHG131083 SRC131083 TAY131083 TKU131083 TUQ131083 UEM131083 UOI131083 UYE131083 VIA131083 VRW131083 WBS131083 WLO131083 WVK131083 C196619 IY196619 SU196619 ACQ196619 AMM196619 AWI196619 BGE196619 BQA196619 BZW196619 CJS196619 CTO196619 DDK196619 DNG196619 DXC196619 EGY196619 EQU196619 FAQ196619 FKM196619 FUI196619 GEE196619 GOA196619 GXW196619 HHS196619 HRO196619 IBK196619 ILG196619 IVC196619 JEY196619 JOU196619 JYQ196619 KIM196619 KSI196619 LCE196619 LMA196619 LVW196619 MFS196619 MPO196619 MZK196619 NJG196619 NTC196619 OCY196619 OMU196619 OWQ196619 PGM196619 PQI196619 QAE196619 QKA196619 QTW196619 RDS196619 RNO196619 RXK196619 SHG196619 SRC196619 TAY196619 TKU196619 TUQ196619 UEM196619 UOI196619 UYE196619 VIA196619 VRW196619 WBS196619 WLO196619 WVK196619 C262155 IY262155 SU262155 ACQ262155 AMM262155 AWI262155 BGE262155 BQA262155 BZW262155 CJS262155 CTO262155 DDK262155 DNG262155 DXC262155 EGY262155 EQU262155 FAQ262155 FKM262155 FUI262155 GEE262155 GOA262155 GXW262155 HHS262155 HRO262155 IBK262155 ILG262155 IVC262155 JEY262155 JOU262155 JYQ262155 KIM262155 KSI262155 LCE262155 LMA262155 LVW262155 MFS262155 MPO262155 MZK262155 NJG262155 NTC262155 OCY262155 OMU262155 OWQ262155 PGM262155 PQI262155 QAE262155 QKA262155 QTW262155 RDS262155 RNO262155 RXK262155 SHG262155 SRC262155 TAY262155 TKU262155 TUQ262155 UEM262155 UOI262155 UYE262155 VIA262155 VRW262155 WBS262155 WLO262155 WVK262155 C327691 IY327691 SU327691 ACQ327691 AMM327691 AWI327691 BGE327691 BQA327691 BZW327691 CJS327691 CTO327691 DDK327691 DNG327691 DXC327691 EGY327691 EQU327691 FAQ327691 FKM327691 FUI327691 GEE327691 GOA327691 GXW327691 HHS327691 HRO327691 IBK327691 ILG327691 IVC327691 JEY327691 JOU327691 JYQ327691 KIM327691 KSI327691 LCE327691 LMA327691 LVW327691 MFS327691 MPO327691 MZK327691 NJG327691 NTC327691 OCY327691 OMU327691 OWQ327691 PGM327691 PQI327691 QAE327691 QKA327691 QTW327691 RDS327691 RNO327691 RXK327691 SHG327691 SRC327691 TAY327691 TKU327691 TUQ327691 UEM327691 UOI327691 UYE327691 VIA327691 VRW327691 WBS327691 WLO327691 WVK327691 C393227 IY393227 SU393227 ACQ393227 AMM393227 AWI393227 BGE393227 BQA393227 BZW393227 CJS393227 CTO393227 DDK393227 DNG393227 DXC393227 EGY393227 EQU393227 FAQ393227 FKM393227 FUI393227 GEE393227 GOA393227 GXW393227 HHS393227 HRO393227 IBK393227 ILG393227 IVC393227 JEY393227 JOU393227 JYQ393227 KIM393227 KSI393227 LCE393227 LMA393227 LVW393227 MFS393227 MPO393227 MZK393227 NJG393227 NTC393227 OCY393227 OMU393227 OWQ393227 PGM393227 PQI393227 QAE393227 QKA393227 QTW393227 RDS393227 RNO393227 RXK393227 SHG393227 SRC393227 TAY393227 TKU393227 TUQ393227 UEM393227 UOI393227 UYE393227 VIA393227 VRW393227 WBS393227 WLO393227 WVK393227 C458763 IY458763 SU458763 ACQ458763 AMM458763 AWI458763 BGE458763 BQA458763 BZW458763 CJS458763 CTO458763 DDK458763 DNG458763 DXC458763 EGY458763 EQU458763 FAQ458763 FKM458763 FUI458763 GEE458763 GOA458763 GXW458763 HHS458763 HRO458763 IBK458763 ILG458763 IVC458763 JEY458763 JOU458763 JYQ458763 KIM458763 KSI458763 LCE458763 LMA458763 LVW458763 MFS458763 MPO458763 MZK458763 NJG458763 NTC458763 OCY458763 OMU458763 OWQ458763 PGM458763 PQI458763 QAE458763 QKA458763 QTW458763 RDS458763 RNO458763 RXK458763 SHG458763 SRC458763 TAY458763 TKU458763 TUQ458763 UEM458763 UOI458763 UYE458763 VIA458763 VRW458763 WBS458763 WLO458763 WVK458763 C524299 IY524299 SU524299 ACQ524299 AMM524299 AWI524299 BGE524299 BQA524299 BZW524299 CJS524299 CTO524299 DDK524299 DNG524299 DXC524299 EGY524299 EQU524299 FAQ524299 FKM524299 FUI524299 GEE524299 GOA524299 GXW524299 HHS524299 HRO524299 IBK524299 ILG524299 IVC524299 JEY524299 JOU524299 JYQ524299 KIM524299 KSI524299 LCE524299 LMA524299 LVW524299 MFS524299 MPO524299 MZK524299 NJG524299 NTC524299 OCY524299 OMU524299 OWQ524299 PGM524299 PQI524299 QAE524299 QKA524299 QTW524299 RDS524299 RNO524299 RXK524299 SHG524299 SRC524299 TAY524299 TKU524299 TUQ524299 UEM524299 UOI524299 UYE524299 VIA524299 VRW524299 WBS524299 WLO524299 WVK524299 C589835 IY589835 SU589835 ACQ589835 AMM589835 AWI589835 BGE589835 BQA589835 BZW589835 CJS589835 CTO589835 DDK589835 DNG589835 DXC589835 EGY589835 EQU589835 FAQ589835 FKM589835 FUI589835 GEE589835 GOA589835 GXW589835 HHS589835 HRO589835 IBK589835 ILG589835 IVC589835 JEY589835 JOU589835 JYQ589835 KIM589835 KSI589835 LCE589835 LMA589835 LVW589835 MFS589835 MPO589835 MZK589835 NJG589835 NTC589835 OCY589835 OMU589835 OWQ589835 PGM589835 PQI589835 QAE589835 QKA589835 QTW589835 RDS589835 RNO589835 RXK589835 SHG589835 SRC589835 TAY589835 TKU589835 TUQ589835 UEM589835 UOI589835 UYE589835 VIA589835 VRW589835 WBS589835 WLO589835 WVK589835 C655371 IY655371 SU655371 ACQ655371 AMM655371 AWI655371 BGE655371 BQA655371 BZW655371 CJS655371 CTO655371 DDK655371 DNG655371 DXC655371 EGY655371 EQU655371 FAQ655371 FKM655371 FUI655371 GEE655371 GOA655371 GXW655371 HHS655371 HRO655371 IBK655371 ILG655371 IVC655371 JEY655371 JOU655371 JYQ655371 KIM655371 KSI655371 LCE655371 LMA655371 LVW655371 MFS655371 MPO655371 MZK655371 NJG655371 NTC655371 OCY655371 OMU655371 OWQ655371 PGM655371 PQI655371 QAE655371 QKA655371 QTW655371 RDS655371 RNO655371 RXK655371 SHG655371 SRC655371 TAY655371 TKU655371 TUQ655371 UEM655371 UOI655371 UYE655371 VIA655371 VRW655371 WBS655371 WLO655371 WVK655371 C720907 IY720907 SU720907 ACQ720907 AMM720907 AWI720907 BGE720907 BQA720907 BZW720907 CJS720907 CTO720907 DDK720907 DNG720907 DXC720907 EGY720907 EQU720907 FAQ720907 FKM720907 FUI720907 GEE720907 GOA720907 GXW720907 HHS720907 HRO720907 IBK720907 ILG720907 IVC720907 JEY720907 JOU720907 JYQ720907 KIM720907 KSI720907 LCE720907 LMA720907 LVW720907 MFS720907 MPO720907 MZK720907 NJG720907 NTC720907 OCY720907 OMU720907 OWQ720907 PGM720907 PQI720907 QAE720907 QKA720907 QTW720907 RDS720907 RNO720907 RXK720907 SHG720907 SRC720907 TAY720907 TKU720907 TUQ720907 UEM720907 UOI720907 UYE720907 VIA720907 VRW720907 WBS720907 WLO720907 WVK720907 C786443 IY786443 SU786443 ACQ786443 AMM786443 AWI786443 BGE786443 BQA786443 BZW786443 CJS786443 CTO786443 DDK786443 DNG786443 DXC786443 EGY786443 EQU786443 FAQ786443 FKM786443 FUI786443 GEE786443 GOA786443 GXW786443 HHS786443 HRO786443 IBK786443 ILG786443 IVC786443 JEY786443 JOU786443 JYQ786443 KIM786443 KSI786443 LCE786443 LMA786443 LVW786443 MFS786443 MPO786443 MZK786443 NJG786443 NTC786443 OCY786443 OMU786443 OWQ786443 PGM786443 PQI786443 QAE786443 QKA786443 QTW786443 RDS786443 RNO786443 RXK786443 SHG786443 SRC786443 TAY786443 TKU786443 TUQ786443 UEM786443 UOI786443 UYE786443 VIA786443 VRW786443 WBS786443 WLO786443 WVK786443 C851979 IY851979 SU851979 ACQ851979 AMM851979 AWI851979 BGE851979 BQA851979 BZW851979 CJS851979 CTO851979 DDK851979 DNG851979 DXC851979 EGY851979 EQU851979 FAQ851979 FKM851979 FUI851979 GEE851979 GOA851979 GXW851979 HHS851979 HRO851979 IBK851979 ILG851979 IVC851979 JEY851979 JOU851979 JYQ851979 KIM851979 KSI851979 LCE851979 LMA851979 LVW851979 MFS851979 MPO851979 MZK851979 NJG851979 NTC851979 OCY851979 OMU851979 OWQ851979 PGM851979 PQI851979 QAE851979 QKA851979 QTW851979 RDS851979 RNO851979 RXK851979 SHG851979 SRC851979 TAY851979 TKU851979 TUQ851979 UEM851979 UOI851979 UYE851979 VIA851979 VRW851979 WBS851979 WLO851979 WVK851979 C917515 IY917515 SU917515 ACQ917515 AMM917515 AWI917515 BGE917515 BQA917515 BZW917515 CJS917515 CTO917515 DDK917515 DNG917515 DXC917515 EGY917515 EQU917515 FAQ917515 FKM917515 FUI917515 GEE917515 GOA917515 GXW917515 HHS917515 HRO917515 IBK917515 ILG917515 IVC917515 JEY917515 JOU917515 JYQ917515 KIM917515 KSI917515 LCE917515 LMA917515 LVW917515 MFS917515 MPO917515 MZK917515 NJG917515 NTC917515 OCY917515 OMU917515 OWQ917515 PGM917515 PQI917515 QAE917515 QKA917515 QTW917515 RDS917515 RNO917515 RXK917515 SHG917515 SRC917515 TAY917515 TKU917515 TUQ917515 UEM917515 UOI917515 UYE917515 VIA917515 VRW917515 WBS917515 WLO917515 WVK917515 C983051 IY983051 SU983051 ACQ983051 AMM983051 AWI983051 BGE983051 BQA983051 BZW983051 CJS983051 CTO983051 DDK983051 DNG983051 DXC983051 EGY983051 EQU983051 FAQ983051 FKM983051 FUI983051 GEE983051 GOA983051 GXW983051 HHS983051 HRO983051 IBK983051 ILG983051 IVC983051 JEY983051 JOU983051 JYQ983051 KIM983051 KSI983051 LCE983051 LMA983051 LVW983051 MFS983051 MPO983051 MZK983051 NJG983051 NTC983051 OCY983051 OMU983051 OWQ983051 PGM983051 PQI983051 QAE983051 QKA983051 QTW983051 RDS983051 RNO983051 RXK983051 SHG983051 SRC983051 TAY983051 TKU983051 TUQ983051 UEM983051 UOI983051 UYE983051 VIA983051 VRW983051 WBS983051 WLO983051 WVK983051 GU12 QQ12 AAM12 AKI12 AUE12 BEA12 BNW12 BXS12 CHO12 CRK12 DBG12 DLC12 DUY12 EEU12 EOQ12 EYM12 FII12 FSE12 GCA12 GLW12 GVS12 HFO12 HPK12 HZG12 IJC12 ISY12 JCU12 JMQ12 JWM12 KGI12 KQE12 LAA12 LJW12 LTS12 MDO12 MNK12 MXG12 NHC12 NQY12 OAU12 OKQ12 OUM12 PEI12 POE12 PYA12 QHW12 QRS12 RBO12 RLK12 RVG12 SFC12 SOY12 SYU12 TIQ12 TSM12 UCI12 UME12 UWA12 VFW12 VPS12 VZO12 WJK12 WTG12 XDC12 GU65547 QQ65547 AAM65547 AKI65547 AUE65547 BEA65547 BNW65547 BXS65547 CHO65547 CRK65547 DBG65547 DLC65547 DUY65547 EEU65547 EOQ65547 EYM65547 FII65547 FSE65547 GCA65547 GLW65547 GVS65547 HFO65547 HPK65547 HZG65547 IJC65547 ISY65547 JCU65547 JMQ65547 JWM65547 KGI65547 KQE65547 LAA65547 LJW65547 LTS65547 MDO65547 MNK65547 MXG65547 NHC65547 NQY65547 OAU65547 OKQ65547 OUM65547 PEI65547 POE65547 PYA65547 QHW65547 QRS65547 RBO65547 RLK65547 RVG65547 SFC65547 SOY65547 SYU65547 TIQ65547 TSM65547 UCI65547 UME65547 UWA65547 VFW65547 VPS65547 VZO65547 WJK65547 WTG65547 XDC65547 GU131083 QQ131083 AAM131083 AKI131083 AUE131083 BEA131083 BNW131083 BXS131083 CHO131083 CRK131083 DBG131083 DLC131083 DUY131083 EEU131083 EOQ131083 EYM131083 FII131083 FSE131083 GCA131083 GLW131083 GVS131083 HFO131083 HPK131083 HZG131083 IJC131083 ISY131083 JCU131083 JMQ131083 JWM131083 KGI131083 KQE131083 LAA131083 LJW131083 LTS131083 MDO131083 MNK131083 MXG131083 NHC131083 NQY131083 OAU131083 OKQ131083 OUM131083 PEI131083 POE131083 PYA131083 QHW131083 QRS131083 RBO131083 RLK131083 RVG131083 SFC131083 SOY131083 SYU131083 TIQ131083 TSM131083 UCI131083 UME131083 UWA131083 VFW131083 VPS131083 VZO131083 WJK131083 WTG131083 XDC131083 GU196619 QQ196619 AAM196619 AKI196619 AUE196619 BEA196619 BNW196619 BXS196619 CHO196619 CRK196619 DBG196619 DLC196619 DUY196619 EEU196619 EOQ196619 EYM196619 FII196619 FSE196619 GCA196619 GLW196619 GVS196619 HFO196619 HPK196619 HZG196619 IJC196619 ISY196619 JCU196619 JMQ196619 JWM196619 KGI196619 KQE196619 LAA196619 LJW196619 LTS196619 MDO196619 MNK196619 MXG196619 NHC196619 NQY196619 OAU196619 OKQ196619 OUM196619 PEI196619 POE196619 PYA196619 QHW196619 QRS196619 RBO196619 RLK196619 RVG196619 SFC196619 SOY196619 SYU196619 TIQ196619 TSM196619 UCI196619 UME196619 UWA196619 VFW196619 VPS196619 VZO196619 WJK196619 WTG196619 XDC196619 GU262155 QQ262155 AAM262155 AKI262155 AUE262155 BEA262155 BNW262155 BXS262155 CHO262155 CRK262155 DBG262155 DLC262155 DUY262155 EEU262155 EOQ262155 EYM262155 FII262155 FSE262155 GCA262155 GLW262155 GVS262155 HFO262155 HPK262155 HZG262155 IJC262155 ISY262155 JCU262155 JMQ262155 JWM262155 KGI262155 KQE262155 LAA262155 LJW262155 LTS262155 MDO262155 MNK262155 MXG262155 NHC262155 NQY262155 OAU262155 OKQ262155 OUM262155 PEI262155 POE262155 PYA262155 QHW262155 QRS262155 RBO262155 RLK262155 RVG262155 SFC262155 SOY262155 SYU262155 TIQ262155 TSM262155 UCI262155 UME262155 UWA262155 VFW262155 VPS262155 VZO262155 WJK262155 WTG262155 XDC262155 GU327691 QQ327691 AAM327691 AKI327691 AUE327691 BEA327691 BNW327691 BXS327691 CHO327691 CRK327691 DBG327691 DLC327691 DUY327691 EEU327691 EOQ327691 EYM327691 FII327691 FSE327691 GCA327691 GLW327691 GVS327691 HFO327691 HPK327691 HZG327691 IJC327691 ISY327691 JCU327691 JMQ327691 JWM327691 KGI327691 KQE327691 LAA327691 LJW327691 LTS327691 MDO327691 MNK327691 MXG327691 NHC327691 NQY327691 OAU327691 OKQ327691 OUM327691 PEI327691 POE327691 PYA327691 QHW327691 QRS327691 RBO327691 RLK327691 RVG327691 SFC327691 SOY327691 SYU327691 TIQ327691 TSM327691 UCI327691 UME327691 UWA327691 VFW327691 VPS327691 VZO327691 WJK327691 WTG327691 XDC327691 GU393227 QQ393227 AAM393227 AKI393227 AUE393227 BEA393227 BNW393227 BXS393227 CHO393227 CRK393227 DBG393227 DLC393227 DUY393227 EEU393227 EOQ393227 EYM393227 FII393227 FSE393227 GCA393227 GLW393227 GVS393227 HFO393227 HPK393227 HZG393227 IJC393227 ISY393227 JCU393227 JMQ393227 JWM393227 KGI393227 KQE393227 LAA393227 LJW393227 LTS393227 MDO393227 MNK393227 MXG393227 NHC393227 NQY393227 OAU393227 OKQ393227 OUM393227 PEI393227 POE393227 PYA393227 QHW393227 QRS393227 RBO393227 RLK393227 RVG393227 SFC393227 SOY393227 SYU393227 TIQ393227 TSM393227 UCI393227 UME393227 UWA393227 VFW393227 VPS393227 VZO393227 WJK393227 WTG393227 XDC393227 GU458763 QQ458763 AAM458763 AKI458763 AUE458763 BEA458763 BNW458763 BXS458763 CHO458763 CRK458763 DBG458763 DLC458763 DUY458763 EEU458763 EOQ458763 EYM458763 FII458763 FSE458763 GCA458763 GLW458763 GVS458763 HFO458763 HPK458763 HZG458763 IJC458763 ISY458763 JCU458763 JMQ458763 JWM458763 KGI458763 KQE458763 LAA458763 LJW458763 LTS458763 MDO458763 MNK458763 MXG458763 NHC458763 NQY458763 OAU458763 OKQ458763 OUM458763 PEI458763 POE458763 PYA458763 QHW458763 QRS458763 RBO458763 RLK458763 RVG458763 SFC458763 SOY458763 SYU458763 TIQ458763 TSM458763 UCI458763 UME458763 UWA458763 VFW458763 VPS458763 VZO458763 WJK458763 WTG458763 XDC458763 GU524299 QQ524299 AAM524299 AKI524299 AUE524299 BEA524299 BNW524299 BXS524299 CHO524299 CRK524299 DBG524299 DLC524299 DUY524299 EEU524299 EOQ524299 EYM524299 FII524299 FSE524299 GCA524299 GLW524299 GVS524299 HFO524299 HPK524299 HZG524299 IJC524299 ISY524299 JCU524299 JMQ524299 JWM524299 KGI524299 KQE524299 LAA524299 LJW524299 LTS524299 MDO524299 MNK524299 MXG524299 NHC524299 NQY524299 OAU524299 OKQ524299 OUM524299 PEI524299 POE524299 PYA524299 QHW524299 QRS524299 RBO524299 RLK524299 RVG524299 SFC524299 SOY524299 SYU524299 TIQ524299 TSM524299 UCI524299 UME524299 UWA524299 VFW524299 VPS524299 VZO524299 WJK524299 WTG524299 XDC524299 GU589835 QQ589835 AAM589835 AKI589835 AUE589835 BEA589835 BNW589835 BXS589835 CHO589835 CRK589835 DBG589835 DLC589835 DUY589835 EEU589835 EOQ589835 EYM589835 FII589835 FSE589835 GCA589835 GLW589835 GVS589835 HFO589835 HPK589835 HZG589835 IJC589835 ISY589835 JCU589835 JMQ589835 JWM589835 KGI589835 KQE589835 LAA589835 LJW589835 LTS589835 MDO589835 MNK589835 MXG589835 NHC589835 NQY589835 OAU589835 OKQ589835 OUM589835 PEI589835 POE589835 PYA589835 QHW589835 QRS589835 RBO589835 RLK589835 RVG589835 SFC589835 SOY589835 SYU589835 TIQ589835 TSM589835 UCI589835 UME589835 UWA589835 VFW589835 VPS589835 VZO589835 WJK589835 WTG589835 XDC589835 GU655371 QQ655371 AAM655371 AKI655371 AUE655371 BEA655371 BNW655371 BXS655371 CHO655371 CRK655371 DBG655371 DLC655371 DUY655371 EEU655371 EOQ655371 EYM655371 FII655371 FSE655371 GCA655371 GLW655371 GVS655371 HFO655371 HPK655371 HZG655371 IJC655371 ISY655371 JCU655371 JMQ655371 JWM655371 KGI655371 KQE655371 LAA655371 LJW655371 LTS655371 MDO655371 MNK655371 MXG655371 NHC655371 NQY655371 OAU655371 OKQ655371 OUM655371 PEI655371 POE655371 PYA655371 QHW655371 QRS655371 RBO655371 RLK655371 RVG655371 SFC655371 SOY655371 SYU655371 TIQ655371 TSM655371 UCI655371 UME655371 UWA655371 VFW655371 VPS655371 VZO655371 WJK655371 WTG655371 XDC655371 GU720907 QQ720907 AAM720907 AKI720907 AUE720907 BEA720907 BNW720907 BXS720907 CHO720907 CRK720907 DBG720907 DLC720907 DUY720907 EEU720907 EOQ720907 EYM720907 FII720907 FSE720907 GCA720907 GLW720907 GVS720907 HFO720907 HPK720907 HZG720907 IJC720907 ISY720907 JCU720907 JMQ720907 JWM720907 KGI720907 KQE720907 LAA720907 LJW720907 LTS720907 MDO720907 MNK720907 MXG720907 NHC720907 NQY720907 OAU720907 OKQ720907 OUM720907 PEI720907 POE720907 PYA720907 QHW720907 QRS720907 RBO720907 RLK720907 RVG720907 SFC720907 SOY720907 SYU720907 TIQ720907 TSM720907 UCI720907 UME720907 UWA720907 VFW720907 VPS720907 VZO720907 WJK720907 WTG720907 XDC720907 GU786443 QQ786443 AAM786443 AKI786443 AUE786443 BEA786443 BNW786443 BXS786443 CHO786443 CRK786443 DBG786443 DLC786443 DUY786443 EEU786443 EOQ786443 EYM786443 FII786443 FSE786443 GCA786443 GLW786443 GVS786443 HFO786443 HPK786443 HZG786443 IJC786443 ISY786443 JCU786443 JMQ786443 JWM786443 KGI786443 KQE786443 LAA786443 LJW786443 LTS786443 MDO786443 MNK786443 MXG786443 NHC786443 NQY786443 OAU786443 OKQ786443 OUM786443 PEI786443 POE786443 PYA786443 QHW786443 QRS786443 RBO786443 RLK786443 RVG786443 SFC786443 SOY786443 SYU786443 TIQ786443 TSM786443 UCI786443 UME786443 UWA786443 VFW786443 VPS786443 VZO786443 WJK786443 WTG786443 XDC786443 GU851979 QQ851979 AAM851979 AKI851979 AUE851979 BEA851979 BNW851979 BXS851979 CHO851979 CRK851979 DBG851979 DLC851979 DUY851979 EEU851979 EOQ851979 EYM851979 FII851979 FSE851979 GCA851979 GLW851979 GVS851979 HFO851979 HPK851979 HZG851979 IJC851979 ISY851979 JCU851979 JMQ851979 JWM851979 KGI851979 KQE851979 LAA851979 LJW851979 LTS851979 MDO851979 MNK851979 MXG851979 NHC851979 NQY851979 OAU851979 OKQ851979 OUM851979 PEI851979 POE851979 PYA851979 QHW851979 QRS851979 RBO851979 RLK851979 RVG851979 SFC851979 SOY851979 SYU851979 TIQ851979 TSM851979 UCI851979 UME851979 UWA851979 VFW851979 VPS851979 VZO851979 WJK851979 WTG851979 XDC851979 GU917515 QQ917515 AAM917515 AKI917515 AUE917515 BEA917515 BNW917515 BXS917515 CHO917515 CRK917515 DBG917515 DLC917515 DUY917515 EEU917515 EOQ917515 EYM917515 FII917515 FSE917515 GCA917515 GLW917515 GVS917515 HFO917515 HPK917515 HZG917515 IJC917515 ISY917515 JCU917515 JMQ917515 JWM917515 KGI917515 KQE917515 LAA917515 LJW917515 LTS917515 MDO917515 MNK917515 MXG917515 NHC917515 NQY917515 OAU917515 OKQ917515 OUM917515 PEI917515 POE917515 PYA917515 QHW917515 QRS917515 RBO917515 RLK917515 RVG917515 SFC917515 SOY917515 SYU917515 TIQ917515 TSM917515 UCI917515 UME917515 UWA917515 VFW917515 VPS917515 VZO917515 WJK917515 WTG917515 XDC917515 GU983051 QQ983051 AAM983051 AKI983051 AUE983051 BEA983051 BNW983051 BXS983051 CHO983051 CRK983051 DBG983051 DLC983051 DUY983051 EEU983051 EOQ983051 EYM983051 FII983051 FSE983051 GCA983051 GLW983051 GVS983051 HFO983051 HPK983051 HZG983051 IJC983051 ISY983051 JCU983051 JMQ983051 JWM983051 KGI983051 KQE983051 LAA983051 LJW983051 LTS983051 MDO983051 MNK983051 MXG983051 NHC983051 NQY983051 OAU983051 OKQ983051 OUM983051 PEI983051 POE983051 PYA983051 QHW983051 QRS983051 RBO983051 RLK983051 RVG983051 SFC983051 SOY983051 SYU983051 TIQ983051 TSM983051 UCI983051 UME983051 UWA983051 VFW983051 VPS983051 VZO983051 WJK983051 WTG983051 XDC983051 C57978 IY57978 SU57978 ACQ57978 AMM57978 AWI57978 BGE57978 BQA57978 BZW57978 CJS57978 CTO57978 DDK57978 DNG57978 DXC57978 EGY57978 EQU57978 FAQ57978 FKM57978 FUI57978 GEE57978 GOA57978 GXW57978 HHS57978 HRO57978 IBK57978 ILG57978 IVC57978 JEY57978 JOU57978 JYQ57978 KIM57978 KSI57978 LCE57978 LMA57978 LVW57978 MFS57978 MPO57978 MZK57978 NJG57978 NTC57978 OCY57978 OMU57978 OWQ57978 PGM57978 PQI57978 QAE57978 QKA57978 QTW57978 RDS57978 RNO57978 RXK57978 SHG57978 SRC57978 TAY57978 TKU57978 TUQ57978 UEM57978 UOI57978 UYE57978 VIA57978 VRW57978 WBS57978 WLO57978 WVK57978 C123514 IY123514 SU123514 ACQ123514 AMM123514 AWI123514 BGE123514 BQA123514 BZW123514 CJS123514 CTO123514 DDK123514 DNG123514 DXC123514 EGY123514 EQU123514 FAQ123514 FKM123514 FUI123514 GEE123514 GOA123514 GXW123514 HHS123514 HRO123514 IBK123514 ILG123514 IVC123514 JEY123514 JOU123514 JYQ123514 KIM123514 KSI123514 LCE123514 LMA123514 LVW123514 MFS123514 MPO123514 MZK123514 NJG123514 NTC123514 OCY123514 OMU123514 OWQ123514 PGM123514 PQI123514 QAE123514 QKA123514 QTW123514 RDS123514 RNO123514 RXK123514 SHG123514 SRC123514 TAY123514 TKU123514 TUQ123514 UEM123514 UOI123514 UYE123514 VIA123514 VRW123514 WBS123514 WLO123514 WVK123514 C189050 IY189050 SU189050 ACQ189050 AMM189050 AWI189050 BGE189050 BQA189050 BZW189050 CJS189050 CTO189050 DDK189050 DNG189050 DXC189050 EGY189050 EQU189050 FAQ189050 FKM189050 FUI189050 GEE189050 GOA189050 GXW189050 HHS189050 HRO189050 IBK189050 ILG189050 IVC189050 JEY189050 JOU189050 JYQ189050 KIM189050 KSI189050 LCE189050 LMA189050 LVW189050 MFS189050 MPO189050 MZK189050 NJG189050 NTC189050 OCY189050 OMU189050 OWQ189050 PGM189050 PQI189050 QAE189050 QKA189050 QTW189050 RDS189050 RNO189050 RXK189050 SHG189050 SRC189050 TAY189050 TKU189050 TUQ189050 UEM189050 UOI189050 UYE189050 VIA189050 VRW189050 WBS189050 WLO189050 WVK189050 C254586 IY254586 SU254586 ACQ254586 AMM254586 AWI254586 BGE254586 BQA254586 BZW254586 CJS254586 CTO254586 DDK254586 DNG254586 DXC254586 EGY254586 EQU254586 FAQ254586 FKM254586 FUI254586 GEE254586 GOA254586 GXW254586 HHS254586 HRO254586 IBK254586 ILG254586 IVC254586 JEY254586 JOU254586 JYQ254586 KIM254586 KSI254586 LCE254586 LMA254586 LVW254586 MFS254586 MPO254586 MZK254586 NJG254586 NTC254586 OCY254586 OMU254586 OWQ254586 PGM254586 PQI254586 QAE254586 QKA254586 QTW254586 RDS254586 RNO254586 RXK254586 SHG254586 SRC254586 TAY254586 TKU254586 TUQ254586 UEM254586 UOI254586 UYE254586 VIA254586 VRW254586 WBS254586 WLO254586 WVK254586 C320122 IY320122 SU320122 ACQ320122 AMM320122 AWI320122 BGE320122 BQA320122 BZW320122 CJS320122 CTO320122 DDK320122 DNG320122 DXC320122 EGY320122 EQU320122 FAQ320122 FKM320122 FUI320122 GEE320122 GOA320122 GXW320122 HHS320122 HRO320122 IBK320122 ILG320122 IVC320122 JEY320122 JOU320122 JYQ320122 KIM320122 KSI320122 LCE320122 LMA320122 LVW320122 MFS320122 MPO320122 MZK320122 NJG320122 NTC320122 OCY320122 OMU320122 OWQ320122 PGM320122 PQI320122 QAE320122 QKA320122 QTW320122 RDS320122 RNO320122 RXK320122 SHG320122 SRC320122 TAY320122 TKU320122 TUQ320122 UEM320122 UOI320122 UYE320122 VIA320122 VRW320122 WBS320122 WLO320122 WVK320122 C385658 IY385658 SU385658 ACQ385658 AMM385658 AWI385658 BGE385658 BQA385658 BZW385658 CJS385658 CTO385658 DDK385658 DNG385658 DXC385658 EGY385658 EQU385658 FAQ385658 FKM385658 FUI385658 GEE385658 GOA385658 GXW385658 HHS385658 HRO385658 IBK385658 ILG385658 IVC385658 JEY385658 JOU385658 JYQ385658 KIM385658 KSI385658 LCE385658 LMA385658 LVW385658 MFS385658 MPO385658 MZK385658 NJG385658 NTC385658 OCY385658 OMU385658 OWQ385658 PGM385658 PQI385658 QAE385658 QKA385658 QTW385658 RDS385658 RNO385658 RXK385658 SHG385658 SRC385658 TAY385658 TKU385658 TUQ385658 UEM385658 UOI385658 UYE385658 VIA385658 VRW385658 WBS385658 WLO385658 WVK385658 C451194 IY451194 SU451194 ACQ451194 AMM451194 AWI451194 BGE451194 BQA451194 BZW451194 CJS451194 CTO451194 DDK451194 DNG451194 DXC451194 EGY451194 EQU451194 FAQ451194 FKM451194 FUI451194 GEE451194 GOA451194 GXW451194 HHS451194 HRO451194 IBK451194 ILG451194 IVC451194 JEY451194 JOU451194 JYQ451194 KIM451194 KSI451194 LCE451194 LMA451194 LVW451194 MFS451194 MPO451194 MZK451194 NJG451194 NTC451194 OCY451194 OMU451194 OWQ451194 PGM451194 PQI451194 QAE451194 QKA451194 QTW451194 RDS451194 RNO451194 RXK451194 SHG451194 SRC451194 TAY451194 TKU451194 TUQ451194 UEM451194 UOI451194 UYE451194 VIA451194 VRW451194 WBS451194 WLO451194 WVK451194 C516730 IY516730 SU516730 ACQ516730 AMM516730 AWI516730 BGE516730 BQA516730 BZW516730 CJS516730 CTO516730 DDK516730 DNG516730 DXC516730 EGY516730 EQU516730 FAQ516730 FKM516730 FUI516730 GEE516730 GOA516730 GXW516730 HHS516730 HRO516730 IBK516730 ILG516730 IVC516730 JEY516730 JOU516730 JYQ516730 KIM516730 KSI516730 LCE516730 LMA516730 LVW516730 MFS516730 MPO516730 MZK516730 NJG516730 NTC516730 OCY516730 OMU516730 OWQ516730 PGM516730 PQI516730 QAE516730 QKA516730 QTW516730 RDS516730 RNO516730 RXK516730 SHG516730 SRC516730 TAY516730 TKU516730 TUQ516730 UEM516730 UOI516730 UYE516730 VIA516730 VRW516730 WBS516730 WLO516730 WVK516730 C582266 IY582266 SU582266 ACQ582266 AMM582266 AWI582266 BGE582266 BQA582266 BZW582266 CJS582266 CTO582266 DDK582266 DNG582266 DXC582266 EGY582266 EQU582266 FAQ582266 FKM582266 FUI582266 GEE582266 GOA582266 GXW582266 HHS582266 HRO582266 IBK582266 ILG582266 IVC582266 JEY582266 JOU582266 JYQ582266 KIM582266 KSI582266 LCE582266 LMA582266 LVW582266 MFS582266 MPO582266 MZK582266 NJG582266 NTC582266 OCY582266 OMU582266 OWQ582266 PGM582266 PQI582266 QAE582266 QKA582266 QTW582266 RDS582266 RNO582266 RXK582266 SHG582266 SRC582266 TAY582266 TKU582266 TUQ582266 UEM582266 UOI582266 UYE582266 VIA582266 VRW582266 WBS582266 WLO582266 WVK582266 C647802 IY647802 SU647802 ACQ647802 AMM647802 AWI647802 BGE647802 BQA647802 BZW647802 CJS647802 CTO647802 DDK647802 DNG647802 DXC647802 EGY647802 EQU647802 FAQ647802 FKM647802 FUI647802 GEE647802 GOA647802 GXW647802 HHS647802 HRO647802 IBK647802 ILG647802 IVC647802 JEY647802 JOU647802 JYQ647802 KIM647802 KSI647802 LCE647802 LMA647802 LVW647802 MFS647802 MPO647802 MZK647802 NJG647802 NTC647802 OCY647802 OMU647802 OWQ647802 PGM647802 PQI647802 QAE647802 QKA647802 QTW647802 RDS647802 RNO647802 RXK647802 SHG647802 SRC647802 TAY647802 TKU647802 TUQ647802 UEM647802 UOI647802 UYE647802 VIA647802 VRW647802 WBS647802 WLO647802 WVK647802 C713338 IY713338 SU713338 ACQ713338 AMM713338 AWI713338 BGE713338 BQA713338 BZW713338 CJS713338 CTO713338 DDK713338 DNG713338 DXC713338 EGY713338 EQU713338 FAQ713338 FKM713338 FUI713338 GEE713338 GOA713338 GXW713338 HHS713338 HRO713338 IBK713338 ILG713338 IVC713338 JEY713338 JOU713338 JYQ713338 KIM713338 KSI713338 LCE713338 LMA713338 LVW713338 MFS713338 MPO713338 MZK713338 NJG713338 NTC713338 OCY713338 OMU713338 OWQ713338 PGM713338 PQI713338 QAE713338 QKA713338 QTW713338 RDS713338 RNO713338 RXK713338 SHG713338 SRC713338 TAY713338 TKU713338 TUQ713338 UEM713338 UOI713338 UYE713338 VIA713338 VRW713338 WBS713338 WLO713338 WVK713338 C778874 IY778874 SU778874 ACQ778874 AMM778874 AWI778874 BGE778874 BQA778874 BZW778874 CJS778874 CTO778874 DDK778874 DNG778874 DXC778874 EGY778874 EQU778874 FAQ778874 FKM778874 FUI778874 GEE778874 GOA778874 GXW778874 HHS778874 HRO778874 IBK778874 ILG778874 IVC778874 JEY778874 JOU778874 JYQ778874 KIM778874 KSI778874 LCE778874 LMA778874 LVW778874 MFS778874 MPO778874 MZK778874 NJG778874 NTC778874 OCY778874 OMU778874 OWQ778874 PGM778874 PQI778874 QAE778874 QKA778874 QTW778874 RDS778874 RNO778874 RXK778874 SHG778874 SRC778874 TAY778874 TKU778874 TUQ778874 UEM778874 UOI778874 UYE778874 VIA778874 VRW778874 WBS778874 WLO778874 WVK778874 C844410 IY844410 SU844410 ACQ844410 AMM844410 AWI844410 BGE844410 BQA844410 BZW844410 CJS844410 CTO844410 DDK844410 DNG844410 DXC844410 EGY844410 EQU844410 FAQ844410 FKM844410 FUI844410 GEE844410 GOA844410 GXW844410 HHS844410 HRO844410 IBK844410 ILG844410 IVC844410 JEY844410 JOU844410 JYQ844410 KIM844410 KSI844410 LCE844410 LMA844410 LVW844410 MFS844410 MPO844410 MZK844410 NJG844410 NTC844410 OCY844410 OMU844410 OWQ844410 PGM844410 PQI844410 QAE844410 QKA844410 QTW844410 RDS844410 RNO844410 RXK844410 SHG844410 SRC844410 TAY844410 TKU844410 TUQ844410 UEM844410 UOI844410 UYE844410 VIA844410 VRW844410 WBS844410 WLO844410 WVK844410 C909946 IY909946 SU909946 ACQ909946 AMM909946 AWI909946 BGE909946 BQA909946 BZW909946 CJS909946 CTO909946 DDK909946 DNG909946 DXC909946 EGY909946 EQU909946 FAQ909946 FKM909946 FUI909946 GEE909946 GOA909946 GXW909946 HHS909946 HRO909946 IBK909946 ILG909946 IVC909946 JEY909946 JOU909946 JYQ909946 KIM909946 KSI909946 LCE909946 LMA909946 LVW909946 MFS909946 MPO909946 MZK909946 NJG909946 NTC909946 OCY909946 OMU909946 OWQ909946 PGM909946 PQI909946 QAE909946 QKA909946 QTW909946 RDS909946 RNO909946 RXK909946 SHG909946 SRC909946 TAY909946 TKU909946 TUQ909946 UEM909946 UOI909946 UYE909946 VIA909946 VRW909946 WBS909946 WLO909946 WVK909946 C975482 IY975482 SU975482 ACQ975482 AMM975482 AWI975482 BGE975482 BQA975482 BZW975482 CJS975482 CTO975482 DDK975482 DNG975482 DXC975482 EGY975482 EQU975482 FAQ975482 FKM975482 FUI975482 GEE975482 GOA975482 GXW975482 HHS975482 HRO975482 IBK975482 ILG975482 IVC975482 JEY975482 JOU975482 JYQ975482 KIM975482 KSI975482 LCE975482 LMA975482 LVW975482 MFS975482 MPO975482 MZK975482 NJG975482 NTC975482 OCY975482 OMU975482 OWQ975482 PGM975482 PQI975482 QAE975482 QKA975482 QTW975482 RDS975482 RNO975482 RXK975482 SHG975482 SRC975482 TAY975482 TKU975482 TUQ975482 UEM975482 UOI975482 UYE975482 VIA975482 VRW975482 WBS975482 WLO975482 WVK975482 C1041018 IY1041018 SU1041018 ACQ1041018 AMM1041018 AWI1041018 BGE1041018 BQA1041018 BZW1041018 CJS1041018 CTO1041018 DDK1041018 DNG1041018 DXC1041018 EGY1041018 EQU1041018 FAQ1041018 FKM1041018 FUI1041018 GEE1041018 GOA1041018 GXW1041018 HHS1041018 HRO1041018 IBK1041018 ILG1041018 IVC1041018 JEY1041018 JOU1041018 JYQ1041018 KIM1041018 KSI1041018 LCE1041018 LMA1041018 LVW1041018 MFS1041018 MPO1041018 MZK1041018 NJG1041018 NTC1041018 OCY1041018 OMU1041018 OWQ1041018 PGM1041018 PQI1041018 QAE1041018 QKA1041018 QTW1041018 RDS1041018 RNO1041018 RXK1041018 SHG1041018 SRC1041018 TAY1041018 TKU1041018 TUQ1041018 UEM1041018 UOI1041018 UYE1041018 VIA1041018 VRW1041018 WBS1041018 WLO1041018 WVK1041018 GU57978 QQ57978 AAM57978 AKI57978 AUE57978 BEA57978 BNW57978 BXS57978 CHO57978 CRK57978 DBG57978 DLC57978 DUY57978 EEU57978 EOQ57978 EYM57978 FII57978 FSE57978 GCA57978 GLW57978 GVS57978 HFO57978 HPK57978 HZG57978 IJC57978 ISY57978 JCU57978 JMQ57978 JWM57978 KGI57978 KQE57978 LAA57978 LJW57978 LTS57978 MDO57978 MNK57978 MXG57978 NHC57978 NQY57978 OAU57978 OKQ57978 OUM57978 PEI57978 POE57978 PYA57978 QHW57978 QRS57978 RBO57978 RLK57978 RVG57978 SFC57978 SOY57978 SYU57978 TIQ57978 TSM57978 UCI57978 UME57978 UWA57978 VFW57978 VPS57978 VZO57978 WJK57978 WTG57978 XDC57978 GU123514 QQ123514 AAM123514 AKI123514 AUE123514 BEA123514 BNW123514 BXS123514 CHO123514 CRK123514 DBG123514 DLC123514 DUY123514 EEU123514 EOQ123514 EYM123514 FII123514 FSE123514 GCA123514 GLW123514 GVS123514 HFO123514 HPK123514 HZG123514 IJC123514 ISY123514 JCU123514 JMQ123514 JWM123514 KGI123514 KQE123514 LAA123514 LJW123514 LTS123514 MDO123514 MNK123514 MXG123514 NHC123514 NQY123514 OAU123514 OKQ123514 OUM123514 PEI123514 POE123514 PYA123514 QHW123514 QRS123514 RBO123514 RLK123514 RVG123514 SFC123514 SOY123514 SYU123514 TIQ123514 TSM123514 UCI123514 UME123514 UWA123514 VFW123514 VPS123514 VZO123514 WJK123514 WTG123514 XDC123514 GU189050 QQ189050 AAM189050 AKI189050 AUE189050 BEA189050 BNW189050 BXS189050 CHO189050 CRK189050 DBG189050 DLC189050 DUY189050 EEU189050 EOQ189050 EYM189050 FII189050 FSE189050 GCA189050 GLW189050 GVS189050 HFO189050 HPK189050 HZG189050 IJC189050 ISY189050 JCU189050 JMQ189050 JWM189050 KGI189050 KQE189050 LAA189050 LJW189050 LTS189050 MDO189050 MNK189050 MXG189050 NHC189050 NQY189050 OAU189050 OKQ189050 OUM189050 PEI189050 POE189050 PYA189050 QHW189050 QRS189050 RBO189050 RLK189050 RVG189050 SFC189050 SOY189050 SYU189050 TIQ189050 TSM189050 UCI189050 UME189050 UWA189050 VFW189050 VPS189050 VZO189050 WJK189050 WTG189050 XDC189050 GU254586 QQ254586 AAM254586 AKI254586 AUE254586 BEA254586 BNW254586 BXS254586 CHO254586 CRK254586 DBG254586 DLC254586 DUY254586 EEU254586 EOQ254586 EYM254586 FII254586 FSE254586 GCA254586 GLW254586 GVS254586 HFO254586 HPK254586 HZG254586 IJC254586 ISY254586 JCU254586 JMQ254586 JWM254586 KGI254586 KQE254586 LAA254586 LJW254586 LTS254586 MDO254586 MNK254586 MXG254586 NHC254586 NQY254586 OAU254586 OKQ254586 OUM254586 PEI254586 POE254586 PYA254586 QHW254586 QRS254586 RBO254586 RLK254586 RVG254586 SFC254586 SOY254586 SYU254586 TIQ254586 TSM254586 UCI254586 UME254586 UWA254586 VFW254586 VPS254586 VZO254586 WJK254586 WTG254586 XDC254586 GU320122 QQ320122 AAM320122 AKI320122 AUE320122 BEA320122 BNW320122 BXS320122 CHO320122 CRK320122 DBG320122 DLC320122 DUY320122 EEU320122 EOQ320122 EYM320122 FII320122 FSE320122 GCA320122 GLW320122 GVS320122 HFO320122 HPK320122 HZG320122 IJC320122 ISY320122 JCU320122 JMQ320122 JWM320122 KGI320122 KQE320122 LAA320122 LJW320122 LTS320122 MDO320122 MNK320122 MXG320122 NHC320122 NQY320122 OAU320122 OKQ320122 OUM320122 PEI320122 POE320122 PYA320122 QHW320122 QRS320122 RBO320122 RLK320122 RVG320122 SFC320122 SOY320122 SYU320122 TIQ320122 TSM320122 UCI320122 UME320122 UWA320122 VFW320122 VPS320122 VZO320122 WJK320122 WTG320122 XDC320122 GU385658 QQ385658 AAM385658 AKI385658 AUE385658 BEA385658 BNW385658 BXS385658 CHO385658 CRK385658 DBG385658 DLC385658 DUY385658 EEU385658 EOQ385658 EYM385658 FII385658 FSE385658 GCA385658 GLW385658 GVS385658 HFO385658 HPK385658 HZG385658 IJC385658 ISY385658 JCU385658 JMQ385658 JWM385658 KGI385658 KQE385658 LAA385658 LJW385658 LTS385658 MDO385658 MNK385658 MXG385658 NHC385658 NQY385658 OAU385658 OKQ385658 OUM385658 PEI385658 POE385658 PYA385658 QHW385658 QRS385658 RBO385658 RLK385658 RVG385658 SFC385658 SOY385658 SYU385658 TIQ385658 TSM385658 UCI385658 UME385658 UWA385658 VFW385658 VPS385658 VZO385658 WJK385658 WTG385658 XDC385658 GU451194 QQ451194 AAM451194 AKI451194 AUE451194 BEA451194 BNW451194 BXS451194 CHO451194 CRK451194 DBG451194 DLC451194 DUY451194 EEU451194 EOQ451194 EYM451194 FII451194 FSE451194 GCA451194 GLW451194 GVS451194 HFO451194 HPK451194 HZG451194 IJC451194 ISY451194 JCU451194 JMQ451194 JWM451194 KGI451194 KQE451194 LAA451194 LJW451194 LTS451194 MDO451194 MNK451194 MXG451194 NHC451194 NQY451194 OAU451194 OKQ451194 OUM451194 PEI451194 POE451194 PYA451194 QHW451194 QRS451194 RBO451194 RLK451194 RVG451194 SFC451194 SOY451194 SYU451194 TIQ451194 TSM451194 UCI451194 UME451194 UWA451194 VFW451194 VPS451194 VZO451194 WJK451194 WTG451194 XDC451194 GU516730 QQ516730 AAM516730 AKI516730 AUE516730 BEA516730 BNW516730 BXS516730 CHO516730 CRK516730 DBG516730 DLC516730 DUY516730 EEU516730 EOQ516730 EYM516730 FII516730 FSE516730 GCA516730 GLW516730 GVS516730 HFO516730 HPK516730 HZG516730 IJC516730 ISY516730 JCU516730 JMQ516730 JWM516730 KGI516730 KQE516730 LAA516730 LJW516730 LTS516730 MDO516730 MNK516730 MXG516730 NHC516730 NQY516730 OAU516730 OKQ516730 OUM516730 PEI516730 POE516730 PYA516730 QHW516730 QRS516730 RBO516730 RLK516730 RVG516730 SFC516730 SOY516730 SYU516730 TIQ516730 TSM516730 UCI516730 UME516730 UWA516730 VFW516730 VPS516730 VZO516730 WJK516730 WTG516730 XDC516730 GU582266 QQ582266 AAM582266 AKI582266 AUE582266 BEA582266 BNW582266 BXS582266 CHO582266 CRK582266 DBG582266 DLC582266 DUY582266 EEU582266 EOQ582266 EYM582266 FII582266 FSE582266 GCA582266 GLW582266 GVS582266 HFO582266 HPK582266 HZG582266 IJC582266 ISY582266 JCU582266 JMQ582266 JWM582266 KGI582266 KQE582266 LAA582266 LJW582266 LTS582266 MDO582266 MNK582266 MXG582266 NHC582266 NQY582266 OAU582266 OKQ582266 OUM582266 PEI582266 POE582266 PYA582266 QHW582266 QRS582266 RBO582266 RLK582266 RVG582266 SFC582266 SOY582266 SYU582266 TIQ582266 TSM582266 UCI582266 UME582266 UWA582266 VFW582266 VPS582266 VZO582266 WJK582266 WTG582266 XDC582266 GU647802 QQ647802 AAM647802 AKI647802 AUE647802 BEA647802 BNW647802 BXS647802 CHO647802 CRK647802 DBG647802 DLC647802 DUY647802 EEU647802 EOQ647802 EYM647802 FII647802 FSE647802 GCA647802 GLW647802 GVS647802 HFO647802 HPK647802 HZG647802 IJC647802 ISY647802 JCU647802 JMQ647802 JWM647802 KGI647802 KQE647802 LAA647802 LJW647802 LTS647802 MDO647802 MNK647802 MXG647802 NHC647802 NQY647802 OAU647802 OKQ647802 OUM647802 PEI647802 POE647802 PYA647802 QHW647802 QRS647802 RBO647802 RLK647802 RVG647802 SFC647802 SOY647802 SYU647802 TIQ647802 TSM647802 UCI647802 UME647802 UWA647802 VFW647802 VPS647802 VZO647802 WJK647802 WTG647802 XDC647802 GU713338 QQ713338 AAM713338 AKI713338 AUE713338 BEA713338 BNW713338 BXS713338 CHO713338 CRK713338 DBG713338 DLC713338 DUY713338 EEU713338 EOQ713338 EYM713338 FII713338 FSE713338 GCA713338 GLW713338 GVS713338 HFO713338 HPK713338 HZG713338 IJC713338 ISY713338 JCU713338 JMQ713338 JWM713338 KGI713338 KQE713338 LAA713338 LJW713338 LTS713338 MDO713338 MNK713338 MXG713338 NHC713338 NQY713338 OAU713338 OKQ713338 OUM713338 PEI713338 POE713338 PYA713338 QHW713338 QRS713338 RBO713338 RLK713338 RVG713338 SFC713338 SOY713338 SYU713338 TIQ713338 TSM713338 UCI713338 UME713338 UWA713338 VFW713338 VPS713338 VZO713338 WJK713338 WTG713338 XDC713338 GU778874 QQ778874 AAM778874 AKI778874 AUE778874 BEA778874 BNW778874 BXS778874 CHO778874 CRK778874 DBG778874 DLC778874 DUY778874 EEU778874 EOQ778874 EYM778874 FII778874 FSE778874 GCA778874 GLW778874 GVS778874 HFO778874 HPK778874 HZG778874 IJC778874 ISY778874 JCU778874 JMQ778874 JWM778874 KGI778874 KQE778874 LAA778874 LJW778874 LTS778874 MDO778874 MNK778874 MXG778874 NHC778874 NQY778874 OAU778874 OKQ778874 OUM778874 PEI778874 POE778874 PYA778874 QHW778874 QRS778874 RBO778874 RLK778874 RVG778874 SFC778874 SOY778874 SYU778874 TIQ778874 TSM778874 UCI778874 UME778874 UWA778874 VFW778874 VPS778874 VZO778874 WJK778874 WTG778874 XDC778874 GU844410 QQ844410 AAM844410 AKI844410 AUE844410 BEA844410 BNW844410 BXS844410 CHO844410 CRK844410 DBG844410 DLC844410 DUY844410 EEU844410 EOQ844410 EYM844410 FII844410 FSE844410 GCA844410 GLW844410 GVS844410 HFO844410 HPK844410 HZG844410 IJC844410 ISY844410 JCU844410 JMQ844410 JWM844410 KGI844410 KQE844410 LAA844410 LJW844410 LTS844410 MDO844410 MNK844410 MXG844410 NHC844410 NQY844410 OAU844410 OKQ844410 OUM844410 PEI844410 POE844410 PYA844410 QHW844410 QRS844410 RBO844410 RLK844410 RVG844410 SFC844410 SOY844410 SYU844410 TIQ844410 TSM844410 UCI844410 UME844410 UWA844410 VFW844410 VPS844410 VZO844410 WJK844410 WTG844410 XDC844410 GU909946 QQ909946 AAM909946 AKI909946 AUE909946 BEA909946 BNW909946 BXS909946 CHO909946 CRK909946 DBG909946 DLC909946 DUY909946 EEU909946 EOQ909946 EYM909946 FII909946 FSE909946 GCA909946 GLW909946 GVS909946 HFO909946 HPK909946 HZG909946 IJC909946 ISY909946 JCU909946 JMQ909946 JWM909946 KGI909946 KQE909946 LAA909946 LJW909946 LTS909946 MDO909946 MNK909946 MXG909946 NHC909946 NQY909946 OAU909946 OKQ909946 OUM909946 PEI909946 POE909946 PYA909946 QHW909946 QRS909946 RBO909946 RLK909946 RVG909946 SFC909946 SOY909946 SYU909946 TIQ909946 TSM909946 UCI909946 UME909946 UWA909946 VFW909946 VPS909946 VZO909946 WJK909946 WTG909946 XDC909946 GU975482 QQ975482 AAM975482 AKI975482 AUE975482 BEA975482 BNW975482 BXS975482 CHO975482 CRK975482 DBG975482 DLC975482 DUY975482 EEU975482 EOQ975482 EYM975482 FII975482 FSE975482 GCA975482 GLW975482 GVS975482 HFO975482 HPK975482 HZG975482 IJC975482 ISY975482 JCU975482 JMQ975482 JWM975482 KGI975482 KQE975482 LAA975482 LJW975482 LTS975482 MDO975482 MNK975482 MXG975482 NHC975482 NQY975482 OAU975482 OKQ975482 OUM975482 PEI975482 POE975482 PYA975482 QHW975482 QRS975482 RBO975482 RLK975482 RVG975482 SFC975482 SOY975482 SYU975482 TIQ975482 TSM975482 UCI975482 UME975482 UWA975482 VFW975482 VPS975482 VZO975482 WJK975482 WTG975482 XDC975482 GU1041018 QQ1041018 AAM1041018 AKI1041018 AUE1041018 BEA1041018 BNW1041018 BXS1041018 CHO1041018 CRK1041018 DBG1041018 DLC1041018 DUY1041018 EEU1041018 EOQ1041018 EYM1041018 FII1041018 FSE1041018 GCA1041018 GLW1041018 GVS1041018 HFO1041018 HPK1041018 HZG1041018 IJC1041018 ISY1041018 JCU1041018 JMQ1041018 JWM1041018 KGI1041018 KQE1041018 LAA1041018 LJW1041018 LTS1041018 MDO1041018 MNK1041018 MXG1041018 NHC1041018 NQY1041018 OAU1041018 OKQ1041018 OUM1041018 PEI1041018 POE1041018 PYA1041018 QHW1041018 QRS1041018 RBO1041018 RLK1041018 RVG1041018 SFC1041018 SOY1041018 SYU1041018 TIQ1041018 TSM1041018 UCI1041018 UME1041018 UWA1041018 VFW1041018 VPS1041018 VZO1041018 WJK1041018 WTG1041018 XDC1041018" xr:uid="{C96F6BD3-4C3C-4286-8674-36B9F723ECE3}">
      <formula1>"Model Data"</formula1>
    </dataValidation>
    <dataValidation type="list" showInputMessage="1" sqref="N1:O1 JJ1:JK1 TF1:TG1 ADB1:ADC1 AMX1:AMY1 AWT1:AWU1 BGP1:BGQ1 BQL1:BQM1 CAH1:CAI1 CKD1:CKE1 CTZ1:CUA1 DDV1:DDW1 DNR1:DNS1 DXN1:DXO1 EHJ1:EHK1 ERF1:ERG1 FBB1:FBC1 FKX1:FKY1 FUT1:FUU1 GEP1:GEQ1 GOL1:GOM1 GYH1:GYI1 HID1:HIE1 HRZ1:HSA1 IBV1:IBW1 ILR1:ILS1 IVN1:IVO1 JFJ1:JFK1 JPF1:JPG1 JZB1:JZC1 KIX1:KIY1 KST1:KSU1 LCP1:LCQ1 LML1:LMM1 LWH1:LWI1 MGD1:MGE1 MPZ1:MQA1 MZV1:MZW1 NJR1:NJS1 NTN1:NTO1 ODJ1:ODK1 ONF1:ONG1 OXB1:OXC1 PGX1:PGY1 PQT1:PQU1 QAP1:QAQ1 QKL1:QKM1 QUH1:QUI1 RED1:REE1 RNZ1:ROA1 RXV1:RXW1 SHR1:SHS1 SRN1:SRO1 TBJ1:TBK1 TLF1:TLG1 TVB1:TVC1 UEX1:UEY1 UOT1:UOU1 UYP1:UYQ1 VIL1:VIM1 VSH1:VSI1 WCD1:WCE1 WLZ1:WMA1 WVV1:WVW1 N65536:O65536 JJ65536:JK65536 TF65536:TG65536 ADB65536:ADC65536 AMX65536:AMY65536 AWT65536:AWU65536 BGP65536:BGQ65536 BQL65536:BQM65536 CAH65536:CAI65536 CKD65536:CKE65536 CTZ65536:CUA65536 DDV65536:DDW65536 DNR65536:DNS65536 DXN65536:DXO65536 EHJ65536:EHK65536 ERF65536:ERG65536 FBB65536:FBC65536 FKX65536:FKY65536 FUT65536:FUU65536 GEP65536:GEQ65536 GOL65536:GOM65536 GYH65536:GYI65536 HID65536:HIE65536 HRZ65536:HSA65536 IBV65536:IBW65536 ILR65536:ILS65536 IVN65536:IVO65536 JFJ65536:JFK65536 JPF65536:JPG65536 JZB65536:JZC65536 KIX65536:KIY65536 KST65536:KSU65536 LCP65536:LCQ65536 LML65536:LMM65536 LWH65536:LWI65536 MGD65536:MGE65536 MPZ65536:MQA65536 MZV65536:MZW65536 NJR65536:NJS65536 NTN65536:NTO65536 ODJ65536:ODK65536 ONF65536:ONG65536 OXB65536:OXC65536 PGX65536:PGY65536 PQT65536:PQU65536 QAP65536:QAQ65536 QKL65536:QKM65536 QUH65536:QUI65536 RED65536:REE65536 RNZ65536:ROA65536 RXV65536:RXW65536 SHR65536:SHS65536 SRN65536:SRO65536 TBJ65536:TBK65536 TLF65536:TLG65536 TVB65536:TVC65536 UEX65536:UEY65536 UOT65536:UOU65536 UYP65536:UYQ65536 VIL65536:VIM65536 VSH65536:VSI65536 WCD65536:WCE65536 WLZ65536:WMA65536 WVV65536:WVW65536 N131072:O131072 JJ131072:JK131072 TF131072:TG131072 ADB131072:ADC131072 AMX131072:AMY131072 AWT131072:AWU131072 BGP131072:BGQ131072 BQL131072:BQM131072 CAH131072:CAI131072 CKD131072:CKE131072 CTZ131072:CUA131072 DDV131072:DDW131072 DNR131072:DNS131072 DXN131072:DXO131072 EHJ131072:EHK131072 ERF131072:ERG131072 FBB131072:FBC131072 FKX131072:FKY131072 FUT131072:FUU131072 GEP131072:GEQ131072 GOL131072:GOM131072 GYH131072:GYI131072 HID131072:HIE131072 HRZ131072:HSA131072 IBV131072:IBW131072 ILR131072:ILS131072 IVN131072:IVO131072 JFJ131072:JFK131072 JPF131072:JPG131072 JZB131072:JZC131072 KIX131072:KIY131072 KST131072:KSU131072 LCP131072:LCQ131072 LML131072:LMM131072 LWH131072:LWI131072 MGD131072:MGE131072 MPZ131072:MQA131072 MZV131072:MZW131072 NJR131072:NJS131072 NTN131072:NTO131072 ODJ131072:ODK131072 ONF131072:ONG131072 OXB131072:OXC131072 PGX131072:PGY131072 PQT131072:PQU131072 QAP131072:QAQ131072 QKL131072:QKM131072 QUH131072:QUI131072 RED131072:REE131072 RNZ131072:ROA131072 RXV131072:RXW131072 SHR131072:SHS131072 SRN131072:SRO131072 TBJ131072:TBK131072 TLF131072:TLG131072 TVB131072:TVC131072 UEX131072:UEY131072 UOT131072:UOU131072 UYP131072:UYQ131072 VIL131072:VIM131072 VSH131072:VSI131072 WCD131072:WCE131072 WLZ131072:WMA131072 WVV131072:WVW131072 N196608:O196608 JJ196608:JK196608 TF196608:TG196608 ADB196608:ADC196608 AMX196608:AMY196608 AWT196608:AWU196608 BGP196608:BGQ196608 BQL196608:BQM196608 CAH196608:CAI196608 CKD196608:CKE196608 CTZ196608:CUA196608 DDV196608:DDW196608 DNR196608:DNS196608 DXN196608:DXO196608 EHJ196608:EHK196608 ERF196608:ERG196608 FBB196608:FBC196608 FKX196608:FKY196608 FUT196608:FUU196608 GEP196608:GEQ196608 GOL196608:GOM196608 GYH196608:GYI196608 HID196608:HIE196608 HRZ196608:HSA196608 IBV196608:IBW196608 ILR196608:ILS196608 IVN196608:IVO196608 JFJ196608:JFK196608 JPF196608:JPG196608 JZB196608:JZC196608 KIX196608:KIY196608 KST196608:KSU196608 LCP196608:LCQ196608 LML196608:LMM196608 LWH196608:LWI196608 MGD196608:MGE196608 MPZ196608:MQA196608 MZV196608:MZW196608 NJR196608:NJS196608 NTN196608:NTO196608 ODJ196608:ODK196608 ONF196608:ONG196608 OXB196608:OXC196608 PGX196608:PGY196608 PQT196608:PQU196608 QAP196608:QAQ196608 QKL196608:QKM196608 QUH196608:QUI196608 RED196608:REE196608 RNZ196608:ROA196608 RXV196608:RXW196608 SHR196608:SHS196608 SRN196608:SRO196608 TBJ196608:TBK196608 TLF196608:TLG196608 TVB196608:TVC196608 UEX196608:UEY196608 UOT196608:UOU196608 UYP196608:UYQ196608 VIL196608:VIM196608 VSH196608:VSI196608 WCD196608:WCE196608 WLZ196608:WMA196608 WVV196608:WVW196608 N262144:O262144 JJ262144:JK262144 TF262144:TG262144 ADB262144:ADC262144 AMX262144:AMY262144 AWT262144:AWU262144 BGP262144:BGQ262144 BQL262144:BQM262144 CAH262144:CAI262144 CKD262144:CKE262144 CTZ262144:CUA262144 DDV262144:DDW262144 DNR262144:DNS262144 DXN262144:DXO262144 EHJ262144:EHK262144 ERF262144:ERG262144 FBB262144:FBC262144 FKX262144:FKY262144 FUT262144:FUU262144 GEP262144:GEQ262144 GOL262144:GOM262144 GYH262144:GYI262144 HID262144:HIE262144 HRZ262144:HSA262144 IBV262144:IBW262144 ILR262144:ILS262144 IVN262144:IVO262144 JFJ262144:JFK262144 JPF262144:JPG262144 JZB262144:JZC262144 KIX262144:KIY262144 KST262144:KSU262144 LCP262144:LCQ262144 LML262144:LMM262144 LWH262144:LWI262144 MGD262144:MGE262144 MPZ262144:MQA262144 MZV262144:MZW262144 NJR262144:NJS262144 NTN262144:NTO262144 ODJ262144:ODK262144 ONF262144:ONG262144 OXB262144:OXC262144 PGX262144:PGY262144 PQT262144:PQU262144 QAP262144:QAQ262144 QKL262144:QKM262144 QUH262144:QUI262144 RED262144:REE262144 RNZ262144:ROA262144 RXV262144:RXW262144 SHR262144:SHS262144 SRN262144:SRO262144 TBJ262144:TBK262144 TLF262144:TLG262144 TVB262144:TVC262144 UEX262144:UEY262144 UOT262144:UOU262144 UYP262144:UYQ262144 VIL262144:VIM262144 VSH262144:VSI262144 WCD262144:WCE262144 WLZ262144:WMA262144 WVV262144:WVW262144 N327680:O327680 JJ327680:JK327680 TF327680:TG327680 ADB327680:ADC327680 AMX327680:AMY327680 AWT327680:AWU327680 BGP327680:BGQ327680 BQL327680:BQM327680 CAH327680:CAI327680 CKD327680:CKE327680 CTZ327680:CUA327680 DDV327680:DDW327680 DNR327680:DNS327680 DXN327680:DXO327680 EHJ327680:EHK327680 ERF327680:ERG327680 FBB327680:FBC327680 FKX327680:FKY327680 FUT327680:FUU327680 GEP327680:GEQ327680 GOL327680:GOM327680 GYH327680:GYI327680 HID327680:HIE327680 HRZ327680:HSA327680 IBV327680:IBW327680 ILR327680:ILS327680 IVN327680:IVO327680 JFJ327680:JFK327680 JPF327680:JPG327680 JZB327680:JZC327680 KIX327680:KIY327680 KST327680:KSU327680 LCP327680:LCQ327680 LML327680:LMM327680 LWH327680:LWI327680 MGD327680:MGE327680 MPZ327680:MQA327680 MZV327680:MZW327680 NJR327680:NJS327680 NTN327680:NTO327680 ODJ327680:ODK327680 ONF327680:ONG327680 OXB327680:OXC327680 PGX327680:PGY327680 PQT327680:PQU327680 QAP327680:QAQ327680 QKL327680:QKM327680 QUH327680:QUI327680 RED327680:REE327680 RNZ327680:ROA327680 RXV327680:RXW327680 SHR327680:SHS327680 SRN327680:SRO327680 TBJ327680:TBK327680 TLF327680:TLG327680 TVB327680:TVC327680 UEX327680:UEY327680 UOT327680:UOU327680 UYP327680:UYQ327680 VIL327680:VIM327680 VSH327680:VSI327680 WCD327680:WCE327680 WLZ327680:WMA327680 WVV327680:WVW327680 N393216:O393216 JJ393216:JK393216 TF393216:TG393216 ADB393216:ADC393216 AMX393216:AMY393216 AWT393216:AWU393216 BGP393216:BGQ393216 BQL393216:BQM393216 CAH393216:CAI393216 CKD393216:CKE393216 CTZ393216:CUA393216 DDV393216:DDW393216 DNR393216:DNS393216 DXN393216:DXO393216 EHJ393216:EHK393216 ERF393216:ERG393216 FBB393216:FBC393216 FKX393216:FKY393216 FUT393216:FUU393216 GEP393216:GEQ393216 GOL393216:GOM393216 GYH393216:GYI393216 HID393216:HIE393216 HRZ393216:HSA393216 IBV393216:IBW393216 ILR393216:ILS393216 IVN393216:IVO393216 JFJ393216:JFK393216 JPF393216:JPG393216 JZB393216:JZC393216 KIX393216:KIY393216 KST393216:KSU393216 LCP393216:LCQ393216 LML393216:LMM393216 LWH393216:LWI393216 MGD393216:MGE393216 MPZ393216:MQA393216 MZV393216:MZW393216 NJR393216:NJS393216 NTN393216:NTO393216 ODJ393216:ODK393216 ONF393216:ONG393216 OXB393216:OXC393216 PGX393216:PGY393216 PQT393216:PQU393216 QAP393216:QAQ393216 QKL393216:QKM393216 QUH393216:QUI393216 RED393216:REE393216 RNZ393216:ROA393216 RXV393216:RXW393216 SHR393216:SHS393216 SRN393216:SRO393216 TBJ393216:TBK393216 TLF393216:TLG393216 TVB393216:TVC393216 UEX393216:UEY393216 UOT393216:UOU393216 UYP393216:UYQ393216 VIL393216:VIM393216 VSH393216:VSI393216 WCD393216:WCE393216 WLZ393216:WMA393216 WVV393216:WVW393216 N458752:O458752 JJ458752:JK458752 TF458752:TG458752 ADB458752:ADC458752 AMX458752:AMY458752 AWT458752:AWU458752 BGP458752:BGQ458752 BQL458752:BQM458752 CAH458752:CAI458752 CKD458752:CKE458752 CTZ458752:CUA458752 DDV458752:DDW458752 DNR458752:DNS458752 DXN458752:DXO458752 EHJ458752:EHK458752 ERF458752:ERG458752 FBB458752:FBC458752 FKX458752:FKY458752 FUT458752:FUU458752 GEP458752:GEQ458752 GOL458752:GOM458752 GYH458752:GYI458752 HID458752:HIE458752 HRZ458752:HSA458752 IBV458752:IBW458752 ILR458752:ILS458752 IVN458752:IVO458752 JFJ458752:JFK458752 JPF458752:JPG458752 JZB458752:JZC458752 KIX458752:KIY458752 KST458752:KSU458752 LCP458752:LCQ458752 LML458752:LMM458752 LWH458752:LWI458752 MGD458752:MGE458752 MPZ458752:MQA458752 MZV458752:MZW458752 NJR458752:NJS458752 NTN458752:NTO458752 ODJ458752:ODK458752 ONF458752:ONG458752 OXB458752:OXC458752 PGX458752:PGY458752 PQT458752:PQU458752 QAP458752:QAQ458752 QKL458752:QKM458752 QUH458752:QUI458752 RED458752:REE458752 RNZ458752:ROA458752 RXV458752:RXW458752 SHR458752:SHS458752 SRN458752:SRO458752 TBJ458752:TBK458752 TLF458752:TLG458752 TVB458752:TVC458752 UEX458752:UEY458752 UOT458752:UOU458752 UYP458752:UYQ458752 VIL458752:VIM458752 VSH458752:VSI458752 WCD458752:WCE458752 WLZ458752:WMA458752 WVV458752:WVW458752 N524288:O524288 JJ524288:JK524288 TF524288:TG524288 ADB524288:ADC524288 AMX524288:AMY524288 AWT524288:AWU524288 BGP524288:BGQ524288 BQL524288:BQM524288 CAH524288:CAI524288 CKD524288:CKE524288 CTZ524288:CUA524288 DDV524288:DDW524288 DNR524288:DNS524288 DXN524288:DXO524288 EHJ524288:EHK524288 ERF524288:ERG524288 FBB524288:FBC524288 FKX524288:FKY524288 FUT524288:FUU524288 GEP524288:GEQ524288 GOL524288:GOM524288 GYH524288:GYI524288 HID524288:HIE524288 HRZ524288:HSA524288 IBV524288:IBW524288 ILR524288:ILS524288 IVN524288:IVO524288 JFJ524288:JFK524288 JPF524288:JPG524288 JZB524288:JZC524288 KIX524288:KIY524288 KST524288:KSU524288 LCP524288:LCQ524288 LML524288:LMM524288 LWH524288:LWI524288 MGD524288:MGE524288 MPZ524288:MQA524288 MZV524288:MZW524288 NJR524288:NJS524288 NTN524288:NTO524288 ODJ524288:ODK524288 ONF524288:ONG524288 OXB524288:OXC524288 PGX524288:PGY524288 PQT524288:PQU524288 QAP524288:QAQ524288 QKL524288:QKM524288 QUH524288:QUI524288 RED524288:REE524288 RNZ524288:ROA524288 RXV524288:RXW524288 SHR524288:SHS524288 SRN524288:SRO524288 TBJ524288:TBK524288 TLF524288:TLG524288 TVB524288:TVC524288 UEX524288:UEY524288 UOT524288:UOU524288 UYP524288:UYQ524288 VIL524288:VIM524288 VSH524288:VSI524288 WCD524288:WCE524288 WLZ524288:WMA524288 WVV524288:WVW524288 N589824:O589824 JJ589824:JK589824 TF589824:TG589824 ADB589824:ADC589824 AMX589824:AMY589824 AWT589824:AWU589824 BGP589824:BGQ589824 BQL589824:BQM589824 CAH589824:CAI589824 CKD589824:CKE589824 CTZ589824:CUA589824 DDV589824:DDW589824 DNR589824:DNS589824 DXN589824:DXO589824 EHJ589824:EHK589824 ERF589824:ERG589824 FBB589824:FBC589824 FKX589824:FKY589824 FUT589824:FUU589824 GEP589824:GEQ589824 GOL589824:GOM589824 GYH589824:GYI589824 HID589824:HIE589824 HRZ589824:HSA589824 IBV589824:IBW589824 ILR589824:ILS589824 IVN589824:IVO589824 JFJ589824:JFK589824 JPF589824:JPG589824 JZB589824:JZC589824 KIX589824:KIY589824 KST589824:KSU589824 LCP589824:LCQ589824 LML589824:LMM589824 LWH589824:LWI589824 MGD589824:MGE589824 MPZ589824:MQA589824 MZV589824:MZW589824 NJR589824:NJS589824 NTN589824:NTO589824 ODJ589824:ODK589824 ONF589824:ONG589824 OXB589824:OXC589824 PGX589824:PGY589824 PQT589824:PQU589824 QAP589824:QAQ589824 QKL589824:QKM589824 QUH589824:QUI589824 RED589824:REE589824 RNZ589824:ROA589824 RXV589824:RXW589824 SHR589824:SHS589824 SRN589824:SRO589824 TBJ589824:TBK589824 TLF589824:TLG589824 TVB589824:TVC589824 UEX589824:UEY589824 UOT589824:UOU589824 UYP589824:UYQ589824 VIL589824:VIM589824 VSH589824:VSI589824 WCD589824:WCE589824 WLZ589824:WMA589824 WVV589824:WVW589824 N655360:O655360 JJ655360:JK655360 TF655360:TG655360 ADB655360:ADC655360 AMX655360:AMY655360 AWT655360:AWU655360 BGP655360:BGQ655360 BQL655360:BQM655360 CAH655360:CAI655360 CKD655360:CKE655360 CTZ655360:CUA655360 DDV655360:DDW655360 DNR655360:DNS655360 DXN655360:DXO655360 EHJ655360:EHK655360 ERF655360:ERG655360 FBB655360:FBC655360 FKX655360:FKY655360 FUT655360:FUU655360 GEP655360:GEQ655360 GOL655360:GOM655360 GYH655360:GYI655360 HID655360:HIE655360 HRZ655360:HSA655360 IBV655360:IBW655360 ILR655360:ILS655360 IVN655360:IVO655360 JFJ655360:JFK655360 JPF655360:JPG655360 JZB655360:JZC655360 KIX655360:KIY655360 KST655360:KSU655360 LCP655360:LCQ655360 LML655360:LMM655360 LWH655360:LWI655360 MGD655360:MGE655360 MPZ655360:MQA655360 MZV655360:MZW655360 NJR655360:NJS655360 NTN655360:NTO655360 ODJ655360:ODK655360 ONF655360:ONG655360 OXB655360:OXC655360 PGX655360:PGY655360 PQT655360:PQU655360 QAP655360:QAQ655360 QKL655360:QKM655360 QUH655360:QUI655360 RED655360:REE655360 RNZ655360:ROA655360 RXV655360:RXW655360 SHR655360:SHS655360 SRN655360:SRO655360 TBJ655360:TBK655360 TLF655360:TLG655360 TVB655360:TVC655360 UEX655360:UEY655360 UOT655360:UOU655360 UYP655360:UYQ655360 VIL655360:VIM655360 VSH655360:VSI655360 WCD655360:WCE655360 WLZ655360:WMA655360 WVV655360:WVW655360 N720896:O720896 JJ720896:JK720896 TF720896:TG720896 ADB720896:ADC720896 AMX720896:AMY720896 AWT720896:AWU720896 BGP720896:BGQ720896 BQL720896:BQM720896 CAH720896:CAI720896 CKD720896:CKE720896 CTZ720896:CUA720896 DDV720896:DDW720896 DNR720896:DNS720896 DXN720896:DXO720896 EHJ720896:EHK720896 ERF720896:ERG720896 FBB720896:FBC720896 FKX720896:FKY720896 FUT720896:FUU720896 GEP720896:GEQ720896 GOL720896:GOM720896 GYH720896:GYI720896 HID720896:HIE720896 HRZ720896:HSA720896 IBV720896:IBW720896 ILR720896:ILS720896 IVN720896:IVO720896 JFJ720896:JFK720896 JPF720896:JPG720896 JZB720896:JZC720896 KIX720896:KIY720896 KST720896:KSU720896 LCP720896:LCQ720896 LML720896:LMM720896 LWH720896:LWI720896 MGD720896:MGE720896 MPZ720896:MQA720896 MZV720896:MZW720896 NJR720896:NJS720896 NTN720896:NTO720896 ODJ720896:ODK720896 ONF720896:ONG720896 OXB720896:OXC720896 PGX720896:PGY720896 PQT720896:PQU720896 QAP720896:QAQ720896 QKL720896:QKM720896 QUH720896:QUI720896 RED720896:REE720896 RNZ720896:ROA720896 RXV720896:RXW720896 SHR720896:SHS720896 SRN720896:SRO720896 TBJ720896:TBK720896 TLF720896:TLG720896 TVB720896:TVC720896 UEX720896:UEY720896 UOT720896:UOU720896 UYP720896:UYQ720896 VIL720896:VIM720896 VSH720896:VSI720896 WCD720896:WCE720896 WLZ720896:WMA720896 WVV720896:WVW720896 N786432:O786432 JJ786432:JK786432 TF786432:TG786432 ADB786432:ADC786432 AMX786432:AMY786432 AWT786432:AWU786432 BGP786432:BGQ786432 BQL786432:BQM786432 CAH786432:CAI786432 CKD786432:CKE786432 CTZ786432:CUA786432 DDV786432:DDW786432 DNR786432:DNS786432 DXN786432:DXO786432 EHJ786432:EHK786432 ERF786432:ERG786432 FBB786432:FBC786432 FKX786432:FKY786432 FUT786432:FUU786432 GEP786432:GEQ786432 GOL786432:GOM786432 GYH786432:GYI786432 HID786432:HIE786432 HRZ786432:HSA786432 IBV786432:IBW786432 ILR786432:ILS786432 IVN786432:IVO786432 JFJ786432:JFK786432 JPF786432:JPG786432 JZB786432:JZC786432 KIX786432:KIY786432 KST786432:KSU786432 LCP786432:LCQ786432 LML786432:LMM786432 LWH786432:LWI786432 MGD786432:MGE786432 MPZ786432:MQA786432 MZV786432:MZW786432 NJR786432:NJS786432 NTN786432:NTO786432 ODJ786432:ODK786432 ONF786432:ONG786432 OXB786432:OXC786432 PGX786432:PGY786432 PQT786432:PQU786432 QAP786432:QAQ786432 QKL786432:QKM786432 QUH786432:QUI786432 RED786432:REE786432 RNZ786432:ROA786432 RXV786432:RXW786432 SHR786432:SHS786432 SRN786432:SRO786432 TBJ786432:TBK786432 TLF786432:TLG786432 TVB786432:TVC786432 UEX786432:UEY786432 UOT786432:UOU786432 UYP786432:UYQ786432 VIL786432:VIM786432 VSH786432:VSI786432 WCD786432:WCE786432 WLZ786432:WMA786432 WVV786432:WVW786432 N851968:O851968 JJ851968:JK851968 TF851968:TG851968 ADB851968:ADC851968 AMX851968:AMY851968 AWT851968:AWU851968 BGP851968:BGQ851968 BQL851968:BQM851968 CAH851968:CAI851968 CKD851968:CKE851968 CTZ851968:CUA851968 DDV851968:DDW851968 DNR851968:DNS851968 DXN851968:DXO851968 EHJ851968:EHK851968 ERF851968:ERG851968 FBB851968:FBC851968 FKX851968:FKY851968 FUT851968:FUU851968 GEP851968:GEQ851968 GOL851968:GOM851968 GYH851968:GYI851968 HID851968:HIE851968 HRZ851968:HSA851968 IBV851968:IBW851968 ILR851968:ILS851968 IVN851968:IVO851968 JFJ851968:JFK851968 JPF851968:JPG851968 JZB851968:JZC851968 KIX851968:KIY851968 KST851968:KSU851968 LCP851968:LCQ851968 LML851968:LMM851968 LWH851968:LWI851968 MGD851968:MGE851968 MPZ851968:MQA851968 MZV851968:MZW851968 NJR851968:NJS851968 NTN851968:NTO851968 ODJ851968:ODK851968 ONF851968:ONG851968 OXB851968:OXC851968 PGX851968:PGY851968 PQT851968:PQU851968 QAP851968:QAQ851968 QKL851968:QKM851968 QUH851968:QUI851968 RED851968:REE851968 RNZ851968:ROA851968 RXV851968:RXW851968 SHR851968:SHS851968 SRN851968:SRO851968 TBJ851968:TBK851968 TLF851968:TLG851968 TVB851968:TVC851968 UEX851968:UEY851968 UOT851968:UOU851968 UYP851968:UYQ851968 VIL851968:VIM851968 VSH851968:VSI851968 WCD851968:WCE851968 WLZ851968:WMA851968 WVV851968:WVW851968 N917504:O917504 JJ917504:JK917504 TF917504:TG917504 ADB917504:ADC917504 AMX917504:AMY917504 AWT917504:AWU917504 BGP917504:BGQ917504 BQL917504:BQM917504 CAH917504:CAI917504 CKD917504:CKE917504 CTZ917504:CUA917504 DDV917504:DDW917504 DNR917504:DNS917504 DXN917504:DXO917504 EHJ917504:EHK917504 ERF917504:ERG917504 FBB917504:FBC917504 FKX917504:FKY917504 FUT917504:FUU917504 GEP917504:GEQ917504 GOL917504:GOM917504 GYH917504:GYI917504 HID917504:HIE917504 HRZ917504:HSA917504 IBV917504:IBW917504 ILR917504:ILS917504 IVN917504:IVO917504 JFJ917504:JFK917504 JPF917504:JPG917504 JZB917504:JZC917504 KIX917504:KIY917504 KST917504:KSU917504 LCP917504:LCQ917504 LML917504:LMM917504 LWH917504:LWI917504 MGD917504:MGE917504 MPZ917504:MQA917504 MZV917504:MZW917504 NJR917504:NJS917504 NTN917504:NTO917504 ODJ917504:ODK917504 ONF917504:ONG917504 OXB917504:OXC917504 PGX917504:PGY917504 PQT917504:PQU917504 QAP917504:QAQ917504 QKL917504:QKM917504 QUH917504:QUI917504 RED917504:REE917504 RNZ917504:ROA917504 RXV917504:RXW917504 SHR917504:SHS917504 SRN917504:SRO917504 TBJ917504:TBK917504 TLF917504:TLG917504 TVB917504:TVC917504 UEX917504:UEY917504 UOT917504:UOU917504 UYP917504:UYQ917504 VIL917504:VIM917504 VSH917504:VSI917504 WCD917504:WCE917504 WLZ917504:WMA917504 WVV917504:WVW917504 N983040:O983040 JJ983040:JK983040 TF983040:TG983040 ADB983040:ADC983040 AMX983040:AMY983040 AWT983040:AWU983040 BGP983040:BGQ983040 BQL983040:BQM983040 CAH983040:CAI983040 CKD983040:CKE983040 CTZ983040:CUA983040 DDV983040:DDW983040 DNR983040:DNS983040 DXN983040:DXO983040 EHJ983040:EHK983040 ERF983040:ERG983040 FBB983040:FBC983040 FKX983040:FKY983040 FUT983040:FUU983040 GEP983040:GEQ983040 GOL983040:GOM983040 GYH983040:GYI983040 HID983040:HIE983040 HRZ983040:HSA983040 IBV983040:IBW983040 ILR983040:ILS983040 IVN983040:IVO983040 JFJ983040:JFK983040 JPF983040:JPG983040 JZB983040:JZC983040 KIX983040:KIY983040 KST983040:KSU983040 LCP983040:LCQ983040 LML983040:LMM983040 LWH983040:LWI983040 MGD983040:MGE983040 MPZ983040:MQA983040 MZV983040:MZW983040 NJR983040:NJS983040 NTN983040:NTO983040 ODJ983040:ODK983040 ONF983040:ONG983040 OXB983040:OXC983040 PGX983040:PGY983040 PQT983040:PQU983040 QAP983040:QAQ983040 QKL983040:QKM983040 QUH983040:QUI983040 RED983040:REE983040 RNZ983040:ROA983040 RXV983040:RXW983040 SHR983040:SHS983040 SRN983040:SRO983040 TBJ983040:TBK983040 TLF983040:TLG983040 TVB983040:TVC983040 UEX983040:UEY983040 UOT983040:UOU983040 UYP983040:UYQ983040 VIL983040:VIM983040 VSH983040:VSI983040 WCD983040:WCE983040 WLZ983040:WMA983040 WVV983040:WVW983040 HF1:HG1 RB1:RC1 AAX1:AAY1 AKT1:AKU1 AUP1:AUQ1 BEL1:BEM1 BOH1:BOI1 BYD1:BYE1 CHZ1:CIA1 CRV1:CRW1 DBR1:DBS1 DLN1:DLO1 DVJ1:DVK1 EFF1:EFG1 EPB1:EPC1 EYX1:EYY1 FIT1:FIU1 FSP1:FSQ1 GCL1:GCM1 GMH1:GMI1 GWD1:GWE1 HFZ1:HGA1 HPV1:HPW1 HZR1:HZS1 IJN1:IJO1 ITJ1:ITK1 JDF1:JDG1 JNB1:JNC1 JWX1:JWY1 KGT1:KGU1 KQP1:KQQ1 LAL1:LAM1 LKH1:LKI1 LUD1:LUE1 MDZ1:MEA1 MNV1:MNW1 MXR1:MXS1 NHN1:NHO1 NRJ1:NRK1 OBF1:OBG1 OLB1:OLC1 OUX1:OUY1 PET1:PEU1 POP1:POQ1 PYL1:PYM1 QIH1:QII1 QSD1:QSE1 RBZ1:RCA1 RLV1:RLW1 RVR1:RVS1 SFN1:SFO1 SPJ1:SPK1 SZF1:SZG1 TJB1:TJC1 TSX1:TSY1 UCT1:UCU1 UMP1:UMQ1 UWL1:UWM1 VGH1:VGI1 VQD1:VQE1 VZZ1:WAA1 WJV1:WJW1 WTR1:WTS1 XDN1:XDO1 HF65536:HG65536 RB65536:RC65536 AAX65536:AAY65536 AKT65536:AKU65536 AUP65536:AUQ65536 BEL65536:BEM65536 BOH65536:BOI65536 BYD65536:BYE65536 CHZ65536:CIA65536 CRV65536:CRW65536 DBR65536:DBS65536 DLN65536:DLO65536 DVJ65536:DVK65536 EFF65536:EFG65536 EPB65536:EPC65536 EYX65536:EYY65536 FIT65536:FIU65536 FSP65536:FSQ65536 GCL65536:GCM65536 GMH65536:GMI65536 GWD65536:GWE65536 HFZ65536:HGA65536 HPV65536:HPW65536 HZR65536:HZS65536 IJN65536:IJO65536 ITJ65536:ITK65536 JDF65536:JDG65536 JNB65536:JNC65536 JWX65536:JWY65536 KGT65536:KGU65536 KQP65536:KQQ65536 LAL65536:LAM65536 LKH65536:LKI65536 LUD65536:LUE65536 MDZ65536:MEA65536 MNV65536:MNW65536 MXR65536:MXS65536 NHN65536:NHO65536 NRJ65536:NRK65536 OBF65536:OBG65536 OLB65536:OLC65536 OUX65536:OUY65536 PET65536:PEU65536 POP65536:POQ65536 PYL65536:PYM65536 QIH65536:QII65536 QSD65536:QSE65536 RBZ65536:RCA65536 RLV65536:RLW65536 RVR65536:RVS65536 SFN65536:SFO65536 SPJ65536:SPK65536 SZF65536:SZG65536 TJB65536:TJC65536 TSX65536:TSY65536 UCT65536:UCU65536 UMP65536:UMQ65536 UWL65536:UWM65536 VGH65536:VGI65536 VQD65536:VQE65536 VZZ65536:WAA65536 WJV65536:WJW65536 WTR65536:WTS65536 XDN65536:XDO65536 HF131072:HG131072 RB131072:RC131072 AAX131072:AAY131072 AKT131072:AKU131072 AUP131072:AUQ131072 BEL131072:BEM131072 BOH131072:BOI131072 BYD131072:BYE131072 CHZ131072:CIA131072 CRV131072:CRW131072 DBR131072:DBS131072 DLN131072:DLO131072 DVJ131072:DVK131072 EFF131072:EFG131072 EPB131072:EPC131072 EYX131072:EYY131072 FIT131072:FIU131072 FSP131072:FSQ131072 GCL131072:GCM131072 GMH131072:GMI131072 GWD131072:GWE131072 HFZ131072:HGA131072 HPV131072:HPW131072 HZR131072:HZS131072 IJN131072:IJO131072 ITJ131072:ITK131072 JDF131072:JDG131072 JNB131072:JNC131072 JWX131072:JWY131072 KGT131072:KGU131072 KQP131072:KQQ131072 LAL131072:LAM131072 LKH131072:LKI131072 LUD131072:LUE131072 MDZ131072:MEA131072 MNV131072:MNW131072 MXR131072:MXS131072 NHN131072:NHO131072 NRJ131072:NRK131072 OBF131072:OBG131072 OLB131072:OLC131072 OUX131072:OUY131072 PET131072:PEU131072 POP131072:POQ131072 PYL131072:PYM131072 QIH131072:QII131072 QSD131072:QSE131072 RBZ131072:RCA131072 RLV131072:RLW131072 RVR131072:RVS131072 SFN131072:SFO131072 SPJ131072:SPK131072 SZF131072:SZG131072 TJB131072:TJC131072 TSX131072:TSY131072 UCT131072:UCU131072 UMP131072:UMQ131072 UWL131072:UWM131072 VGH131072:VGI131072 VQD131072:VQE131072 VZZ131072:WAA131072 WJV131072:WJW131072 WTR131072:WTS131072 XDN131072:XDO131072 HF196608:HG196608 RB196608:RC196608 AAX196608:AAY196608 AKT196608:AKU196608 AUP196608:AUQ196608 BEL196608:BEM196608 BOH196608:BOI196608 BYD196608:BYE196608 CHZ196608:CIA196608 CRV196608:CRW196608 DBR196608:DBS196608 DLN196608:DLO196608 DVJ196608:DVK196608 EFF196608:EFG196608 EPB196608:EPC196608 EYX196608:EYY196608 FIT196608:FIU196608 FSP196608:FSQ196608 GCL196608:GCM196608 GMH196608:GMI196608 GWD196608:GWE196608 HFZ196608:HGA196608 HPV196608:HPW196608 HZR196608:HZS196608 IJN196608:IJO196608 ITJ196608:ITK196608 JDF196608:JDG196608 JNB196608:JNC196608 JWX196608:JWY196608 KGT196608:KGU196608 KQP196608:KQQ196608 LAL196608:LAM196608 LKH196608:LKI196608 LUD196608:LUE196608 MDZ196608:MEA196608 MNV196608:MNW196608 MXR196608:MXS196608 NHN196608:NHO196608 NRJ196608:NRK196608 OBF196608:OBG196608 OLB196608:OLC196608 OUX196608:OUY196608 PET196608:PEU196608 POP196608:POQ196608 PYL196608:PYM196608 QIH196608:QII196608 QSD196608:QSE196608 RBZ196608:RCA196608 RLV196608:RLW196608 RVR196608:RVS196608 SFN196608:SFO196608 SPJ196608:SPK196608 SZF196608:SZG196608 TJB196608:TJC196608 TSX196608:TSY196608 UCT196608:UCU196608 UMP196608:UMQ196608 UWL196608:UWM196608 VGH196608:VGI196608 VQD196608:VQE196608 VZZ196608:WAA196608 WJV196608:WJW196608 WTR196608:WTS196608 XDN196608:XDO196608 HF262144:HG262144 RB262144:RC262144 AAX262144:AAY262144 AKT262144:AKU262144 AUP262144:AUQ262144 BEL262144:BEM262144 BOH262144:BOI262144 BYD262144:BYE262144 CHZ262144:CIA262144 CRV262144:CRW262144 DBR262144:DBS262144 DLN262144:DLO262144 DVJ262144:DVK262144 EFF262144:EFG262144 EPB262144:EPC262144 EYX262144:EYY262144 FIT262144:FIU262144 FSP262144:FSQ262144 GCL262144:GCM262144 GMH262144:GMI262144 GWD262144:GWE262144 HFZ262144:HGA262144 HPV262144:HPW262144 HZR262144:HZS262144 IJN262144:IJO262144 ITJ262144:ITK262144 JDF262144:JDG262144 JNB262144:JNC262144 JWX262144:JWY262144 KGT262144:KGU262144 KQP262144:KQQ262144 LAL262144:LAM262144 LKH262144:LKI262144 LUD262144:LUE262144 MDZ262144:MEA262144 MNV262144:MNW262144 MXR262144:MXS262144 NHN262144:NHO262144 NRJ262144:NRK262144 OBF262144:OBG262144 OLB262144:OLC262144 OUX262144:OUY262144 PET262144:PEU262144 POP262144:POQ262144 PYL262144:PYM262144 QIH262144:QII262144 QSD262144:QSE262144 RBZ262144:RCA262144 RLV262144:RLW262144 RVR262144:RVS262144 SFN262144:SFO262144 SPJ262144:SPK262144 SZF262144:SZG262144 TJB262144:TJC262144 TSX262144:TSY262144 UCT262144:UCU262144 UMP262144:UMQ262144 UWL262144:UWM262144 VGH262144:VGI262144 VQD262144:VQE262144 VZZ262144:WAA262144 WJV262144:WJW262144 WTR262144:WTS262144 XDN262144:XDO262144 HF327680:HG327680 RB327680:RC327680 AAX327680:AAY327680 AKT327680:AKU327680 AUP327680:AUQ327680 BEL327680:BEM327680 BOH327680:BOI327680 BYD327680:BYE327680 CHZ327680:CIA327680 CRV327680:CRW327680 DBR327680:DBS327680 DLN327680:DLO327680 DVJ327680:DVK327680 EFF327680:EFG327680 EPB327680:EPC327680 EYX327680:EYY327680 FIT327680:FIU327680 FSP327680:FSQ327680 GCL327680:GCM327680 GMH327680:GMI327680 GWD327680:GWE327680 HFZ327680:HGA327680 HPV327680:HPW327680 HZR327680:HZS327680 IJN327680:IJO327680 ITJ327680:ITK327680 JDF327680:JDG327680 JNB327680:JNC327680 JWX327680:JWY327680 KGT327680:KGU327680 KQP327680:KQQ327680 LAL327680:LAM327680 LKH327680:LKI327680 LUD327680:LUE327680 MDZ327680:MEA327680 MNV327680:MNW327680 MXR327680:MXS327680 NHN327680:NHO327680 NRJ327680:NRK327680 OBF327680:OBG327680 OLB327680:OLC327680 OUX327680:OUY327680 PET327680:PEU327680 POP327680:POQ327680 PYL327680:PYM327680 QIH327680:QII327680 QSD327680:QSE327680 RBZ327680:RCA327680 RLV327680:RLW327680 RVR327680:RVS327680 SFN327680:SFO327680 SPJ327680:SPK327680 SZF327680:SZG327680 TJB327680:TJC327680 TSX327680:TSY327680 UCT327680:UCU327680 UMP327680:UMQ327680 UWL327680:UWM327680 VGH327680:VGI327680 VQD327680:VQE327680 VZZ327680:WAA327680 WJV327680:WJW327680 WTR327680:WTS327680 XDN327680:XDO327680 HF393216:HG393216 RB393216:RC393216 AAX393216:AAY393216 AKT393216:AKU393216 AUP393216:AUQ393216 BEL393216:BEM393216 BOH393216:BOI393216 BYD393216:BYE393216 CHZ393216:CIA393216 CRV393216:CRW393216 DBR393216:DBS393216 DLN393216:DLO393216 DVJ393216:DVK393216 EFF393216:EFG393216 EPB393216:EPC393216 EYX393216:EYY393216 FIT393216:FIU393216 FSP393216:FSQ393216 GCL393216:GCM393216 GMH393216:GMI393216 GWD393216:GWE393216 HFZ393216:HGA393216 HPV393216:HPW393216 HZR393216:HZS393216 IJN393216:IJO393216 ITJ393216:ITK393216 JDF393216:JDG393216 JNB393216:JNC393216 JWX393216:JWY393216 KGT393216:KGU393216 KQP393216:KQQ393216 LAL393216:LAM393216 LKH393216:LKI393216 LUD393216:LUE393216 MDZ393216:MEA393216 MNV393216:MNW393216 MXR393216:MXS393216 NHN393216:NHO393216 NRJ393216:NRK393216 OBF393216:OBG393216 OLB393216:OLC393216 OUX393216:OUY393216 PET393216:PEU393216 POP393216:POQ393216 PYL393216:PYM393216 QIH393216:QII393216 QSD393216:QSE393216 RBZ393216:RCA393216 RLV393216:RLW393216 RVR393216:RVS393216 SFN393216:SFO393216 SPJ393216:SPK393216 SZF393216:SZG393216 TJB393216:TJC393216 TSX393216:TSY393216 UCT393216:UCU393216 UMP393216:UMQ393216 UWL393216:UWM393216 VGH393216:VGI393216 VQD393216:VQE393216 VZZ393216:WAA393216 WJV393216:WJW393216 WTR393216:WTS393216 XDN393216:XDO393216 HF458752:HG458752 RB458752:RC458752 AAX458752:AAY458752 AKT458752:AKU458752 AUP458752:AUQ458752 BEL458752:BEM458752 BOH458752:BOI458752 BYD458752:BYE458752 CHZ458752:CIA458752 CRV458752:CRW458752 DBR458752:DBS458752 DLN458752:DLO458752 DVJ458752:DVK458752 EFF458752:EFG458752 EPB458752:EPC458752 EYX458752:EYY458752 FIT458752:FIU458752 FSP458752:FSQ458752 GCL458752:GCM458752 GMH458752:GMI458752 GWD458752:GWE458752 HFZ458752:HGA458752 HPV458752:HPW458752 HZR458752:HZS458752 IJN458752:IJO458752 ITJ458752:ITK458752 JDF458752:JDG458752 JNB458752:JNC458752 JWX458752:JWY458752 KGT458752:KGU458752 KQP458752:KQQ458752 LAL458752:LAM458752 LKH458752:LKI458752 LUD458752:LUE458752 MDZ458752:MEA458752 MNV458752:MNW458752 MXR458752:MXS458752 NHN458752:NHO458752 NRJ458752:NRK458752 OBF458752:OBG458752 OLB458752:OLC458752 OUX458752:OUY458752 PET458752:PEU458752 POP458752:POQ458752 PYL458752:PYM458752 QIH458752:QII458752 QSD458752:QSE458752 RBZ458752:RCA458752 RLV458752:RLW458752 RVR458752:RVS458752 SFN458752:SFO458752 SPJ458752:SPK458752 SZF458752:SZG458752 TJB458752:TJC458752 TSX458752:TSY458752 UCT458752:UCU458752 UMP458752:UMQ458752 UWL458752:UWM458752 VGH458752:VGI458752 VQD458752:VQE458752 VZZ458752:WAA458752 WJV458752:WJW458752 WTR458752:WTS458752 XDN458752:XDO458752 HF524288:HG524288 RB524288:RC524288 AAX524288:AAY524288 AKT524288:AKU524288 AUP524288:AUQ524288 BEL524288:BEM524288 BOH524288:BOI524288 BYD524288:BYE524288 CHZ524288:CIA524288 CRV524288:CRW524288 DBR524288:DBS524288 DLN524288:DLO524288 DVJ524288:DVK524288 EFF524288:EFG524288 EPB524288:EPC524288 EYX524288:EYY524288 FIT524288:FIU524288 FSP524288:FSQ524288 GCL524288:GCM524288 GMH524288:GMI524288 GWD524288:GWE524288 HFZ524288:HGA524288 HPV524288:HPW524288 HZR524288:HZS524288 IJN524288:IJO524288 ITJ524288:ITK524288 JDF524288:JDG524288 JNB524288:JNC524288 JWX524288:JWY524288 KGT524288:KGU524288 KQP524288:KQQ524288 LAL524288:LAM524288 LKH524288:LKI524288 LUD524288:LUE524288 MDZ524288:MEA524288 MNV524288:MNW524288 MXR524288:MXS524288 NHN524288:NHO524288 NRJ524288:NRK524288 OBF524288:OBG524288 OLB524288:OLC524288 OUX524288:OUY524288 PET524288:PEU524288 POP524288:POQ524288 PYL524288:PYM524288 QIH524288:QII524288 QSD524288:QSE524288 RBZ524288:RCA524288 RLV524288:RLW524288 RVR524288:RVS524288 SFN524288:SFO524288 SPJ524288:SPK524288 SZF524288:SZG524288 TJB524288:TJC524288 TSX524288:TSY524288 UCT524288:UCU524288 UMP524288:UMQ524288 UWL524288:UWM524288 VGH524288:VGI524288 VQD524288:VQE524288 VZZ524288:WAA524288 WJV524288:WJW524288 WTR524288:WTS524288 XDN524288:XDO524288 HF589824:HG589824 RB589824:RC589824 AAX589824:AAY589824 AKT589824:AKU589824 AUP589824:AUQ589824 BEL589824:BEM589824 BOH589824:BOI589824 BYD589824:BYE589824 CHZ589824:CIA589824 CRV589824:CRW589824 DBR589824:DBS589824 DLN589824:DLO589824 DVJ589824:DVK589824 EFF589824:EFG589824 EPB589824:EPC589824 EYX589824:EYY589824 FIT589824:FIU589824 FSP589824:FSQ589824 GCL589824:GCM589824 GMH589824:GMI589824 GWD589824:GWE589824 HFZ589824:HGA589824 HPV589824:HPW589824 HZR589824:HZS589824 IJN589824:IJO589824 ITJ589824:ITK589824 JDF589824:JDG589824 JNB589824:JNC589824 JWX589824:JWY589824 KGT589824:KGU589824 KQP589824:KQQ589824 LAL589824:LAM589824 LKH589824:LKI589824 LUD589824:LUE589824 MDZ589824:MEA589824 MNV589824:MNW589824 MXR589824:MXS589824 NHN589824:NHO589824 NRJ589824:NRK589824 OBF589824:OBG589824 OLB589824:OLC589824 OUX589824:OUY589824 PET589824:PEU589824 POP589824:POQ589824 PYL589824:PYM589824 QIH589824:QII589824 QSD589824:QSE589824 RBZ589824:RCA589824 RLV589824:RLW589824 RVR589824:RVS589824 SFN589824:SFO589824 SPJ589824:SPK589824 SZF589824:SZG589824 TJB589824:TJC589824 TSX589824:TSY589824 UCT589824:UCU589824 UMP589824:UMQ589824 UWL589824:UWM589824 VGH589824:VGI589824 VQD589824:VQE589824 VZZ589824:WAA589824 WJV589824:WJW589824 WTR589824:WTS589824 XDN589824:XDO589824 HF655360:HG655360 RB655360:RC655360 AAX655360:AAY655360 AKT655360:AKU655360 AUP655360:AUQ655360 BEL655360:BEM655360 BOH655360:BOI655360 BYD655360:BYE655360 CHZ655360:CIA655360 CRV655360:CRW655360 DBR655360:DBS655360 DLN655360:DLO655360 DVJ655360:DVK655360 EFF655360:EFG655360 EPB655360:EPC655360 EYX655360:EYY655360 FIT655360:FIU655360 FSP655360:FSQ655360 GCL655360:GCM655360 GMH655360:GMI655360 GWD655360:GWE655360 HFZ655360:HGA655360 HPV655360:HPW655360 HZR655360:HZS655360 IJN655360:IJO655360 ITJ655360:ITK655360 JDF655360:JDG655360 JNB655360:JNC655360 JWX655360:JWY655360 KGT655360:KGU655360 KQP655360:KQQ655360 LAL655360:LAM655360 LKH655360:LKI655360 LUD655360:LUE655360 MDZ655360:MEA655360 MNV655360:MNW655360 MXR655360:MXS655360 NHN655360:NHO655360 NRJ655360:NRK655360 OBF655360:OBG655360 OLB655360:OLC655360 OUX655360:OUY655360 PET655360:PEU655360 POP655360:POQ655360 PYL655360:PYM655360 QIH655360:QII655360 QSD655360:QSE655360 RBZ655360:RCA655360 RLV655360:RLW655360 RVR655360:RVS655360 SFN655360:SFO655360 SPJ655360:SPK655360 SZF655360:SZG655360 TJB655360:TJC655360 TSX655360:TSY655360 UCT655360:UCU655360 UMP655360:UMQ655360 UWL655360:UWM655360 VGH655360:VGI655360 VQD655360:VQE655360 VZZ655360:WAA655360 WJV655360:WJW655360 WTR655360:WTS655360 XDN655360:XDO655360 HF720896:HG720896 RB720896:RC720896 AAX720896:AAY720896 AKT720896:AKU720896 AUP720896:AUQ720896 BEL720896:BEM720896 BOH720896:BOI720896 BYD720896:BYE720896 CHZ720896:CIA720896 CRV720896:CRW720896 DBR720896:DBS720896 DLN720896:DLO720896 DVJ720896:DVK720896 EFF720896:EFG720896 EPB720896:EPC720896 EYX720896:EYY720896 FIT720896:FIU720896 FSP720896:FSQ720896 GCL720896:GCM720896 GMH720896:GMI720896 GWD720896:GWE720896 HFZ720896:HGA720896 HPV720896:HPW720896 HZR720896:HZS720896 IJN720896:IJO720896 ITJ720896:ITK720896 JDF720896:JDG720896 JNB720896:JNC720896 JWX720896:JWY720896 KGT720896:KGU720896 KQP720896:KQQ720896 LAL720896:LAM720896 LKH720896:LKI720896 LUD720896:LUE720896 MDZ720896:MEA720896 MNV720896:MNW720896 MXR720896:MXS720896 NHN720896:NHO720896 NRJ720896:NRK720896 OBF720896:OBG720896 OLB720896:OLC720896 OUX720896:OUY720896 PET720896:PEU720896 POP720896:POQ720896 PYL720896:PYM720896 QIH720896:QII720896 QSD720896:QSE720896 RBZ720896:RCA720896 RLV720896:RLW720896 RVR720896:RVS720896 SFN720896:SFO720896 SPJ720896:SPK720896 SZF720896:SZG720896 TJB720896:TJC720896 TSX720896:TSY720896 UCT720896:UCU720896 UMP720896:UMQ720896 UWL720896:UWM720896 VGH720896:VGI720896 VQD720896:VQE720896 VZZ720896:WAA720896 WJV720896:WJW720896 WTR720896:WTS720896 XDN720896:XDO720896 HF786432:HG786432 RB786432:RC786432 AAX786432:AAY786432 AKT786432:AKU786432 AUP786432:AUQ786432 BEL786432:BEM786432 BOH786432:BOI786432 BYD786432:BYE786432 CHZ786432:CIA786432 CRV786432:CRW786432 DBR786432:DBS786432 DLN786432:DLO786432 DVJ786432:DVK786432 EFF786432:EFG786432 EPB786432:EPC786432 EYX786432:EYY786432 FIT786432:FIU786432 FSP786432:FSQ786432 GCL786432:GCM786432 GMH786432:GMI786432 GWD786432:GWE786432 HFZ786432:HGA786432 HPV786432:HPW786432 HZR786432:HZS786432 IJN786432:IJO786432 ITJ786432:ITK786432 JDF786432:JDG786432 JNB786432:JNC786432 JWX786432:JWY786432 KGT786432:KGU786432 KQP786432:KQQ786432 LAL786432:LAM786432 LKH786432:LKI786432 LUD786432:LUE786432 MDZ786432:MEA786432 MNV786432:MNW786432 MXR786432:MXS786432 NHN786432:NHO786432 NRJ786432:NRK786432 OBF786432:OBG786432 OLB786432:OLC786432 OUX786432:OUY786432 PET786432:PEU786432 POP786432:POQ786432 PYL786432:PYM786432 QIH786432:QII786432 QSD786432:QSE786432 RBZ786432:RCA786432 RLV786432:RLW786432 RVR786432:RVS786432 SFN786432:SFO786432 SPJ786432:SPK786432 SZF786432:SZG786432 TJB786432:TJC786432 TSX786432:TSY786432 UCT786432:UCU786432 UMP786432:UMQ786432 UWL786432:UWM786432 VGH786432:VGI786432 VQD786432:VQE786432 VZZ786432:WAA786432 WJV786432:WJW786432 WTR786432:WTS786432 XDN786432:XDO786432 HF851968:HG851968 RB851968:RC851968 AAX851968:AAY851968 AKT851968:AKU851968 AUP851968:AUQ851968 BEL851968:BEM851968 BOH851968:BOI851968 BYD851968:BYE851968 CHZ851968:CIA851968 CRV851968:CRW851968 DBR851968:DBS851968 DLN851968:DLO851968 DVJ851968:DVK851968 EFF851968:EFG851968 EPB851968:EPC851968 EYX851968:EYY851968 FIT851968:FIU851968 FSP851968:FSQ851968 GCL851968:GCM851968 GMH851968:GMI851968 GWD851968:GWE851968 HFZ851968:HGA851968 HPV851968:HPW851968 HZR851968:HZS851968 IJN851968:IJO851968 ITJ851968:ITK851968 JDF851968:JDG851968 JNB851968:JNC851968 JWX851968:JWY851968 KGT851968:KGU851968 KQP851968:KQQ851968 LAL851968:LAM851968 LKH851968:LKI851968 LUD851968:LUE851968 MDZ851968:MEA851968 MNV851968:MNW851968 MXR851968:MXS851968 NHN851968:NHO851968 NRJ851968:NRK851968 OBF851968:OBG851968 OLB851968:OLC851968 OUX851968:OUY851968 PET851968:PEU851968 POP851968:POQ851968 PYL851968:PYM851968 QIH851968:QII851968 QSD851968:QSE851968 RBZ851968:RCA851968 RLV851968:RLW851968 RVR851968:RVS851968 SFN851968:SFO851968 SPJ851968:SPK851968 SZF851968:SZG851968 TJB851968:TJC851968 TSX851968:TSY851968 UCT851968:UCU851968 UMP851968:UMQ851968 UWL851968:UWM851968 VGH851968:VGI851968 VQD851968:VQE851968 VZZ851968:WAA851968 WJV851968:WJW851968 WTR851968:WTS851968 XDN851968:XDO851968 HF917504:HG917504 RB917504:RC917504 AAX917504:AAY917504 AKT917504:AKU917504 AUP917504:AUQ917504 BEL917504:BEM917504 BOH917504:BOI917504 BYD917504:BYE917504 CHZ917504:CIA917504 CRV917504:CRW917504 DBR917504:DBS917504 DLN917504:DLO917504 DVJ917504:DVK917504 EFF917504:EFG917504 EPB917504:EPC917504 EYX917504:EYY917504 FIT917504:FIU917504 FSP917504:FSQ917504 GCL917504:GCM917504 GMH917504:GMI917504 GWD917504:GWE917504 HFZ917504:HGA917504 HPV917504:HPW917504 HZR917504:HZS917504 IJN917504:IJO917504 ITJ917504:ITK917504 JDF917504:JDG917504 JNB917504:JNC917504 JWX917504:JWY917504 KGT917504:KGU917504 KQP917504:KQQ917504 LAL917504:LAM917504 LKH917504:LKI917504 LUD917504:LUE917504 MDZ917504:MEA917504 MNV917504:MNW917504 MXR917504:MXS917504 NHN917504:NHO917504 NRJ917504:NRK917504 OBF917504:OBG917504 OLB917504:OLC917504 OUX917504:OUY917504 PET917504:PEU917504 POP917504:POQ917504 PYL917504:PYM917504 QIH917504:QII917504 QSD917504:QSE917504 RBZ917504:RCA917504 RLV917504:RLW917504 RVR917504:RVS917504 SFN917504:SFO917504 SPJ917504:SPK917504 SZF917504:SZG917504 TJB917504:TJC917504 TSX917504:TSY917504 UCT917504:UCU917504 UMP917504:UMQ917504 UWL917504:UWM917504 VGH917504:VGI917504 VQD917504:VQE917504 VZZ917504:WAA917504 WJV917504:WJW917504 WTR917504:WTS917504 XDN917504:XDO917504 HF983040:HG983040 RB983040:RC983040 AAX983040:AAY983040 AKT983040:AKU983040 AUP983040:AUQ983040 BEL983040:BEM983040 BOH983040:BOI983040 BYD983040:BYE983040 CHZ983040:CIA983040 CRV983040:CRW983040 DBR983040:DBS983040 DLN983040:DLO983040 DVJ983040:DVK983040 EFF983040:EFG983040 EPB983040:EPC983040 EYX983040:EYY983040 FIT983040:FIU983040 FSP983040:FSQ983040 GCL983040:GCM983040 GMH983040:GMI983040 GWD983040:GWE983040 HFZ983040:HGA983040 HPV983040:HPW983040 HZR983040:HZS983040 IJN983040:IJO983040 ITJ983040:ITK983040 JDF983040:JDG983040 JNB983040:JNC983040 JWX983040:JWY983040 KGT983040:KGU983040 KQP983040:KQQ983040 LAL983040:LAM983040 LKH983040:LKI983040 LUD983040:LUE983040 MDZ983040:MEA983040 MNV983040:MNW983040 MXR983040:MXS983040 NHN983040:NHO983040 NRJ983040:NRK983040 OBF983040:OBG983040 OLB983040:OLC983040 OUX983040:OUY983040 PET983040:PEU983040 POP983040:POQ983040 PYL983040:PYM983040 QIH983040:QII983040 QSD983040:QSE983040 RBZ983040:RCA983040 RLV983040:RLW983040 RVR983040:RVS983040 SFN983040:SFO983040 SPJ983040:SPK983040 SZF983040:SZG983040 TJB983040:TJC983040 TSX983040:TSY983040 UCT983040:UCU983040 UMP983040:UMQ983040 UWL983040:UWM983040 VGH983040:VGI983040 VQD983040:VQE983040 VZZ983040:WAA983040 WJV983040:WJW983040 WTR983040:WTS983040 XDN983040:XDO983040 N57967:O57967 JJ57967:JK57967 TF57967:TG57967 ADB57967:ADC57967 AMX57967:AMY57967 AWT57967:AWU57967 BGP57967:BGQ57967 BQL57967:BQM57967 CAH57967:CAI57967 CKD57967:CKE57967 CTZ57967:CUA57967 DDV57967:DDW57967 DNR57967:DNS57967 DXN57967:DXO57967 EHJ57967:EHK57967 ERF57967:ERG57967 FBB57967:FBC57967 FKX57967:FKY57967 FUT57967:FUU57967 GEP57967:GEQ57967 GOL57967:GOM57967 GYH57967:GYI57967 HID57967:HIE57967 HRZ57967:HSA57967 IBV57967:IBW57967 ILR57967:ILS57967 IVN57967:IVO57967 JFJ57967:JFK57967 JPF57967:JPG57967 JZB57967:JZC57967 KIX57967:KIY57967 KST57967:KSU57967 LCP57967:LCQ57967 LML57967:LMM57967 LWH57967:LWI57967 MGD57967:MGE57967 MPZ57967:MQA57967 MZV57967:MZW57967 NJR57967:NJS57967 NTN57967:NTO57967 ODJ57967:ODK57967 ONF57967:ONG57967 OXB57967:OXC57967 PGX57967:PGY57967 PQT57967:PQU57967 QAP57967:QAQ57967 QKL57967:QKM57967 QUH57967:QUI57967 RED57967:REE57967 RNZ57967:ROA57967 RXV57967:RXW57967 SHR57967:SHS57967 SRN57967:SRO57967 TBJ57967:TBK57967 TLF57967:TLG57967 TVB57967:TVC57967 UEX57967:UEY57967 UOT57967:UOU57967 UYP57967:UYQ57967 VIL57967:VIM57967 VSH57967:VSI57967 WCD57967:WCE57967 WLZ57967:WMA57967 WVV57967:WVW57967 N123503:O123503 JJ123503:JK123503 TF123503:TG123503 ADB123503:ADC123503 AMX123503:AMY123503 AWT123503:AWU123503 BGP123503:BGQ123503 BQL123503:BQM123503 CAH123503:CAI123503 CKD123503:CKE123503 CTZ123503:CUA123503 DDV123503:DDW123503 DNR123503:DNS123503 DXN123503:DXO123503 EHJ123503:EHK123503 ERF123503:ERG123503 FBB123503:FBC123503 FKX123503:FKY123503 FUT123503:FUU123503 GEP123503:GEQ123503 GOL123503:GOM123503 GYH123503:GYI123503 HID123503:HIE123503 HRZ123503:HSA123503 IBV123503:IBW123503 ILR123503:ILS123503 IVN123503:IVO123503 JFJ123503:JFK123503 JPF123503:JPG123503 JZB123503:JZC123503 KIX123503:KIY123503 KST123503:KSU123503 LCP123503:LCQ123503 LML123503:LMM123503 LWH123503:LWI123503 MGD123503:MGE123503 MPZ123503:MQA123503 MZV123503:MZW123503 NJR123503:NJS123503 NTN123503:NTO123503 ODJ123503:ODK123503 ONF123503:ONG123503 OXB123503:OXC123503 PGX123503:PGY123503 PQT123503:PQU123503 QAP123503:QAQ123503 QKL123503:QKM123503 QUH123503:QUI123503 RED123503:REE123503 RNZ123503:ROA123503 RXV123503:RXW123503 SHR123503:SHS123503 SRN123503:SRO123503 TBJ123503:TBK123503 TLF123503:TLG123503 TVB123503:TVC123503 UEX123503:UEY123503 UOT123503:UOU123503 UYP123503:UYQ123503 VIL123503:VIM123503 VSH123503:VSI123503 WCD123503:WCE123503 WLZ123503:WMA123503 WVV123503:WVW123503 N189039:O189039 JJ189039:JK189039 TF189039:TG189039 ADB189039:ADC189039 AMX189039:AMY189039 AWT189039:AWU189039 BGP189039:BGQ189039 BQL189039:BQM189039 CAH189039:CAI189039 CKD189039:CKE189039 CTZ189039:CUA189039 DDV189039:DDW189039 DNR189039:DNS189039 DXN189039:DXO189039 EHJ189039:EHK189039 ERF189039:ERG189039 FBB189039:FBC189039 FKX189039:FKY189039 FUT189039:FUU189039 GEP189039:GEQ189039 GOL189039:GOM189039 GYH189039:GYI189039 HID189039:HIE189039 HRZ189039:HSA189039 IBV189039:IBW189039 ILR189039:ILS189039 IVN189039:IVO189039 JFJ189039:JFK189039 JPF189039:JPG189039 JZB189039:JZC189039 KIX189039:KIY189039 KST189039:KSU189039 LCP189039:LCQ189039 LML189039:LMM189039 LWH189039:LWI189039 MGD189039:MGE189039 MPZ189039:MQA189039 MZV189039:MZW189039 NJR189039:NJS189039 NTN189039:NTO189039 ODJ189039:ODK189039 ONF189039:ONG189039 OXB189039:OXC189039 PGX189039:PGY189039 PQT189039:PQU189039 QAP189039:QAQ189039 QKL189039:QKM189039 QUH189039:QUI189039 RED189039:REE189039 RNZ189039:ROA189039 RXV189039:RXW189039 SHR189039:SHS189039 SRN189039:SRO189039 TBJ189039:TBK189039 TLF189039:TLG189039 TVB189039:TVC189039 UEX189039:UEY189039 UOT189039:UOU189039 UYP189039:UYQ189039 VIL189039:VIM189039 VSH189039:VSI189039 WCD189039:WCE189039 WLZ189039:WMA189039 WVV189039:WVW189039 N254575:O254575 JJ254575:JK254575 TF254575:TG254575 ADB254575:ADC254575 AMX254575:AMY254575 AWT254575:AWU254575 BGP254575:BGQ254575 BQL254575:BQM254575 CAH254575:CAI254575 CKD254575:CKE254575 CTZ254575:CUA254575 DDV254575:DDW254575 DNR254575:DNS254575 DXN254575:DXO254575 EHJ254575:EHK254575 ERF254575:ERG254575 FBB254575:FBC254575 FKX254575:FKY254575 FUT254575:FUU254575 GEP254575:GEQ254575 GOL254575:GOM254575 GYH254575:GYI254575 HID254575:HIE254575 HRZ254575:HSA254575 IBV254575:IBW254575 ILR254575:ILS254575 IVN254575:IVO254575 JFJ254575:JFK254575 JPF254575:JPG254575 JZB254575:JZC254575 KIX254575:KIY254575 KST254575:KSU254575 LCP254575:LCQ254575 LML254575:LMM254575 LWH254575:LWI254575 MGD254575:MGE254575 MPZ254575:MQA254575 MZV254575:MZW254575 NJR254575:NJS254575 NTN254575:NTO254575 ODJ254575:ODK254575 ONF254575:ONG254575 OXB254575:OXC254575 PGX254575:PGY254575 PQT254575:PQU254575 QAP254575:QAQ254575 QKL254575:QKM254575 QUH254575:QUI254575 RED254575:REE254575 RNZ254575:ROA254575 RXV254575:RXW254575 SHR254575:SHS254575 SRN254575:SRO254575 TBJ254575:TBK254575 TLF254575:TLG254575 TVB254575:TVC254575 UEX254575:UEY254575 UOT254575:UOU254575 UYP254575:UYQ254575 VIL254575:VIM254575 VSH254575:VSI254575 WCD254575:WCE254575 WLZ254575:WMA254575 WVV254575:WVW254575 N320111:O320111 JJ320111:JK320111 TF320111:TG320111 ADB320111:ADC320111 AMX320111:AMY320111 AWT320111:AWU320111 BGP320111:BGQ320111 BQL320111:BQM320111 CAH320111:CAI320111 CKD320111:CKE320111 CTZ320111:CUA320111 DDV320111:DDW320111 DNR320111:DNS320111 DXN320111:DXO320111 EHJ320111:EHK320111 ERF320111:ERG320111 FBB320111:FBC320111 FKX320111:FKY320111 FUT320111:FUU320111 GEP320111:GEQ320111 GOL320111:GOM320111 GYH320111:GYI320111 HID320111:HIE320111 HRZ320111:HSA320111 IBV320111:IBW320111 ILR320111:ILS320111 IVN320111:IVO320111 JFJ320111:JFK320111 JPF320111:JPG320111 JZB320111:JZC320111 KIX320111:KIY320111 KST320111:KSU320111 LCP320111:LCQ320111 LML320111:LMM320111 LWH320111:LWI320111 MGD320111:MGE320111 MPZ320111:MQA320111 MZV320111:MZW320111 NJR320111:NJS320111 NTN320111:NTO320111 ODJ320111:ODK320111 ONF320111:ONG320111 OXB320111:OXC320111 PGX320111:PGY320111 PQT320111:PQU320111 QAP320111:QAQ320111 QKL320111:QKM320111 QUH320111:QUI320111 RED320111:REE320111 RNZ320111:ROA320111 RXV320111:RXW320111 SHR320111:SHS320111 SRN320111:SRO320111 TBJ320111:TBK320111 TLF320111:TLG320111 TVB320111:TVC320111 UEX320111:UEY320111 UOT320111:UOU320111 UYP320111:UYQ320111 VIL320111:VIM320111 VSH320111:VSI320111 WCD320111:WCE320111 WLZ320111:WMA320111 WVV320111:WVW320111 N385647:O385647 JJ385647:JK385647 TF385647:TG385647 ADB385647:ADC385647 AMX385647:AMY385647 AWT385647:AWU385647 BGP385647:BGQ385647 BQL385647:BQM385647 CAH385647:CAI385647 CKD385647:CKE385647 CTZ385647:CUA385647 DDV385647:DDW385647 DNR385647:DNS385647 DXN385647:DXO385647 EHJ385647:EHK385647 ERF385647:ERG385647 FBB385647:FBC385647 FKX385647:FKY385647 FUT385647:FUU385647 GEP385647:GEQ385647 GOL385647:GOM385647 GYH385647:GYI385647 HID385647:HIE385647 HRZ385647:HSA385647 IBV385647:IBW385647 ILR385647:ILS385647 IVN385647:IVO385647 JFJ385647:JFK385647 JPF385647:JPG385647 JZB385647:JZC385647 KIX385647:KIY385647 KST385647:KSU385647 LCP385647:LCQ385647 LML385647:LMM385647 LWH385647:LWI385647 MGD385647:MGE385647 MPZ385647:MQA385647 MZV385647:MZW385647 NJR385647:NJS385647 NTN385647:NTO385647 ODJ385647:ODK385647 ONF385647:ONG385647 OXB385647:OXC385647 PGX385647:PGY385647 PQT385647:PQU385647 QAP385647:QAQ385647 QKL385647:QKM385647 QUH385647:QUI385647 RED385647:REE385647 RNZ385647:ROA385647 RXV385647:RXW385647 SHR385647:SHS385647 SRN385647:SRO385647 TBJ385647:TBK385647 TLF385647:TLG385647 TVB385647:TVC385647 UEX385647:UEY385647 UOT385647:UOU385647 UYP385647:UYQ385647 VIL385647:VIM385647 VSH385647:VSI385647 WCD385647:WCE385647 WLZ385647:WMA385647 WVV385647:WVW385647 N451183:O451183 JJ451183:JK451183 TF451183:TG451183 ADB451183:ADC451183 AMX451183:AMY451183 AWT451183:AWU451183 BGP451183:BGQ451183 BQL451183:BQM451183 CAH451183:CAI451183 CKD451183:CKE451183 CTZ451183:CUA451183 DDV451183:DDW451183 DNR451183:DNS451183 DXN451183:DXO451183 EHJ451183:EHK451183 ERF451183:ERG451183 FBB451183:FBC451183 FKX451183:FKY451183 FUT451183:FUU451183 GEP451183:GEQ451183 GOL451183:GOM451183 GYH451183:GYI451183 HID451183:HIE451183 HRZ451183:HSA451183 IBV451183:IBW451183 ILR451183:ILS451183 IVN451183:IVO451183 JFJ451183:JFK451183 JPF451183:JPG451183 JZB451183:JZC451183 KIX451183:KIY451183 KST451183:KSU451183 LCP451183:LCQ451183 LML451183:LMM451183 LWH451183:LWI451183 MGD451183:MGE451183 MPZ451183:MQA451183 MZV451183:MZW451183 NJR451183:NJS451183 NTN451183:NTO451183 ODJ451183:ODK451183 ONF451183:ONG451183 OXB451183:OXC451183 PGX451183:PGY451183 PQT451183:PQU451183 QAP451183:QAQ451183 QKL451183:QKM451183 QUH451183:QUI451183 RED451183:REE451183 RNZ451183:ROA451183 RXV451183:RXW451183 SHR451183:SHS451183 SRN451183:SRO451183 TBJ451183:TBK451183 TLF451183:TLG451183 TVB451183:TVC451183 UEX451183:UEY451183 UOT451183:UOU451183 UYP451183:UYQ451183 VIL451183:VIM451183 VSH451183:VSI451183 WCD451183:WCE451183 WLZ451183:WMA451183 WVV451183:WVW451183 N516719:O516719 JJ516719:JK516719 TF516719:TG516719 ADB516719:ADC516719 AMX516719:AMY516719 AWT516719:AWU516719 BGP516719:BGQ516719 BQL516719:BQM516719 CAH516719:CAI516719 CKD516719:CKE516719 CTZ516719:CUA516719 DDV516719:DDW516719 DNR516719:DNS516719 DXN516719:DXO516719 EHJ516719:EHK516719 ERF516719:ERG516719 FBB516719:FBC516719 FKX516719:FKY516719 FUT516719:FUU516719 GEP516719:GEQ516719 GOL516719:GOM516719 GYH516719:GYI516719 HID516719:HIE516719 HRZ516719:HSA516719 IBV516719:IBW516719 ILR516719:ILS516719 IVN516719:IVO516719 JFJ516719:JFK516719 JPF516719:JPG516719 JZB516719:JZC516719 KIX516719:KIY516719 KST516719:KSU516719 LCP516719:LCQ516719 LML516719:LMM516719 LWH516719:LWI516719 MGD516719:MGE516719 MPZ516719:MQA516719 MZV516719:MZW516719 NJR516719:NJS516719 NTN516719:NTO516719 ODJ516719:ODK516719 ONF516719:ONG516719 OXB516719:OXC516719 PGX516719:PGY516719 PQT516719:PQU516719 QAP516719:QAQ516719 QKL516719:QKM516719 QUH516719:QUI516719 RED516719:REE516719 RNZ516719:ROA516719 RXV516719:RXW516719 SHR516719:SHS516719 SRN516719:SRO516719 TBJ516719:TBK516719 TLF516719:TLG516719 TVB516719:TVC516719 UEX516719:UEY516719 UOT516719:UOU516719 UYP516719:UYQ516719 VIL516719:VIM516719 VSH516719:VSI516719 WCD516719:WCE516719 WLZ516719:WMA516719 WVV516719:WVW516719 N582255:O582255 JJ582255:JK582255 TF582255:TG582255 ADB582255:ADC582255 AMX582255:AMY582255 AWT582255:AWU582255 BGP582255:BGQ582255 BQL582255:BQM582255 CAH582255:CAI582255 CKD582255:CKE582255 CTZ582255:CUA582255 DDV582255:DDW582255 DNR582255:DNS582255 DXN582255:DXO582255 EHJ582255:EHK582255 ERF582255:ERG582255 FBB582255:FBC582255 FKX582255:FKY582255 FUT582255:FUU582255 GEP582255:GEQ582255 GOL582255:GOM582255 GYH582255:GYI582255 HID582255:HIE582255 HRZ582255:HSA582255 IBV582255:IBW582255 ILR582255:ILS582255 IVN582255:IVO582255 JFJ582255:JFK582255 JPF582255:JPG582255 JZB582255:JZC582255 KIX582255:KIY582255 KST582255:KSU582255 LCP582255:LCQ582255 LML582255:LMM582255 LWH582255:LWI582255 MGD582255:MGE582255 MPZ582255:MQA582255 MZV582255:MZW582255 NJR582255:NJS582255 NTN582255:NTO582255 ODJ582255:ODK582255 ONF582255:ONG582255 OXB582255:OXC582255 PGX582255:PGY582255 PQT582255:PQU582255 QAP582255:QAQ582255 QKL582255:QKM582255 QUH582255:QUI582255 RED582255:REE582255 RNZ582255:ROA582255 RXV582255:RXW582255 SHR582255:SHS582255 SRN582255:SRO582255 TBJ582255:TBK582255 TLF582255:TLG582255 TVB582255:TVC582255 UEX582255:UEY582255 UOT582255:UOU582255 UYP582255:UYQ582255 VIL582255:VIM582255 VSH582255:VSI582255 WCD582255:WCE582255 WLZ582255:WMA582255 WVV582255:WVW582255 N647791:O647791 JJ647791:JK647791 TF647791:TG647791 ADB647791:ADC647791 AMX647791:AMY647791 AWT647791:AWU647791 BGP647791:BGQ647791 BQL647791:BQM647791 CAH647791:CAI647791 CKD647791:CKE647791 CTZ647791:CUA647791 DDV647791:DDW647791 DNR647791:DNS647791 DXN647791:DXO647791 EHJ647791:EHK647791 ERF647791:ERG647791 FBB647791:FBC647791 FKX647791:FKY647791 FUT647791:FUU647791 GEP647791:GEQ647791 GOL647791:GOM647791 GYH647791:GYI647791 HID647791:HIE647791 HRZ647791:HSA647791 IBV647791:IBW647791 ILR647791:ILS647791 IVN647791:IVO647791 JFJ647791:JFK647791 JPF647791:JPG647791 JZB647791:JZC647791 KIX647791:KIY647791 KST647791:KSU647791 LCP647791:LCQ647791 LML647791:LMM647791 LWH647791:LWI647791 MGD647791:MGE647791 MPZ647791:MQA647791 MZV647791:MZW647791 NJR647791:NJS647791 NTN647791:NTO647791 ODJ647791:ODK647791 ONF647791:ONG647791 OXB647791:OXC647791 PGX647791:PGY647791 PQT647791:PQU647791 QAP647791:QAQ647791 QKL647791:QKM647791 QUH647791:QUI647791 RED647791:REE647791 RNZ647791:ROA647791 RXV647791:RXW647791 SHR647791:SHS647791 SRN647791:SRO647791 TBJ647791:TBK647791 TLF647791:TLG647791 TVB647791:TVC647791 UEX647791:UEY647791 UOT647791:UOU647791 UYP647791:UYQ647791 VIL647791:VIM647791 VSH647791:VSI647791 WCD647791:WCE647791 WLZ647791:WMA647791 WVV647791:WVW647791 N713327:O713327 JJ713327:JK713327 TF713327:TG713327 ADB713327:ADC713327 AMX713327:AMY713327 AWT713327:AWU713327 BGP713327:BGQ713327 BQL713327:BQM713327 CAH713327:CAI713327 CKD713327:CKE713327 CTZ713327:CUA713327 DDV713327:DDW713327 DNR713327:DNS713327 DXN713327:DXO713327 EHJ713327:EHK713327 ERF713327:ERG713327 FBB713327:FBC713327 FKX713327:FKY713327 FUT713327:FUU713327 GEP713327:GEQ713327 GOL713327:GOM713327 GYH713327:GYI713327 HID713327:HIE713327 HRZ713327:HSA713327 IBV713327:IBW713327 ILR713327:ILS713327 IVN713327:IVO713327 JFJ713327:JFK713327 JPF713327:JPG713327 JZB713327:JZC713327 KIX713327:KIY713327 KST713327:KSU713327 LCP713327:LCQ713327 LML713327:LMM713327 LWH713327:LWI713327 MGD713327:MGE713327 MPZ713327:MQA713327 MZV713327:MZW713327 NJR713327:NJS713327 NTN713327:NTO713327 ODJ713327:ODK713327 ONF713327:ONG713327 OXB713327:OXC713327 PGX713327:PGY713327 PQT713327:PQU713327 QAP713327:QAQ713327 QKL713327:QKM713327 QUH713327:QUI713327 RED713327:REE713327 RNZ713327:ROA713327 RXV713327:RXW713327 SHR713327:SHS713327 SRN713327:SRO713327 TBJ713327:TBK713327 TLF713327:TLG713327 TVB713327:TVC713327 UEX713327:UEY713327 UOT713327:UOU713327 UYP713327:UYQ713327 VIL713327:VIM713327 VSH713327:VSI713327 WCD713327:WCE713327 WLZ713327:WMA713327 WVV713327:WVW713327 N778863:O778863 JJ778863:JK778863 TF778863:TG778863 ADB778863:ADC778863 AMX778863:AMY778863 AWT778863:AWU778863 BGP778863:BGQ778863 BQL778863:BQM778863 CAH778863:CAI778863 CKD778863:CKE778863 CTZ778863:CUA778863 DDV778863:DDW778863 DNR778863:DNS778863 DXN778863:DXO778863 EHJ778863:EHK778863 ERF778863:ERG778863 FBB778863:FBC778863 FKX778863:FKY778863 FUT778863:FUU778863 GEP778863:GEQ778863 GOL778863:GOM778863 GYH778863:GYI778863 HID778863:HIE778863 HRZ778863:HSA778863 IBV778863:IBW778863 ILR778863:ILS778863 IVN778863:IVO778863 JFJ778863:JFK778863 JPF778863:JPG778863 JZB778863:JZC778863 KIX778863:KIY778863 KST778863:KSU778863 LCP778863:LCQ778863 LML778863:LMM778863 LWH778863:LWI778863 MGD778863:MGE778863 MPZ778863:MQA778863 MZV778863:MZW778863 NJR778863:NJS778863 NTN778863:NTO778863 ODJ778863:ODK778863 ONF778863:ONG778863 OXB778863:OXC778863 PGX778863:PGY778863 PQT778863:PQU778863 QAP778863:QAQ778863 QKL778863:QKM778863 QUH778863:QUI778863 RED778863:REE778863 RNZ778863:ROA778863 RXV778863:RXW778863 SHR778863:SHS778863 SRN778863:SRO778863 TBJ778863:TBK778863 TLF778863:TLG778863 TVB778863:TVC778863 UEX778863:UEY778863 UOT778863:UOU778863 UYP778863:UYQ778863 VIL778863:VIM778863 VSH778863:VSI778863 WCD778863:WCE778863 WLZ778863:WMA778863 WVV778863:WVW778863 N844399:O844399 JJ844399:JK844399 TF844399:TG844399 ADB844399:ADC844399 AMX844399:AMY844399 AWT844399:AWU844399 BGP844399:BGQ844399 BQL844399:BQM844399 CAH844399:CAI844399 CKD844399:CKE844399 CTZ844399:CUA844399 DDV844399:DDW844399 DNR844399:DNS844399 DXN844399:DXO844399 EHJ844399:EHK844399 ERF844399:ERG844399 FBB844399:FBC844399 FKX844399:FKY844399 FUT844399:FUU844399 GEP844399:GEQ844399 GOL844399:GOM844399 GYH844399:GYI844399 HID844399:HIE844399 HRZ844399:HSA844399 IBV844399:IBW844399 ILR844399:ILS844399 IVN844399:IVO844399 JFJ844399:JFK844399 JPF844399:JPG844399 JZB844399:JZC844399 KIX844399:KIY844399 KST844399:KSU844399 LCP844399:LCQ844399 LML844399:LMM844399 LWH844399:LWI844399 MGD844399:MGE844399 MPZ844399:MQA844399 MZV844399:MZW844399 NJR844399:NJS844399 NTN844399:NTO844399 ODJ844399:ODK844399 ONF844399:ONG844399 OXB844399:OXC844399 PGX844399:PGY844399 PQT844399:PQU844399 QAP844399:QAQ844399 QKL844399:QKM844399 QUH844399:QUI844399 RED844399:REE844399 RNZ844399:ROA844399 RXV844399:RXW844399 SHR844399:SHS844399 SRN844399:SRO844399 TBJ844399:TBK844399 TLF844399:TLG844399 TVB844399:TVC844399 UEX844399:UEY844399 UOT844399:UOU844399 UYP844399:UYQ844399 VIL844399:VIM844399 VSH844399:VSI844399 WCD844399:WCE844399 WLZ844399:WMA844399 WVV844399:WVW844399 N909935:O909935 JJ909935:JK909935 TF909935:TG909935 ADB909935:ADC909935 AMX909935:AMY909935 AWT909935:AWU909935 BGP909935:BGQ909935 BQL909935:BQM909935 CAH909935:CAI909935 CKD909935:CKE909935 CTZ909935:CUA909935 DDV909935:DDW909935 DNR909935:DNS909935 DXN909935:DXO909935 EHJ909935:EHK909935 ERF909935:ERG909935 FBB909935:FBC909935 FKX909935:FKY909935 FUT909935:FUU909935 GEP909935:GEQ909935 GOL909935:GOM909935 GYH909935:GYI909935 HID909935:HIE909935 HRZ909935:HSA909935 IBV909935:IBW909935 ILR909935:ILS909935 IVN909935:IVO909935 JFJ909935:JFK909935 JPF909935:JPG909935 JZB909935:JZC909935 KIX909935:KIY909935 KST909935:KSU909935 LCP909935:LCQ909935 LML909935:LMM909935 LWH909935:LWI909935 MGD909935:MGE909935 MPZ909935:MQA909935 MZV909935:MZW909935 NJR909935:NJS909935 NTN909935:NTO909935 ODJ909935:ODK909935 ONF909935:ONG909935 OXB909935:OXC909935 PGX909935:PGY909935 PQT909935:PQU909935 QAP909935:QAQ909935 QKL909935:QKM909935 QUH909935:QUI909935 RED909935:REE909935 RNZ909935:ROA909935 RXV909935:RXW909935 SHR909935:SHS909935 SRN909935:SRO909935 TBJ909935:TBK909935 TLF909935:TLG909935 TVB909935:TVC909935 UEX909935:UEY909935 UOT909935:UOU909935 UYP909935:UYQ909935 VIL909935:VIM909935 VSH909935:VSI909935 WCD909935:WCE909935 WLZ909935:WMA909935 WVV909935:WVW909935 N975471:O975471 JJ975471:JK975471 TF975471:TG975471 ADB975471:ADC975471 AMX975471:AMY975471 AWT975471:AWU975471 BGP975471:BGQ975471 BQL975471:BQM975471 CAH975471:CAI975471 CKD975471:CKE975471 CTZ975471:CUA975471 DDV975471:DDW975471 DNR975471:DNS975471 DXN975471:DXO975471 EHJ975471:EHK975471 ERF975471:ERG975471 FBB975471:FBC975471 FKX975471:FKY975471 FUT975471:FUU975471 GEP975471:GEQ975471 GOL975471:GOM975471 GYH975471:GYI975471 HID975471:HIE975471 HRZ975471:HSA975471 IBV975471:IBW975471 ILR975471:ILS975471 IVN975471:IVO975471 JFJ975471:JFK975471 JPF975471:JPG975471 JZB975471:JZC975471 KIX975471:KIY975471 KST975471:KSU975471 LCP975471:LCQ975471 LML975471:LMM975471 LWH975471:LWI975471 MGD975471:MGE975471 MPZ975471:MQA975471 MZV975471:MZW975471 NJR975471:NJS975471 NTN975471:NTO975471 ODJ975471:ODK975471 ONF975471:ONG975471 OXB975471:OXC975471 PGX975471:PGY975471 PQT975471:PQU975471 QAP975471:QAQ975471 QKL975471:QKM975471 QUH975471:QUI975471 RED975471:REE975471 RNZ975471:ROA975471 RXV975471:RXW975471 SHR975471:SHS975471 SRN975471:SRO975471 TBJ975471:TBK975471 TLF975471:TLG975471 TVB975471:TVC975471 UEX975471:UEY975471 UOT975471:UOU975471 UYP975471:UYQ975471 VIL975471:VIM975471 VSH975471:VSI975471 WCD975471:WCE975471 WLZ975471:WMA975471 WVV975471:WVW975471 N1041007:O1041007 JJ1041007:JK1041007 TF1041007:TG1041007 ADB1041007:ADC1041007 AMX1041007:AMY1041007 AWT1041007:AWU1041007 BGP1041007:BGQ1041007 BQL1041007:BQM1041007 CAH1041007:CAI1041007 CKD1041007:CKE1041007 CTZ1041007:CUA1041007 DDV1041007:DDW1041007 DNR1041007:DNS1041007 DXN1041007:DXO1041007 EHJ1041007:EHK1041007 ERF1041007:ERG1041007 FBB1041007:FBC1041007 FKX1041007:FKY1041007 FUT1041007:FUU1041007 GEP1041007:GEQ1041007 GOL1041007:GOM1041007 GYH1041007:GYI1041007 HID1041007:HIE1041007 HRZ1041007:HSA1041007 IBV1041007:IBW1041007 ILR1041007:ILS1041007 IVN1041007:IVO1041007 JFJ1041007:JFK1041007 JPF1041007:JPG1041007 JZB1041007:JZC1041007 KIX1041007:KIY1041007 KST1041007:KSU1041007 LCP1041007:LCQ1041007 LML1041007:LMM1041007 LWH1041007:LWI1041007 MGD1041007:MGE1041007 MPZ1041007:MQA1041007 MZV1041007:MZW1041007 NJR1041007:NJS1041007 NTN1041007:NTO1041007 ODJ1041007:ODK1041007 ONF1041007:ONG1041007 OXB1041007:OXC1041007 PGX1041007:PGY1041007 PQT1041007:PQU1041007 QAP1041007:QAQ1041007 QKL1041007:QKM1041007 QUH1041007:QUI1041007 RED1041007:REE1041007 RNZ1041007:ROA1041007 RXV1041007:RXW1041007 SHR1041007:SHS1041007 SRN1041007:SRO1041007 TBJ1041007:TBK1041007 TLF1041007:TLG1041007 TVB1041007:TVC1041007 UEX1041007:UEY1041007 UOT1041007:UOU1041007 UYP1041007:UYQ1041007 VIL1041007:VIM1041007 VSH1041007:VSI1041007 WCD1041007:WCE1041007 WLZ1041007:WMA1041007 WVV1041007:WVW1041007 HF57967:HG57967 RB57967:RC57967 AAX57967:AAY57967 AKT57967:AKU57967 AUP57967:AUQ57967 BEL57967:BEM57967 BOH57967:BOI57967 BYD57967:BYE57967 CHZ57967:CIA57967 CRV57967:CRW57967 DBR57967:DBS57967 DLN57967:DLO57967 DVJ57967:DVK57967 EFF57967:EFG57967 EPB57967:EPC57967 EYX57967:EYY57967 FIT57967:FIU57967 FSP57967:FSQ57967 GCL57967:GCM57967 GMH57967:GMI57967 GWD57967:GWE57967 HFZ57967:HGA57967 HPV57967:HPW57967 HZR57967:HZS57967 IJN57967:IJO57967 ITJ57967:ITK57967 JDF57967:JDG57967 JNB57967:JNC57967 JWX57967:JWY57967 KGT57967:KGU57967 KQP57967:KQQ57967 LAL57967:LAM57967 LKH57967:LKI57967 LUD57967:LUE57967 MDZ57967:MEA57967 MNV57967:MNW57967 MXR57967:MXS57967 NHN57967:NHO57967 NRJ57967:NRK57967 OBF57967:OBG57967 OLB57967:OLC57967 OUX57967:OUY57967 PET57967:PEU57967 POP57967:POQ57967 PYL57967:PYM57967 QIH57967:QII57967 QSD57967:QSE57967 RBZ57967:RCA57967 RLV57967:RLW57967 RVR57967:RVS57967 SFN57967:SFO57967 SPJ57967:SPK57967 SZF57967:SZG57967 TJB57967:TJC57967 TSX57967:TSY57967 UCT57967:UCU57967 UMP57967:UMQ57967 UWL57967:UWM57967 VGH57967:VGI57967 VQD57967:VQE57967 VZZ57967:WAA57967 WJV57967:WJW57967 WTR57967:WTS57967 XDN57967:XDO57967 HF123503:HG123503 RB123503:RC123503 AAX123503:AAY123503 AKT123503:AKU123503 AUP123503:AUQ123503 BEL123503:BEM123503 BOH123503:BOI123503 BYD123503:BYE123503 CHZ123503:CIA123503 CRV123503:CRW123503 DBR123503:DBS123503 DLN123503:DLO123503 DVJ123503:DVK123503 EFF123503:EFG123503 EPB123503:EPC123503 EYX123503:EYY123503 FIT123503:FIU123503 FSP123503:FSQ123503 GCL123503:GCM123503 GMH123503:GMI123503 GWD123503:GWE123503 HFZ123503:HGA123503 HPV123503:HPW123503 HZR123503:HZS123503 IJN123503:IJO123503 ITJ123503:ITK123503 JDF123503:JDG123503 JNB123503:JNC123503 JWX123503:JWY123503 KGT123503:KGU123503 KQP123503:KQQ123503 LAL123503:LAM123503 LKH123503:LKI123503 LUD123503:LUE123503 MDZ123503:MEA123503 MNV123503:MNW123503 MXR123503:MXS123503 NHN123503:NHO123503 NRJ123503:NRK123503 OBF123503:OBG123503 OLB123503:OLC123503 OUX123503:OUY123503 PET123503:PEU123503 POP123503:POQ123503 PYL123503:PYM123503 QIH123503:QII123503 QSD123503:QSE123503 RBZ123503:RCA123503 RLV123503:RLW123503 RVR123503:RVS123503 SFN123503:SFO123503 SPJ123503:SPK123503 SZF123503:SZG123503 TJB123503:TJC123503 TSX123503:TSY123503 UCT123503:UCU123503 UMP123503:UMQ123503 UWL123503:UWM123503 VGH123503:VGI123503 VQD123503:VQE123503 VZZ123503:WAA123503 WJV123503:WJW123503 WTR123503:WTS123503 XDN123503:XDO123503 HF189039:HG189039 RB189039:RC189039 AAX189039:AAY189039 AKT189039:AKU189039 AUP189039:AUQ189039 BEL189039:BEM189039 BOH189039:BOI189039 BYD189039:BYE189039 CHZ189039:CIA189039 CRV189039:CRW189039 DBR189039:DBS189039 DLN189039:DLO189039 DVJ189039:DVK189039 EFF189039:EFG189039 EPB189039:EPC189039 EYX189039:EYY189039 FIT189039:FIU189039 FSP189039:FSQ189039 GCL189039:GCM189039 GMH189039:GMI189039 GWD189039:GWE189039 HFZ189039:HGA189039 HPV189039:HPW189039 HZR189039:HZS189039 IJN189039:IJO189039 ITJ189039:ITK189039 JDF189039:JDG189039 JNB189039:JNC189039 JWX189039:JWY189039 KGT189039:KGU189039 KQP189039:KQQ189039 LAL189039:LAM189039 LKH189039:LKI189039 LUD189039:LUE189039 MDZ189039:MEA189039 MNV189039:MNW189039 MXR189039:MXS189039 NHN189039:NHO189039 NRJ189039:NRK189039 OBF189039:OBG189039 OLB189039:OLC189039 OUX189039:OUY189039 PET189039:PEU189039 POP189039:POQ189039 PYL189039:PYM189039 QIH189039:QII189039 QSD189039:QSE189039 RBZ189039:RCA189039 RLV189039:RLW189039 RVR189039:RVS189039 SFN189039:SFO189039 SPJ189039:SPK189039 SZF189039:SZG189039 TJB189039:TJC189039 TSX189039:TSY189039 UCT189039:UCU189039 UMP189039:UMQ189039 UWL189039:UWM189039 VGH189039:VGI189039 VQD189039:VQE189039 VZZ189039:WAA189039 WJV189039:WJW189039 WTR189039:WTS189039 XDN189039:XDO189039 HF254575:HG254575 RB254575:RC254575 AAX254575:AAY254575 AKT254575:AKU254575 AUP254575:AUQ254575 BEL254575:BEM254575 BOH254575:BOI254575 BYD254575:BYE254575 CHZ254575:CIA254575 CRV254575:CRW254575 DBR254575:DBS254575 DLN254575:DLO254575 DVJ254575:DVK254575 EFF254575:EFG254575 EPB254575:EPC254575 EYX254575:EYY254575 FIT254575:FIU254575 FSP254575:FSQ254575 GCL254575:GCM254575 GMH254575:GMI254575 GWD254575:GWE254575 HFZ254575:HGA254575 HPV254575:HPW254575 HZR254575:HZS254575 IJN254575:IJO254575 ITJ254575:ITK254575 JDF254575:JDG254575 JNB254575:JNC254575 JWX254575:JWY254575 KGT254575:KGU254575 KQP254575:KQQ254575 LAL254575:LAM254575 LKH254575:LKI254575 LUD254575:LUE254575 MDZ254575:MEA254575 MNV254575:MNW254575 MXR254575:MXS254575 NHN254575:NHO254575 NRJ254575:NRK254575 OBF254575:OBG254575 OLB254575:OLC254575 OUX254575:OUY254575 PET254575:PEU254575 POP254575:POQ254575 PYL254575:PYM254575 QIH254575:QII254575 QSD254575:QSE254575 RBZ254575:RCA254575 RLV254575:RLW254575 RVR254575:RVS254575 SFN254575:SFO254575 SPJ254575:SPK254575 SZF254575:SZG254575 TJB254575:TJC254575 TSX254575:TSY254575 UCT254575:UCU254575 UMP254575:UMQ254575 UWL254575:UWM254575 VGH254575:VGI254575 VQD254575:VQE254575 VZZ254575:WAA254575 WJV254575:WJW254575 WTR254575:WTS254575 XDN254575:XDO254575 HF320111:HG320111 RB320111:RC320111 AAX320111:AAY320111 AKT320111:AKU320111 AUP320111:AUQ320111 BEL320111:BEM320111 BOH320111:BOI320111 BYD320111:BYE320111 CHZ320111:CIA320111 CRV320111:CRW320111 DBR320111:DBS320111 DLN320111:DLO320111 DVJ320111:DVK320111 EFF320111:EFG320111 EPB320111:EPC320111 EYX320111:EYY320111 FIT320111:FIU320111 FSP320111:FSQ320111 GCL320111:GCM320111 GMH320111:GMI320111 GWD320111:GWE320111 HFZ320111:HGA320111 HPV320111:HPW320111 HZR320111:HZS320111 IJN320111:IJO320111 ITJ320111:ITK320111 JDF320111:JDG320111 JNB320111:JNC320111 JWX320111:JWY320111 KGT320111:KGU320111 KQP320111:KQQ320111 LAL320111:LAM320111 LKH320111:LKI320111 LUD320111:LUE320111 MDZ320111:MEA320111 MNV320111:MNW320111 MXR320111:MXS320111 NHN320111:NHO320111 NRJ320111:NRK320111 OBF320111:OBG320111 OLB320111:OLC320111 OUX320111:OUY320111 PET320111:PEU320111 POP320111:POQ320111 PYL320111:PYM320111 QIH320111:QII320111 QSD320111:QSE320111 RBZ320111:RCA320111 RLV320111:RLW320111 RVR320111:RVS320111 SFN320111:SFO320111 SPJ320111:SPK320111 SZF320111:SZG320111 TJB320111:TJC320111 TSX320111:TSY320111 UCT320111:UCU320111 UMP320111:UMQ320111 UWL320111:UWM320111 VGH320111:VGI320111 VQD320111:VQE320111 VZZ320111:WAA320111 WJV320111:WJW320111 WTR320111:WTS320111 XDN320111:XDO320111 HF385647:HG385647 RB385647:RC385647 AAX385647:AAY385647 AKT385647:AKU385647 AUP385647:AUQ385647 BEL385647:BEM385647 BOH385647:BOI385647 BYD385647:BYE385647 CHZ385647:CIA385647 CRV385647:CRW385647 DBR385647:DBS385647 DLN385647:DLO385647 DVJ385647:DVK385647 EFF385647:EFG385647 EPB385647:EPC385647 EYX385647:EYY385647 FIT385647:FIU385647 FSP385647:FSQ385647 GCL385647:GCM385647 GMH385647:GMI385647 GWD385647:GWE385647 HFZ385647:HGA385647 HPV385647:HPW385647 HZR385647:HZS385647 IJN385647:IJO385647 ITJ385647:ITK385647 JDF385647:JDG385647 JNB385647:JNC385647 JWX385647:JWY385647 KGT385647:KGU385647 KQP385647:KQQ385647 LAL385647:LAM385647 LKH385647:LKI385647 LUD385647:LUE385647 MDZ385647:MEA385647 MNV385647:MNW385647 MXR385647:MXS385647 NHN385647:NHO385647 NRJ385647:NRK385647 OBF385647:OBG385647 OLB385647:OLC385647 OUX385647:OUY385647 PET385647:PEU385647 POP385647:POQ385647 PYL385647:PYM385647 QIH385647:QII385647 QSD385647:QSE385647 RBZ385647:RCA385647 RLV385647:RLW385647 RVR385647:RVS385647 SFN385647:SFO385647 SPJ385647:SPK385647 SZF385647:SZG385647 TJB385647:TJC385647 TSX385647:TSY385647 UCT385647:UCU385647 UMP385647:UMQ385647 UWL385647:UWM385647 VGH385647:VGI385647 VQD385647:VQE385647 VZZ385647:WAA385647 WJV385647:WJW385647 WTR385647:WTS385647 XDN385647:XDO385647 HF451183:HG451183 RB451183:RC451183 AAX451183:AAY451183 AKT451183:AKU451183 AUP451183:AUQ451183 BEL451183:BEM451183 BOH451183:BOI451183 BYD451183:BYE451183 CHZ451183:CIA451183 CRV451183:CRW451183 DBR451183:DBS451183 DLN451183:DLO451183 DVJ451183:DVK451183 EFF451183:EFG451183 EPB451183:EPC451183 EYX451183:EYY451183 FIT451183:FIU451183 FSP451183:FSQ451183 GCL451183:GCM451183 GMH451183:GMI451183 GWD451183:GWE451183 HFZ451183:HGA451183 HPV451183:HPW451183 HZR451183:HZS451183 IJN451183:IJO451183 ITJ451183:ITK451183 JDF451183:JDG451183 JNB451183:JNC451183 JWX451183:JWY451183 KGT451183:KGU451183 KQP451183:KQQ451183 LAL451183:LAM451183 LKH451183:LKI451183 LUD451183:LUE451183 MDZ451183:MEA451183 MNV451183:MNW451183 MXR451183:MXS451183 NHN451183:NHO451183 NRJ451183:NRK451183 OBF451183:OBG451183 OLB451183:OLC451183 OUX451183:OUY451183 PET451183:PEU451183 POP451183:POQ451183 PYL451183:PYM451183 QIH451183:QII451183 QSD451183:QSE451183 RBZ451183:RCA451183 RLV451183:RLW451183 RVR451183:RVS451183 SFN451183:SFO451183 SPJ451183:SPK451183 SZF451183:SZG451183 TJB451183:TJC451183 TSX451183:TSY451183 UCT451183:UCU451183 UMP451183:UMQ451183 UWL451183:UWM451183 VGH451183:VGI451183 VQD451183:VQE451183 VZZ451183:WAA451183 WJV451183:WJW451183 WTR451183:WTS451183 XDN451183:XDO451183 HF516719:HG516719 RB516719:RC516719 AAX516719:AAY516719 AKT516719:AKU516719 AUP516719:AUQ516719 BEL516719:BEM516719 BOH516719:BOI516719 BYD516719:BYE516719 CHZ516719:CIA516719 CRV516719:CRW516719 DBR516719:DBS516719 DLN516719:DLO516719 DVJ516719:DVK516719 EFF516719:EFG516719 EPB516719:EPC516719 EYX516719:EYY516719 FIT516719:FIU516719 FSP516719:FSQ516719 GCL516719:GCM516719 GMH516719:GMI516719 GWD516719:GWE516719 HFZ516719:HGA516719 HPV516719:HPW516719 HZR516719:HZS516719 IJN516719:IJO516719 ITJ516719:ITK516719 JDF516719:JDG516719 JNB516719:JNC516719 JWX516719:JWY516719 KGT516719:KGU516719 KQP516719:KQQ516719 LAL516719:LAM516719 LKH516719:LKI516719 LUD516719:LUE516719 MDZ516719:MEA516719 MNV516719:MNW516719 MXR516719:MXS516719 NHN516719:NHO516719 NRJ516719:NRK516719 OBF516719:OBG516719 OLB516719:OLC516719 OUX516719:OUY516719 PET516719:PEU516719 POP516719:POQ516719 PYL516719:PYM516719 QIH516719:QII516719 QSD516719:QSE516719 RBZ516719:RCA516719 RLV516719:RLW516719 RVR516719:RVS516719 SFN516719:SFO516719 SPJ516719:SPK516719 SZF516719:SZG516719 TJB516719:TJC516719 TSX516719:TSY516719 UCT516719:UCU516719 UMP516719:UMQ516719 UWL516719:UWM516719 VGH516719:VGI516719 VQD516719:VQE516719 VZZ516719:WAA516719 WJV516719:WJW516719 WTR516719:WTS516719 XDN516719:XDO516719 HF582255:HG582255 RB582255:RC582255 AAX582255:AAY582255 AKT582255:AKU582255 AUP582255:AUQ582255 BEL582255:BEM582255 BOH582255:BOI582255 BYD582255:BYE582255 CHZ582255:CIA582255 CRV582255:CRW582255 DBR582255:DBS582255 DLN582255:DLO582255 DVJ582255:DVK582255 EFF582255:EFG582255 EPB582255:EPC582255 EYX582255:EYY582255 FIT582255:FIU582255 FSP582255:FSQ582255 GCL582255:GCM582255 GMH582255:GMI582255 GWD582255:GWE582255 HFZ582255:HGA582255 HPV582255:HPW582255 HZR582255:HZS582255 IJN582255:IJO582255 ITJ582255:ITK582255 JDF582255:JDG582255 JNB582255:JNC582255 JWX582255:JWY582255 KGT582255:KGU582255 KQP582255:KQQ582255 LAL582255:LAM582255 LKH582255:LKI582255 LUD582255:LUE582255 MDZ582255:MEA582255 MNV582255:MNW582255 MXR582255:MXS582255 NHN582255:NHO582255 NRJ582255:NRK582255 OBF582255:OBG582255 OLB582255:OLC582255 OUX582255:OUY582255 PET582255:PEU582255 POP582255:POQ582255 PYL582255:PYM582255 QIH582255:QII582255 QSD582255:QSE582255 RBZ582255:RCA582255 RLV582255:RLW582255 RVR582255:RVS582255 SFN582255:SFO582255 SPJ582255:SPK582255 SZF582255:SZG582255 TJB582255:TJC582255 TSX582255:TSY582255 UCT582255:UCU582255 UMP582255:UMQ582255 UWL582255:UWM582255 VGH582255:VGI582255 VQD582255:VQE582255 VZZ582255:WAA582255 WJV582255:WJW582255 WTR582255:WTS582255 XDN582255:XDO582255 HF647791:HG647791 RB647791:RC647791 AAX647791:AAY647791 AKT647791:AKU647791 AUP647791:AUQ647791 BEL647791:BEM647791 BOH647791:BOI647791 BYD647791:BYE647791 CHZ647791:CIA647791 CRV647791:CRW647791 DBR647791:DBS647791 DLN647791:DLO647791 DVJ647791:DVK647791 EFF647791:EFG647791 EPB647791:EPC647791 EYX647791:EYY647791 FIT647791:FIU647791 FSP647791:FSQ647791 GCL647791:GCM647791 GMH647791:GMI647791 GWD647791:GWE647791 HFZ647791:HGA647791 HPV647791:HPW647791 HZR647791:HZS647791 IJN647791:IJO647791 ITJ647791:ITK647791 JDF647791:JDG647791 JNB647791:JNC647791 JWX647791:JWY647791 KGT647791:KGU647791 KQP647791:KQQ647791 LAL647791:LAM647791 LKH647791:LKI647791 LUD647791:LUE647791 MDZ647791:MEA647791 MNV647791:MNW647791 MXR647791:MXS647791 NHN647791:NHO647791 NRJ647791:NRK647791 OBF647791:OBG647791 OLB647791:OLC647791 OUX647791:OUY647791 PET647791:PEU647791 POP647791:POQ647791 PYL647791:PYM647791 QIH647791:QII647791 QSD647791:QSE647791 RBZ647791:RCA647791 RLV647791:RLW647791 RVR647791:RVS647791 SFN647791:SFO647791 SPJ647791:SPK647791 SZF647791:SZG647791 TJB647791:TJC647791 TSX647791:TSY647791 UCT647791:UCU647791 UMP647791:UMQ647791 UWL647791:UWM647791 VGH647791:VGI647791 VQD647791:VQE647791 VZZ647791:WAA647791 WJV647791:WJW647791 WTR647791:WTS647791 XDN647791:XDO647791 HF713327:HG713327 RB713327:RC713327 AAX713327:AAY713327 AKT713327:AKU713327 AUP713327:AUQ713327 BEL713327:BEM713327 BOH713327:BOI713327 BYD713327:BYE713327 CHZ713327:CIA713327 CRV713327:CRW713327 DBR713327:DBS713327 DLN713327:DLO713327 DVJ713327:DVK713327 EFF713327:EFG713327 EPB713327:EPC713327 EYX713327:EYY713327 FIT713327:FIU713327 FSP713327:FSQ713327 GCL713327:GCM713327 GMH713327:GMI713327 GWD713327:GWE713327 HFZ713327:HGA713327 HPV713327:HPW713327 HZR713327:HZS713327 IJN713327:IJO713327 ITJ713327:ITK713327 JDF713327:JDG713327 JNB713327:JNC713327 JWX713327:JWY713327 KGT713327:KGU713327 KQP713327:KQQ713327 LAL713327:LAM713327 LKH713327:LKI713327 LUD713327:LUE713327 MDZ713327:MEA713327 MNV713327:MNW713327 MXR713327:MXS713327 NHN713327:NHO713327 NRJ713327:NRK713327 OBF713327:OBG713327 OLB713327:OLC713327 OUX713327:OUY713327 PET713327:PEU713327 POP713327:POQ713327 PYL713327:PYM713327 QIH713327:QII713327 QSD713327:QSE713327 RBZ713327:RCA713327 RLV713327:RLW713327 RVR713327:RVS713327 SFN713327:SFO713327 SPJ713327:SPK713327 SZF713327:SZG713327 TJB713327:TJC713327 TSX713327:TSY713327 UCT713327:UCU713327 UMP713327:UMQ713327 UWL713327:UWM713327 VGH713327:VGI713327 VQD713327:VQE713327 VZZ713327:WAA713327 WJV713327:WJW713327 WTR713327:WTS713327 XDN713327:XDO713327 HF778863:HG778863 RB778863:RC778863 AAX778863:AAY778863 AKT778863:AKU778863 AUP778863:AUQ778863 BEL778863:BEM778863 BOH778863:BOI778863 BYD778863:BYE778863 CHZ778863:CIA778863 CRV778863:CRW778863 DBR778863:DBS778863 DLN778863:DLO778863 DVJ778863:DVK778863 EFF778863:EFG778863 EPB778863:EPC778863 EYX778863:EYY778863 FIT778863:FIU778863 FSP778863:FSQ778863 GCL778863:GCM778863 GMH778863:GMI778863 GWD778863:GWE778863 HFZ778863:HGA778863 HPV778863:HPW778863 HZR778863:HZS778863 IJN778863:IJO778863 ITJ778863:ITK778863 JDF778863:JDG778863 JNB778863:JNC778863 JWX778863:JWY778863 KGT778863:KGU778863 KQP778863:KQQ778863 LAL778863:LAM778863 LKH778863:LKI778863 LUD778863:LUE778863 MDZ778863:MEA778863 MNV778863:MNW778863 MXR778863:MXS778863 NHN778863:NHO778863 NRJ778863:NRK778863 OBF778863:OBG778863 OLB778863:OLC778863 OUX778863:OUY778863 PET778863:PEU778863 POP778863:POQ778863 PYL778863:PYM778863 QIH778863:QII778863 QSD778863:QSE778863 RBZ778863:RCA778863 RLV778863:RLW778863 RVR778863:RVS778863 SFN778863:SFO778863 SPJ778863:SPK778863 SZF778863:SZG778863 TJB778863:TJC778863 TSX778863:TSY778863 UCT778863:UCU778863 UMP778863:UMQ778863 UWL778863:UWM778863 VGH778863:VGI778863 VQD778863:VQE778863 VZZ778863:WAA778863 WJV778863:WJW778863 WTR778863:WTS778863 XDN778863:XDO778863 HF844399:HG844399 RB844399:RC844399 AAX844399:AAY844399 AKT844399:AKU844399 AUP844399:AUQ844399 BEL844399:BEM844399 BOH844399:BOI844399 BYD844399:BYE844399 CHZ844399:CIA844399 CRV844399:CRW844399 DBR844399:DBS844399 DLN844399:DLO844399 DVJ844399:DVK844399 EFF844399:EFG844399 EPB844399:EPC844399 EYX844399:EYY844399 FIT844399:FIU844399 FSP844399:FSQ844399 GCL844399:GCM844399 GMH844399:GMI844399 GWD844399:GWE844399 HFZ844399:HGA844399 HPV844399:HPW844399 HZR844399:HZS844399 IJN844399:IJO844399 ITJ844399:ITK844399 JDF844399:JDG844399 JNB844399:JNC844399 JWX844399:JWY844399 KGT844399:KGU844399 KQP844399:KQQ844399 LAL844399:LAM844399 LKH844399:LKI844399 LUD844399:LUE844399 MDZ844399:MEA844399 MNV844399:MNW844399 MXR844399:MXS844399 NHN844399:NHO844399 NRJ844399:NRK844399 OBF844399:OBG844399 OLB844399:OLC844399 OUX844399:OUY844399 PET844399:PEU844399 POP844399:POQ844399 PYL844399:PYM844399 QIH844399:QII844399 QSD844399:QSE844399 RBZ844399:RCA844399 RLV844399:RLW844399 RVR844399:RVS844399 SFN844399:SFO844399 SPJ844399:SPK844399 SZF844399:SZG844399 TJB844399:TJC844399 TSX844399:TSY844399 UCT844399:UCU844399 UMP844399:UMQ844399 UWL844399:UWM844399 VGH844399:VGI844399 VQD844399:VQE844399 VZZ844399:WAA844399 WJV844399:WJW844399 WTR844399:WTS844399 XDN844399:XDO844399 HF909935:HG909935 RB909935:RC909935 AAX909935:AAY909935 AKT909935:AKU909935 AUP909935:AUQ909935 BEL909935:BEM909935 BOH909935:BOI909935 BYD909935:BYE909935 CHZ909935:CIA909935 CRV909935:CRW909935 DBR909935:DBS909935 DLN909935:DLO909935 DVJ909935:DVK909935 EFF909935:EFG909935 EPB909935:EPC909935 EYX909935:EYY909935 FIT909935:FIU909935 FSP909935:FSQ909935 GCL909935:GCM909935 GMH909935:GMI909935 GWD909935:GWE909935 HFZ909935:HGA909935 HPV909935:HPW909935 HZR909935:HZS909935 IJN909935:IJO909935 ITJ909935:ITK909935 JDF909935:JDG909935 JNB909935:JNC909935 JWX909935:JWY909935 KGT909935:KGU909935 KQP909935:KQQ909935 LAL909935:LAM909935 LKH909935:LKI909935 LUD909935:LUE909935 MDZ909935:MEA909935 MNV909935:MNW909935 MXR909935:MXS909935 NHN909935:NHO909935 NRJ909935:NRK909935 OBF909935:OBG909935 OLB909935:OLC909935 OUX909935:OUY909935 PET909935:PEU909935 POP909935:POQ909935 PYL909935:PYM909935 QIH909935:QII909935 QSD909935:QSE909935 RBZ909935:RCA909935 RLV909935:RLW909935 RVR909935:RVS909935 SFN909935:SFO909935 SPJ909935:SPK909935 SZF909935:SZG909935 TJB909935:TJC909935 TSX909935:TSY909935 UCT909935:UCU909935 UMP909935:UMQ909935 UWL909935:UWM909935 VGH909935:VGI909935 VQD909935:VQE909935 VZZ909935:WAA909935 WJV909935:WJW909935 WTR909935:WTS909935 XDN909935:XDO909935 HF975471:HG975471 RB975471:RC975471 AAX975471:AAY975471 AKT975471:AKU975471 AUP975471:AUQ975471 BEL975471:BEM975471 BOH975471:BOI975471 BYD975471:BYE975471 CHZ975471:CIA975471 CRV975471:CRW975471 DBR975471:DBS975471 DLN975471:DLO975471 DVJ975471:DVK975471 EFF975471:EFG975471 EPB975471:EPC975471 EYX975471:EYY975471 FIT975471:FIU975471 FSP975471:FSQ975471 GCL975471:GCM975471 GMH975471:GMI975471 GWD975471:GWE975471 HFZ975471:HGA975471 HPV975471:HPW975471 HZR975471:HZS975471 IJN975471:IJO975471 ITJ975471:ITK975471 JDF975471:JDG975471 JNB975471:JNC975471 JWX975471:JWY975471 KGT975471:KGU975471 KQP975471:KQQ975471 LAL975471:LAM975471 LKH975471:LKI975471 LUD975471:LUE975471 MDZ975471:MEA975471 MNV975471:MNW975471 MXR975471:MXS975471 NHN975471:NHO975471 NRJ975471:NRK975471 OBF975471:OBG975471 OLB975471:OLC975471 OUX975471:OUY975471 PET975471:PEU975471 POP975471:POQ975471 PYL975471:PYM975471 QIH975471:QII975471 QSD975471:QSE975471 RBZ975471:RCA975471 RLV975471:RLW975471 RVR975471:RVS975471 SFN975471:SFO975471 SPJ975471:SPK975471 SZF975471:SZG975471 TJB975471:TJC975471 TSX975471:TSY975471 UCT975471:UCU975471 UMP975471:UMQ975471 UWL975471:UWM975471 VGH975471:VGI975471 VQD975471:VQE975471 VZZ975471:WAA975471 WJV975471:WJW975471 WTR975471:WTS975471 XDN975471:XDO975471 HF1041007:HG1041007 RB1041007:RC1041007 AAX1041007:AAY1041007 AKT1041007:AKU1041007 AUP1041007:AUQ1041007 BEL1041007:BEM1041007 BOH1041007:BOI1041007 BYD1041007:BYE1041007 CHZ1041007:CIA1041007 CRV1041007:CRW1041007 DBR1041007:DBS1041007 DLN1041007:DLO1041007 DVJ1041007:DVK1041007 EFF1041007:EFG1041007 EPB1041007:EPC1041007 EYX1041007:EYY1041007 FIT1041007:FIU1041007 FSP1041007:FSQ1041007 GCL1041007:GCM1041007 GMH1041007:GMI1041007 GWD1041007:GWE1041007 HFZ1041007:HGA1041007 HPV1041007:HPW1041007 HZR1041007:HZS1041007 IJN1041007:IJO1041007 ITJ1041007:ITK1041007 JDF1041007:JDG1041007 JNB1041007:JNC1041007 JWX1041007:JWY1041007 KGT1041007:KGU1041007 KQP1041007:KQQ1041007 LAL1041007:LAM1041007 LKH1041007:LKI1041007 LUD1041007:LUE1041007 MDZ1041007:MEA1041007 MNV1041007:MNW1041007 MXR1041007:MXS1041007 NHN1041007:NHO1041007 NRJ1041007:NRK1041007 OBF1041007:OBG1041007 OLB1041007:OLC1041007 OUX1041007:OUY1041007 PET1041007:PEU1041007 POP1041007:POQ1041007 PYL1041007:PYM1041007 QIH1041007:QII1041007 QSD1041007:QSE1041007 RBZ1041007:RCA1041007 RLV1041007:RLW1041007 RVR1041007:RVS1041007 SFN1041007:SFO1041007 SPJ1041007:SPK1041007 SZF1041007:SZG1041007 TJB1041007:TJC1041007 TSX1041007:TSY1041007 UCT1041007:UCU1041007 UMP1041007:UMQ1041007 UWL1041007:UWM1041007 VGH1041007:VGI1041007 VQD1041007:VQE1041007 VZZ1041007:WAA1041007 WJV1041007:WJW1041007 WTR1041007:WTS1041007 XDN1041007:XDO1041007" xr:uid="{3CAA8529-214C-42F9-AFB1-8EC0C0DE5624}">
      <formula1>#REF!</formula1>
    </dataValidation>
  </dataValidations>
  <pageMargins left="0.7" right="0.7" top="0.75" bottom="0.75" header="0.3" footer="0.3"/>
  <pageSetup orientation="portrait" verticalDpi="0" r:id="rId1"/>
  <customProperties>
    <customPr name="PDRUploadSheet" r:id="rId2"/>
    <customPr name="UniqueWorksheetId"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12665A1-A757-4B96-996C-64F78472522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vt:i4>
      </vt:variant>
    </vt:vector>
  </HeadingPairs>
  <TitlesOfParts>
    <vt:vector size="20" baseType="lpstr">
      <vt:lpstr>cover&amp;variance</vt:lpstr>
      <vt:lpstr>tower</vt:lpstr>
      <vt:lpstr>acadMath-&gt;</vt:lpstr>
      <vt:lpstr>syndeoDamage</vt:lpstr>
      <vt:lpstr>unitEconomics</vt:lpstr>
      <vt:lpstr>TAM</vt:lpstr>
      <vt:lpstr>comps</vt:lpstr>
      <vt:lpstr>DCFs-&gt;</vt:lpstr>
      <vt:lpstr>dcf</vt:lpstr>
      <vt:lpstr>disasterDCF</vt:lpstr>
      <vt:lpstr>reverseDCF</vt:lpstr>
      <vt:lpstr>reverseDCF (2)</vt:lpstr>
      <vt:lpstr>altD-&gt;</vt:lpstr>
      <vt:lpstr>vsABBV</vt:lpstr>
      <vt:lpstr>companyDisclosures</vt:lpstr>
      <vt:lpstr>CORE-&gt;</vt:lpstr>
      <vt:lpstr>Reference Data Upload Sheet</vt:lpstr>
      <vt:lpstr>Estimates Upload Sheet</vt:lpstr>
      <vt:lpstr>bbg_ticker</vt:lpstr>
      <vt:lpstr>va_ticker</vt:lpstr>
    </vt:vector>
  </TitlesOfParts>
  <Company>Point72 Asset Management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Mariani, Zach</dc:creator>
  <cp:lastModifiedBy>Mariani, Zach</cp:lastModifiedBy>
  <cp:lastPrinted>2023-10-25T17:47:57Z</cp:lastPrinted>
  <dcterms:created xsi:type="dcterms:W3CDTF">2023-10-21T17:10:04Z</dcterms:created>
  <dcterms:modified xsi:type="dcterms:W3CDTF">2023-11-20T00:26:21Z</dcterms:modified>
</cp:coreProperties>
</file>