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张梦成\新建文件夹\"/>
    </mc:Choice>
  </mc:AlternateContent>
  <bookViews>
    <workbookView xWindow="0" yWindow="0" windowWidth="19200" windowHeight="6915" tabRatio="774" firstSheet="7" activeTab="10"/>
  </bookViews>
  <sheets>
    <sheet name="1617数据" sheetId="1" r:id="rId1"/>
    <sheet name="设计点验证" sheetId="2" r:id="rId2"/>
    <sheet name="机组负荷分配" sheetId="3" r:id="rId3"/>
    <sheet name="冷冻水泵并联流量增量（2机组）" sheetId="4" r:id="rId4"/>
    <sheet name="机组冷却塔对管路影响" sheetId="5" r:id="rId5"/>
    <sheet name="18数据" sheetId="6" r:id="rId6"/>
    <sheet name="冷冻水泵并联流量增量（1机组）" sheetId="8" r:id="rId7"/>
    <sheet name="冷冻水泵并联流量增量（2机组）2.0" sheetId="9" r:id="rId8"/>
    <sheet name="变频台数优化" sheetId="10" r:id="rId9"/>
    <sheet name="机组性能" sheetId="11" r:id="rId10"/>
    <sheet name="阻抗与部分负荷率" sheetId="15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5" l="1"/>
  <c r="C39" i="15"/>
  <c r="D39" i="15"/>
  <c r="E39" i="15"/>
  <c r="F39" i="15"/>
  <c r="G39" i="15"/>
  <c r="A39" i="15"/>
  <c r="B38" i="15"/>
  <c r="C38" i="15"/>
  <c r="D38" i="15"/>
  <c r="E38" i="15"/>
  <c r="F38" i="15"/>
  <c r="G38" i="15"/>
  <c r="A38" i="15"/>
  <c r="Z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B10" i="15"/>
  <c r="C9" i="15" l="1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B9" i="15"/>
  <c r="Z5" i="15" l="1"/>
  <c r="Y5" i="15"/>
  <c r="K8" i="15"/>
  <c r="E8" i="15"/>
  <c r="D8" i="15"/>
  <c r="V8" i="15"/>
  <c r="U8" i="15"/>
  <c r="J8" i="15"/>
  <c r="H8" i="15"/>
  <c r="F8" i="15"/>
  <c r="C8" i="15"/>
  <c r="W8" i="15"/>
  <c r="M8" i="15"/>
  <c r="N8" i="15"/>
  <c r="O8" i="15"/>
  <c r="P8" i="15"/>
  <c r="Q8" i="15"/>
  <c r="R8" i="15"/>
  <c r="S8" i="15"/>
  <c r="T8" i="15"/>
  <c r="L8" i="15"/>
  <c r="I8" i="15"/>
  <c r="G8" i="15"/>
  <c r="B8" i="15"/>
  <c r="Y7" i="15" l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B7" i="15"/>
  <c r="L6" i="15"/>
  <c r="L5" i="15"/>
  <c r="K6" i="15"/>
  <c r="K5" i="15"/>
  <c r="J6" i="15"/>
  <c r="J5" i="15"/>
  <c r="H5" i="15"/>
  <c r="O13" i="15"/>
  <c r="O15" i="15" s="1"/>
  <c r="M13" i="15"/>
  <c r="M15" i="15" s="1"/>
  <c r="K13" i="15"/>
  <c r="K15" i="15" s="1"/>
  <c r="I13" i="15"/>
  <c r="I15" i="15" s="1"/>
  <c r="W4" i="15"/>
  <c r="W6" i="15" s="1"/>
  <c r="V4" i="15"/>
  <c r="V6" i="15" s="1"/>
  <c r="U4" i="15"/>
  <c r="U6" i="15" s="1"/>
  <c r="T4" i="15"/>
  <c r="T6" i="15" s="1"/>
  <c r="S4" i="15"/>
  <c r="S6" i="15" s="1"/>
  <c r="R4" i="15"/>
  <c r="R6" i="15" s="1"/>
  <c r="Q4" i="15"/>
  <c r="Q6" i="15" s="1"/>
  <c r="P4" i="15"/>
  <c r="P6" i="15" s="1"/>
  <c r="O4" i="15"/>
  <c r="O6" i="15" s="1"/>
  <c r="N4" i="15"/>
  <c r="N6" i="15" s="1"/>
  <c r="M4" i="15"/>
  <c r="M6" i="15" s="1"/>
  <c r="N13" i="15"/>
  <c r="N15" i="15" s="1"/>
  <c r="N16" i="15" s="1"/>
  <c r="L13" i="15"/>
  <c r="L15" i="15" s="1"/>
  <c r="J13" i="15"/>
  <c r="J15" i="15" s="1"/>
  <c r="I4" i="15"/>
  <c r="I6" i="15" s="1"/>
  <c r="H13" i="15"/>
  <c r="H15" i="15" s="1"/>
  <c r="H16" i="15" s="1"/>
  <c r="G4" i="15"/>
  <c r="G6" i="15" s="1"/>
  <c r="F4" i="15"/>
  <c r="F6" i="15" s="1"/>
  <c r="E4" i="15"/>
  <c r="E6" i="15" s="1"/>
  <c r="D4" i="15"/>
  <c r="D6" i="15" s="1"/>
  <c r="C4" i="15"/>
  <c r="C6" i="15" s="1"/>
  <c r="B4" i="15"/>
  <c r="B6" i="15" s="1"/>
  <c r="N19" i="11"/>
  <c r="H54" i="11"/>
  <c r="M50" i="11"/>
  <c r="M52" i="11" s="1"/>
  <c r="L50" i="11"/>
  <c r="L52" i="11" s="1"/>
  <c r="K50" i="11"/>
  <c r="K52" i="11" s="1"/>
  <c r="J50" i="11"/>
  <c r="J52" i="11" s="1"/>
  <c r="J53" i="11" s="1"/>
  <c r="H42" i="11"/>
  <c r="H44" i="11" s="1"/>
  <c r="G42" i="11"/>
  <c r="G44" i="11" s="1"/>
  <c r="I50" i="11"/>
  <c r="I52" i="11" s="1"/>
  <c r="J42" i="11"/>
  <c r="J44" i="11" s="1"/>
  <c r="J46" i="11" s="1"/>
  <c r="H50" i="11"/>
  <c r="H52" i="11" s="1"/>
  <c r="E42" i="11"/>
  <c r="E44" i="11" s="1"/>
  <c r="D42" i="11"/>
  <c r="D44" i="11" s="1"/>
  <c r="C42" i="11"/>
  <c r="C44" i="11" s="1"/>
  <c r="C45" i="11" s="1"/>
  <c r="B42" i="11"/>
  <c r="B44" i="11" s="1"/>
  <c r="G50" i="11"/>
  <c r="G52" i="11" s="1"/>
  <c r="K42" i="11"/>
  <c r="K44" i="11" s="1"/>
  <c r="F50" i="11"/>
  <c r="F52" i="11" s="1"/>
  <c r="F54" i="11" s="1"/>
  <c r="E50" i="11"/>
  <c r="E52" i="11" s="1"/>
  <c r="D50" i="11"/>
  <c r="D52" i="11" s="1"/>
  <c r="C50" i="11"/>
  <c r="C52" i="11" s="1"/>
  <c r="F42" i="11"/>
  <c r="F44" i="11" s="1"/>
  <c r="F45" i="11" s="1"/>
  <c r="B50" i="11"/>
  <c r="B52" i="11" s="1"/>
  <c r="X19" i="11"/>
  <c r="Y19" i="11"/>
  <c r="Z19" i="11"/>
  <c r="X18" i="11"/>
  <c r="Y18" i="11"/>
  <c r="Z18" i="11"/>
  <c r="X17" i="11"/>
  <c r="Y17" i="11"/>
  <c r="Z17" i="11"/>
  <c r="X15" i="11"/>
  <c r="Y15" i="11"/>
  <c r="Z15" i="11"/>
  <c r="W19" i="11"/>
  <c r="W18" i="11"/>
  <c r="W17" i="11"/>
  <c r="W15" i="11"/>
  <c r="C17" i="3"/>
  <c r="C8" i="3"/>
  <c r="V15" i="11"/>
  <c r="V17" i="11" s="1"/>
  <c r="U15" i="11"/>
  <c r="U17" i="11" s="1"/>
  <c r="T15" i="11"/>
  <c r="T17" i="11" s="1"/>
  <c r="S15" i="11"/>
  <c r="S17" i="11" s="1"/>
  <c r="R15" i="11"/>
  <c r="R17" i="11" s="1"/>
  <c r="Q15" i="11"/>
  <c r="Q17" i="11" s="1"/>
  <c r="P15" i="11"/>
  <c r="P17" i="11" s="1"/>
  <c r="O15" i="11"/>
  <c r="O17" i="11" s="1"/>
  <c r="N15" i="11"/>
  <c r="N17" i="11" s="1"/>
  <c r="M15" i="11"/>
  <c r="M17" i="11" s="1"/>
  <c r="L15" i="11"/>
  <c r="L17" i="11" s="1"/>
  <c r="K15" i="11"/>
  <c r="K17" i="11" s="1"/>
  <c r="J15" i="11"/>
  <c r="J17" i="11" s="1"/>
  <c r="I15" i="11"/>
  <c r="I17" i="11" s="1"/>
  <c r="H15" i="11"/>
  <c r="H17" i="11" s="1"/>
  <c r="H19" i="11" s="1"/>
  <c r="G15" i="11"/>
  <c r="G17" i="11" s="1"/>
  <c r="G19" i="11" s="1"/>
  <c r="F15" i="11"/>
  <c r="F17" i="11" s="1"/>
  <c r="E15" i="11"/>
  <c r="E17" i="11" s="1"/>
  <c r="D15" i="11"/>
  <c r="D17" i="11" s="1"/>
  <c r="C15" i="11"/>
  <c r="C17" i="11" s="1"/>
  <c r="B15" i="11"/>
  <c r="B17" i="11" s="1"/>
  <c r="H6" i="15" l="1"/>
  <c r="I16" i="15"/>
  <c r="K16" i="15"/>
  <c r="M16" i="15"/>
  <c r="O16" i="15"/>
  <c r="J16" i="15"/>
  <c r="L16" i="15"/>
  <c r="K46" i="11"/>
  <c r="K45" i="11"/>
  <c r="D46" i="11"/>
  <c r="D45" i="11"/>
  <c r="K54" i="11"/>
  <c r="K53" i="11"/>
  <c r="D53" i="11"/>
  <c r="D54" i="11"/>
  <c r="G53" i="11"/>
  <c r="G54" i="11"/>
  <c r="E45" i="11"/>
  <c r="E46" i="11"/>
  <c r="G45" i="11"/>
  <c r="G46" i="11"/>
  <c r="L53" i="11"/>
  <c r="L54" i="11"/>
  <c r="C54" i="11"/>
  <c r="C53" i="11"/>
  <c r="I54" i="11"/>
  <c r="I53" i="11"/>
  <c r="B54" i="11"/>
  <c r="B53" i="11"/>
  <c r="E54" i="11"/>
  <c r="E53" i="11"/>
  <c r="B45" i="11"/>
  <c r="B46" i="11"/>
  <c r="H53" i="11"/>
  <c r="H46" i="11"/>
  <c r="H45" i="11"/>
  <c r="M54" i="11"/>
  <c r="M53" i="11"/>
  <c r="F53" i="11"/>
  <c r="J45" i="11"/>
  <c r="F46" i="11"/>
  <c r="C46" i="11"/>
  <c r="J54" i="11"/>
  <c r="B19" i="11"/>
  <c r="B18" i="11"/>
  <c r="J19" i="11"/>
  <c r="J18" i="11"/>
  <c r="R19" i="11"/>
  <c r="R18" i="11"/>
  <c r="C19" i="11"/>
  <c r="C18" i="11"/>
  <c r="K19" i="11"/>
  <c r="K18" i="11"/>
  <c r="S19" i="11"/>
  <c r="S18" i="11"/>
  <c r="D18" i="11"/>
  <c r="D19" i="11"/>
  <c r="H18" i="11"/>
  <c r="L18" i="11"/>
  <c r="L19" i="11"/>
  <c r="P18" i="11"/>
  <c r="P19" i="11"/>
  <c r="T18" i="11"/>
  <c r="T19" i="11"/>
  <c r="F19" i="11"/>
  <c r="F18" i="11"/>
  <c r="N18" i="11"/>
  <c r="V19" i="11"/>
  <c r="V18" i="11"/>
  <c r="G18" i="11"/>
  <c r="O19" i="11"/>
  <c r="O18" i="11"/>
  <c r="E18" i="11"/>
  <c r="E19" i="11"/>
  <c r="I18" i="11"/>
  <c r="I19" i="11"/>
  <c r="M18" i="11"/>
  <c r="M19" i="11"/>
  <c r="Q18" i="11"/>
  <c r="Q19" i="11"/>
  <c r="U18" i="11"/>
  <c r="U19" i="11"/>
  <c r="AP76" i="1" l="1"/>
  <c r="J6" i="11"/>
  <c r="J8" i="11" s="1"/>
  <c r="J9" i="11" s="1"/>
  <c r="K6" i="11"/>
  <c r="L6" i="11"/>
  <c r="M6" i="11"/>
  <c r="N6" i="11"/>
  <c r="N8" i="11" s="1"/>
  <c r="N9" i="11" s="1"/>
  <c r="O6" i="11"/>
  <c r="P6" i="11"/>
  <c r="Q6" i="11"/>
  <c r="R6" i="11"/>
  <c r="R8" i="11" s="1"/>
  <c r="R9" i="11" s="1"/>
  <c r="S6" i="11"/>
  <c r="T6" i="11"/>
  <c r="U6" i="11"/>
  <c r="V6" i="11"/>
  <c r="V8" i="11" s="1"/>
  <c r="V9" i="11" s="1"/>
  <c r="W6" i="11"/>
  <c r="K8" i="11"/>
  <c r="K9" i="11" s="1"/>
  <c r="L8" i="11"/>
  <c r="L10" i="11" s="1"/>
  <c r="M8" i="11"/>
  <c r="M10" i="11" s="1"/>
  <c r="O8" i="11"/>
  <c r="O9" i="11" s="1"/>
  <c r="P8" i="11"/>
  <c r="P10" i="11" s="1"/>
  <c r="Q8" i="11"/>
  <c r="Q10" i="11" s="1"/>
  <c r="S8" i="11"/>
  <c r="S9" i="11" s="1"/>
  <c r="T8" i="11"/>
  <c r="T10" i="11" s="1"/>
  <c r="U8" i="11"/>
  <c r="U10" i="11" s="1"/>
  <c r="W8" i="11"/>
  <c r="W9" i="11" s="1"/>
  <c r="C6" i="11"/>
  <c r="C8" i="11" s="1"/>
  <c r="D6" i="11"/>
  <c r="D8" i="11" s="1"/>
  <c r="E6" i="11"/>
  <c r="E8" i="11" s="1"/>
  <c r="F6" i="11"/>
  <c r="F8" i="11" s="1"/>
  <c r="G6" i="11"/>
  <c r="G8" i="11" s="1"/>
  <c r="H6" i="11"/>
  <c r="H8" i="11" s="1"/>
  <c r="I6" i="11"/>
  <c r="I8" i="11" s="1"/>
  <c r="B6" i="11"/>
  <c r="B8" i="11" s="1"/>
  <c r="Z88" i="6"/>
  <c r="Y88" i="6"/>
  <c r="X88" i="6"/>
  <c r="X89" i="6" s="1"/>
  <c r="X90" i="6" s="1"/>
  <c r="X87" i="6"/>
  <c r="AF74" i="6"/>
  <c r="AE74" i="6"/>
  <c r="AD74" i="6"/>
  <c r="AD75" i="6" s="1"/>
  <c r="AD76" i="6" s="1"/>
  <c r="Z74" i="6"/>
  <c r="Y74" i="6"/>
  <c r="X74" i="6"/>
  <c r="T74" i="6"/>
  <c r="S74" i="6"/>
  <c r="R74" i="6"/>
  <c r="Q74" i="6"/>
  <c r="P74" i="6"/>
  <c r="O74" i="6"/>
  <c r="N74" i="6"/>
  <c r="M74" i="6"/>
  <c r="L74" i="6"/>
  <c r="L75" i="6" s="1"/>
  <c r="L76" i="6" s="1"/>
  <c r="K74" i="6"/>
  <c r="J74" i="6"/>
  <c r="I74" i="6"/>
  <c r="H74" i="6"/>
  <c r="G74" i="6"/>
  <c r="F74" i="6"/>
  <c r="E74" i="6"/>
  <c r="D74" i="6"/>
  <c r="C74" i="6"/>
  <c r="AD73" i="6"/>
  <c r="X73" i="6"/>
  <c r="R73" i="6"/>
  <c r="O73" i="6"/>
  <c r="L73" i="6"/>
  <c r="I73" i="6"/>
  <c r="F73" i="6"/>
  <c r="C73" i="6"/>
  <c r="I90" i="1"/>
  <c r="F90" i="1"/>
  <c r="C90" i="1"/>
  <c r="D88" i="1"/>
  <c r="E88" i="1"/>
  <c r="F88" i="1"/>
  <c r="G88" i="1"/>
  <c r="F89" i="1" s="1"/>
  <c r="H88" i="1"/>
  <c r="I88" i="1"/>
  <c r="J88" i="1"/>
  <c r="K88" i="1"/>
  <c r="I89" i="1" s="1"/>
  <c r="C88" i="1"/>
  <c r="C89" i="1"/>
  <c r="AQ74" i="1"/>
  <c r="AP5" i="1"/>
  <c r="AM76" i="1"/>
  <c r="AM78" i="1" s="1"/>
  <c r="AJ76" i="1"/>
  <c r="AJ78" i="1" s="1"/>
  <c r="AG76" i="1"/>
  <c r="AG78" i="1" s="1"/>
  <c r="AD76" i="1"/>
  <c r="AD78" i="1" s="1"/>
  <c r="AA76" i="1"/>
  <c r="AA78" i="1" s="1"/>
  <c r="X76" i="1"/>
  <c r="X78" i="1" s="1"/>
  <c r="U76" i="1"/>
  <c r="U78" i="1" s="1"/>
  <c r="R77" i="1"/>
  <c r="R76" i="1"/>
  <c r="R78" i="1" s="1"/>
  <c r="O76" i="1"/>
  <c r="O78" i="1" s="1"/>
  <c r="L76" i="1"/>
  <c r="L78" i="1" s="1"/>
  <c r="I76" i="1"/>
  <c r="I78" i="1" s="1"/>
  <c r="F76" i="1"/>
  <c r="F78" i="1" s="1"/>
  <c r="C78" i="1"/>
  <c r="C77" i="1"/>
  <c r="C76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C75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R74" i="1"/>
  <c r="C74" i="1"/>
  <c r="AP73" i="1"/>
  <c r="AM73" i="1"/>
  <c r="AJ73" i="1"/>
  <c r="AG73" i="1"/>
  <c r="AD73" i="1"/>
  <c r="AA73" i="1"/>
  <c r="X73" i="1"/>
  <c r="U73" i="1"/>
  <c r="R73" i="1"/>
  <c r="O73" i="1"/>
  <c r="L73" i="1"/>
  <c r="I73" i="1"/>
  <c r="I87" i="1"/>
  <c r="F87" i="1"/>
  <c r="F73" i="1"/>
  <c r="C87" i="1"/>
  <c r="C73" i="1"/>
  <c r="AP78" i="1" l="1"/>
  <c r="U9" i="11"/>
  <c r="Q9" i="11"/>
  <c r="M9" i="11"/>
  <c r="W10" i="11"/>
  <c r="S10" i="11"/>
  <c r="O10" i="11"/>
  <c r="K10" i="11"/>
  <c r="T9" i="11"/>
  <c r="P9" i="11"/>
  <c r="L9" i="11"/>
  <c r="V10" i="11"/>
  <c r="R10" i="11"/>
  <c r="N10" i="11"/>
  <c r="J10" i="11"/>
  <c r="I10" i="11"/>
  <c r="I9" i="11"/>
  <c r="E10" i="11"/>
  <c r="E9" i="11"/>
  <c r="F9" i="11"/>
  <c r="F10" i="11"/>
  <c r="H10" i="11"/>
  <c r="H9" i="11"/>
  <c r="D10" i="11"/>
  <c r="D9" i="11"/>
  <c r="B10" i="11"/>
  <c r="B9" i="11"/>
  <c r="G10" i="11"/>
  <c r="G9" i="11"/>
  <c r="C10" i="11"/>
  <c r="C9" i="11"/>
  <c r="X92" i="6"/>
  <c r="X91" i="6"/>
  <c r="C75" i="6"/>
  <c r="C76" i="6" s="1"/>
  <c r="I75" i="6"/>
  <c r="I76" i="6" s="1"/>
  <c r="O75" i="6"/>
  <c r="O76" i="6" s="1"/>
  <c r="X75" i="6"/>
  <c r="X76" i="6" s="1"/>
  <c r="X78" i="6" s="1"/>
  <c r="F75" i="6"/>
  <c r="F76" i="6" s="1"/>
  <c r="R75" i="6"/>
  <c r="R76" i="6" s="1"/>
  <c r="R77" i="6" s="1"/>
  <c r="F78" i="6"/>
  <c r="F77" i="6"/>
  <c r="R78" i="6"/>
  <c r="AD78" i="6"/>
  <c r="AD77" i="6"/>
  <c r="C77" i="6"/>
  <c r="C78" i="6"/>
  <c r="I78" i="6"/>
  <c r="I77" i="6"/>
  <c r="O78" i="6"/>
  <c r="O77" i="6"/>
  <c r="L77" i="6"/>
  <c r="L78" i="6"/>
  <c r="X77" i="6"/>
  <c r="C91" i="1"/>
  <c r="C92" i="1"/>
  <c r="I92" i="1"/>
  <c r="I91" i="1"/>
  <c r="F91" i="1"/>
  <c r="F92" i="1"/>
  <c r="AP77" i="1"/>
  <c r="AM77" i="1"/>
  <c r="AJ77" i="1"/>
  <c r="AG77" i="1"/>
  <c r="AD77" i="1"/>
  <c r="AA77" i="1"/>
  <c r="X77" i="1"/>
  <c r="U77" i="1"/>
  <c r="O77" i="1"/>
  <c r="L77" i="1"/>
  <c r="I77" i="1"/>
  <c r="F77" i="1"/>
  <c r="F12" i="10"/>
  <c r="F13" i="10"/>
  <c r="F14" i="10"/>
  <c r="F15" i="10"/>
  <c r="F16" i="10"/>
  <c r="F17" i="10"/>
  <c r="F18" i="10"/>
  <c r="F19" i="10"/>
  <c r="F11" i="10"/>
  <c r="E12" i="10"/>
  <c r="E13" i="10"/>
  <c r="E14" i="10"/>
  <c r="E15" i="10"/>
  <c r="E16" i="10"/>
  <c r="E17" i="10"/>
  <c r="E18" i="10"/>
  <c r="E19" i="10"/>
  <c r="E11" i="10"/>
  <c r="D12" i="10"/>
  <c r="D13" i="10"/>
  <c r="D14" i="10"/>
  <c r="D15" i="10"/>
  <c r="D16" i="10"/>
  <c r="D17" i="10"/>
  <c r="D18" i="10"/>
  <c r="D19" i="10"/>
  <c r="D11" i="10"/>
  <c r="C12" i="10"/>
  <c r="C13" i="10"/>
  <c r="C14" i="10"/>
  <c r="C15" i="10"/>
  <c r="C16" i="10"/>
  <c r="C17" i="10"/>
  <c r="C18" i="10"/>
  <c r="C19" i="10"/>
  <c r="C11" i="10"/>
  <c r="B19" i="10"/>
  <c r="B18" i="10"/>
  <c r="B17" i="10"/>
  <c r="B16" i="10"/>
  <c r="B15" i="10"/>
  <c r="B14" i="10"/>
  <c r="B13" i="10"/>
  <c r="B12" i="10"/>
  <c r="B11" i="10"/>
  <c r="D5" i="10"/>
  <c r="C5" i="10"/>
  <c r="B5" i="10"/>
  <c r="D8" i="10" l="1"/>
  <c r="D6" i="10"/>
  <c r="C6" i="10"/>
  <c r="B6" i="10"/>
  <c r="C8" i="10"/>
  <c r="B8" i="10"/>
  <c r="E14" i="9"/>
  <c r="C3" i="9"/>
  <c r="C7" i="9" s="1"/>
  <c r="D3" i="9"/>
  <c r="D7" i="9" s="1"/>
  <c r="B3" i="9"/>
  <c r="B4" i="9" s="1"/>
  <c r="B5" i="9" s="1"/>
  <c r="J18" i="9"/>
  <c r="I18" i="9"/>
  <c r="H18" i="9"/>
  <c r="D18" i="9"/>
  <c r="C18" i="9"/>
  <c r="B18" i="9"/>
  <c r="J17" i="9"/>
  <c r="I17" i="9"/>
  <c r="H17" i="9"/>
  <c r="D17" i="9"/>
  <c r="C17" i="9"/>
  <c r="B17" i="9"/>
  <c r="J16" i="9"/>
  <c r="I16" i="9"/>
  <c r="H16" i="9"/>
  <c r="D16" i="9"/>
  <c r="C16" i="9"/>
  <c r="B16" i="9"/>
  <c r="J15" i="9"/>
  <c r="I15" i="9"/>
  <c r="H15" i="9"/>
  <c r="D15" i="9"/>
  <c r="C15" i="9"/>
  <c r="B15" i="9"/>
  <c r="J14" i="9"/>
  <c r="I14" i="9"/>
  <c r="H14" i="9"/>
  <c r="D14" i="9"/>
  <c r="C14" i="9"/>
  <c r="B14" i="9"/>
  <c r="J13" i="9"/>
  <c r="I13" i="9"/>
  <c r="H13" i="9"/>
  <c r="D13" i="9"/>
  <c r="C13" i="9"/>
  <c r="B13" i="9"/>
  <c r="J12" i="9"/>
  <c r="I12" i="9"/>
  <c r="H12" i="9"/>
  <c r="D12" i="9"/>
  <c r="C12" i="9"/>
  <c r="B12" i="9"/>
  <c r="J11" i="9"/>
  <c r="I11" i="9"/>
  <c r="H11" i="9"/>
  <c r="D11" i="9"/>
  <c r="C11" i="9"/>
  <c r="B11" i="9"/>
  <c r="J10" i="9"/>
  <c r="I10" i="9"/>
  <c r="H10" i="9"/>
  <c r="D10" i="9"/>
  <c r="C10" i="9"/>
  <c r="B10" i="9"/>
  <c r="C4" i="9"/>
  <c r="C5" i="9" s="1"/>
  <c r="J11" i="8"/>
  <c r="J12" i="8"/>
  <c r="J13" i="8"/>
  <c r="J14" i="8"/>
  <c r="J15" i="8"/>
  <c r="J16" i="8"/>
  <c r="J17" i="8"/>
  <c r="J18" i="8"/>
  <c r="J10" i="8"/>
  <c r="I11" i="8"/>
  <c r="I12" i="8"/>
  <c r="I13" i="8"/>
  <c r="I14" i="8"/>
  <c r="I15" i="8"/>
  <c r="I16" i="8"/>
  <c r="I17" i="8"/>
  <c r="I18" i="8"/>
  <c r="I10" i="8"/>
  <c r="H11" i="8"/>
  <c r="H12" i="8"/>
  <c r="H13" i="8"/>
  <c r="H14" i="8"/>
  <c r="H15" i="8"/>
  <c r="H16" i="8"/>
  <c r="H17" i="8"/>
  <c r="H18" i="8"/>
  <c r="H10" i="8"/>
  <c r="D3" i="8"/>
  <c r="D4" i="8" s="1"/>
  <c r="D5" i="8" s="1"/>
  <c r="G14" i="8" s="1"/>
  <c r="C3" i="8"/>
  <c r="C4" i="8" s="1"/>
  <c r="C5" i="8" s="1"/>
  <c r="F14" i="8" s="1"/>
  <c r="B3" i="8"/>
  <c r="B7" i="8" s="1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D10" i="8"/>
  <c r="C10" i="8"/>
  <c r="B10" i="8"/>
  <c r="B4" i="8"/>
  <c r="B5" i="8" s="1"/>
  <c r="E13" i="8" s="1"/>
  <c r="C16" i="5"/>
  <c r="B51" i="2"/>
  <c r="B32" i="2"/>
  <c r="D38" i="2"/>
  <c r="D39" i="2"/>
  <c r="D40" i="2"/>
  <c r="D41" i="2"/>
  <c r="D42" i="2"/>
  <c r="D43" i="2"/>
  <c r="D44" i="2"/>
  <c r="D45" i="2"/>
  <c r="D46" i="2"/>
  <c r="D47" i="2"/>
  <c r="D48" i="2"/>
  <c r="D49" i="2"/>
  <c r="D37" i="2"/>
  <c r="C12" i="5"/>
  <c r="C13" i="5"/>
  <c r="C14" i="5"/>
  <c r="C15" i="5"/>
  <c r="C11" i="5"/>
  <c r="B12" i="5"/>
  <c r="B13" i="5"/>
  <c r="B14" i="5"/>
  <c r="B15" i="5"/>
  <c r="B16" i="5"/>
  <c r="B17" i="5"/>
  <c r="B11" i="5"/>
  <c r="B7" i="5"/>
  <c r="C6" i="5"/>
  <c r="C7" i="5" s="1"/>
  <c r="C8" i="5" s="1"/>
  <c r="B6" i="5"/>
  <c r="C7" i="8" l="1"/>
  <c r="D7" i="8"/>
  <c r="D4" i="9"/>
  <c r="D5" i="9" s="1"/>
  <c r="G12" i="9" s="1"/>
  <c r="E10" i="9"/>
  <c r="E13" i="9"/>
  <c r="E12" i="9"/>
  <c r="E11" i="9"/>
  <c r="F14" i="9"/>
  <c r="F13" i="9"/>
  <c r="F12" i="9"/>
  <c r="F11" i="9"/>
  <c r="F10" i="9"/>
  <c r="B7" i="9"/>
  <c r="G13" i="8"/>
  <c r="G12" i="8"/>
  <c r="G11" i="8"/>
  <c r="E10" i="8"/>
  <c r="F12" i="8"/>
  <c r="F11" i="8"/>
  <c r="F10" i="8"/>
  <c r="E11" i="8"/>
  <c r="G10" i="8"/>
  <c r="E12" i="8"/>
  <c r="F13" i="8"/>
  <c r="D15" i="5"/>
  <c r="D12" i="5"/>
  <c r="D11" i="5"/>
  <c r="D13" i="5"/>
  <c r="D14" i="5"/>
  <c r="B8" i="5"/>
  <c r="B38" i="2"/>
  <c r="B39" i="2"/>
  <c r="B40" i="2"/>
  <c r="B41" i="2"/>
  <c r="B42" i="2"/>
  <c r="B43" i="2"/>
  <c r="B44" i="2"/>
  <c r="B45" i="2"/>
  <c r="B46" i="2"/>
  <c r="B47" i="2"/>
  <c r="B48" i="2"/>
  <c r="B49" i="2"/>
  <c r="B37" i="2"/>
  <c r="G14" i="9" l="1"/>
  <c r="G10" i="9"/>
  <c r="G11" i="9"/>
  <c r="G13" i="9"/>
  <c r="B33" i="2"/>
  <c r="C38" i="2" s="1"/>
  <c r="E33" i="4"/>
  <c r="F33" i="4"/>
  <c r="G33" i="4"/>
  <c r="E34" i="4"/>
  <c r="F34" i="4"/>
  <c r="G34" i="4"/>
  <c r="E35" i="4"/>
  <c r="F35" i="4"/>
  <c r="G35" i="4"/>
  <c r="E36" i="4"/>
  <c r="F36" i="4"/>
  <c r="G36" i="4"/>
  <c r="F37" i="4"/>
  <c r="G37" i="4"/>
  <c r="F32" i="4"/>
  <c r="G32" i="4"/>
  <c r="E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D45" i="4"/>
  <c r="A46" i="4"/>
  <c r="D46" i="4"/>
  <c r="A47" i="4"/>
  <c r="D47" i="4"/>
  <c r="A48" i="4"/>
  <c r="D48" i="4"/>
  <c r="A49" i="4"/>
  <c r="D49" i="4"/>
  <c r="A50" i="4"/>
  <c r="B32" i="4"/>
  <c r="C32" i="4"/>
  <c r="D32" i="4"/>
  <c r="A32" i="4"/>
  <c r="K5" i="4"/>
  <c r="L5" i="4"/>
  <c r="J5" i="4"/>
  <c r="L4" i="4"/>
  <c r="K4" i="4"/>
  <c r="J4" i="4"/>
  <c r="C12" i="2"/>
  <c r="C13" i="2"/>
  <c r="C14" i="2"/>
  <c r="C15" i="2"/>
  <c r="C16" i="2"/>
  <c r="C17" i="2"/>
  <c r="C18" i="2"/>
  <c r="C19" i="2"/>
  <c r="C20" i="2"/>
  <c r="C21" i="2"/>
  <c r="C22" i="2"/>
  <c r="C23" i="2"/>
  <c r="C11" i="2"/>
  <c r="C7" i="2"/>
  <c r="C5" i="2"/>
  <c r="C6" i="2"/>
  <c r="C49" i="2" l="1"/>
  <c r="C45" i="2"/>
  <c r="C41" i="2"/>
  <c r="C48" i="2"/>
  <c r="C44" i="2"/>
  <c r="C40" i="2"/>
  <c r="C47" i="2"/>
  <c r="C43" i="2"/>
  <c r="C39" i="2"/>
  <c r="C37" i="2"/>
  <c r="C46" i="2"/>
  <c r="C42" i="2"/>
  <c r="E6" i="4"/>
  <c r="E8" i="4" s="1"/>
  <c r="E18" i="4"/>
  <c r="C24" i="4"/>
  <c r="B18" i="4"/>
  <c r="F13" i="4"/>
  <c r="F14" i="4"/>
  <c r="F15" i="4"/>
  <c r="F16" i="4"/>
  <c r="F17" i="4"/>
  <c r="F18" i="4"/>
  <c r="F19" i="4"/>
  <c r="F20" i="4"/>
  <c r="E13" i="4"/>
  <c r="E14" i="4"/>
  <c r="E15" i="4"/>
  <c r="E16" i="4"/>
  <c r="E17" i="4"/>
  <c r="F12" i="4"/>
  <c r="E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12" i="4"/>
  <c r="C13" i="4"/>
  <c r="C14" i="4"/>
  <c r="C15" i="4"/>
  <c r="C16" i="4"/>
  <c r="C17" i="4"/>
  <c r="C18" i="4"/>
  <c r="C19" i="4"/>
  <c r="C20" i="4"/>
  <c r="C21" i="4"/>
  <c r="C22" i="4"/>
  <c r="C23" i="4"/>
  <c r="C12" i="4"/>
  <c r="B13" i="4"/>
  <c r="B14" i="4"/>
  <c r="B15" i="4"/>
  <c r="B16" i="4"/>
  <c r="B17" i="4"/>
  <c r="B12" i="4"/>
  <c r="K3" i="4"/>
  <c r="L3" i="4"/>
  <c r="J3" i="4"/>
  <c r="G5" i="4"/>
  <c r="F5" i="4"/>
  <c r="E5" i="4"/>
  <c r="B8" i="4"/>
  <c r="B6" i="4"/>
  <c r="B5" i="4"/>
  <c r="D5" i="4"/>
  <c r="C5" i="4"/>
  <c r="C19" i="3"/>
  <c r="C10" i="3"/>
  <c r="F3" i="3"/>
  <c r="F4" i="3"/>
  <c r="F2" i="3"/>
  <c r="F12" i="3"/>
  <c r="F13" i="3"/>
  <c r="F11" i="3"/>
  <c r="E13" i="3"/>
  <c r="D13" i="3"/>
  <c r="C13" i="3"/>
  <c r="D4" i="3"/>
  <c r="E4" i="3"/>
  <c r="C4" i="3"/>
  <c r="E12" i="2"/>
  <c r="E13" i="2"/>
  <c r="E14" i="2"/>
  <c r="E15" i="2"/>
  <c r="E16" i="2"/>
  <c r="E17" i="2"/>
  <c r="E18" i="2"/>
  <c r="E19" i="2"/>
  <c r="E20" i="2"/>
  <c r="E21" i="2"/>
  <c r="E22" i="2"/>
  <c r="E23" i="2"/>
  <c r="D11" i="2"/>
  <c r="E11" i="2"/>
  <c r="D12" i="2"/>
  <c r="D13" i="2"/>
  <c r="D14" i="2"/>
  <c r="D15" i="2"/>
  <c r="D16" i="2"/>
  <c r="D17" i="2"/>
  <c r="D18" i="2"/>
  <c r="D19" i="2"/>
  <c r="D20" i="2"/>
  <c r="D21" i="2"/>
  <c r="D22" i="2"/>
  <c r="D23" i="2"/>
  <c r="B27" i="2"/>
  <c r="B12" i="2"/>
  <c r="B13" i="2"/>
  <c r="B14" i="2"/>
  <c r="B15" i="2"/>
  <c r="B16" i="2"/>
  <c r="B17" i="2"/>
  <c r="B18" i="2"/>
  <c r="B19" i="2"/>
  <c r="B20" i="2"/>
  <c r="B21" i="2"/>
  <c r="B22" i="2"/>
  <c r="B23" i="2"/>
  <c r="B11" i="2"/>
  <c r="G14" i="4" l="1"/>
  <c r="G18" i="4"/>
  <c r="G22" i="4"/>
  <c r="G15" i="4"/>
  <c r="G19" i="4"/>
  <c r="G23" i="4"/>
  <c r="G13" i="4"/>
  <c r="G17" i="4"/>
  <c r="G21" i="4"/>
  <c r="G12" i="4"/>
  <c r="G16" i="4"/>
  <c r="G20" i="4"/>
  <c r="G24" i="4"/>
  <c r="C6" i="4"/>
  <c r="C8" i="4" s="1"/>
  <c r="B5" i="2" l="1"/>
  <c r="B7" i="2" s="1"/>
  <c r="C4" i="2"/>
  <c r="B4" i="2"/>
</calcChain>
</file>

<file path=xl/sharedStrings.xml><?xml version="1.0" encoding="utf-8"?>
<sst xmlns="http://schemas.openxmlformats.org/spreadsheetml/2006/main" count="686" uniqueCount="159">
  <si>
    <t>冷却水泵#1</t>
  </si>
  <si>
    <t>冷凝器出水温度</t>
  </si>
  <si>
    <t>冷凝器进水温度</t>
  </si>
  <si>
    <t>冷凝器出水压力</t>
  </si>
  <si>
    <t>冷却水泵#2</t>
  </si>
  <si>
    <t>冷凝器进水压力</t>
  </si>
  <si>
    <t>冷却水泵#3</t>
  </si>
  <si>
    <t>制冷机组#1</t>
  </si>
  <si>
    <t>蒸发器出水温度</t>
  </si>
  <si>
    <t>蒸发器进水温度</t>
  </si>
  <si>
    <t>功率</t>
  </si>
  <si>
    <t>蒸发器水流量</t>
  </si>
  <si>
    <t>进口压力</t>
  </si>
  <si>
    <t>蒸发器出水压力</t>
  </si>
  <si>
    <t>出口压力</t>
  </si>
  <si>
    <t>蒸发器进水压力</t>
  </si>
  <si>
    <t>出水温度</t>
  </si>
  <si>
    <t>on/off</t>
  </si>
  <si>
    <t>制冷机组#2</t>
  </si>
  <si>
    <t>冷冻水泵#1</t>
  </si>
  <si>
    <t>分水器</t>
  </si>
  <si>
    <t>温度</t>
  </si>
  <si>
    <t xml:space="preserve">压力 </t>
  </si>
  <si>
    <t>集水器</t>
  </si>
  <si>
    <t>冷却塔#1</t>
  </si>
  <si>
    <t>冷冻水泵#2</t>
  </si>
  <si>
    <t>风机1功率</t>
  </si>
  <si>
    <t>风机2功率</t>
  </si>
  <si>
    <t>冷却塔#2</t>
  </si>
  <si>
    <t>冷冻水泵#3</t>
  </si>
  <si>
    <t>（温度计）</t>
    <phoneticPr fontId="1" type="noConversion"/>
  </si>
  <si>
    <t>（电子表）</t>
    <phoneticPr fontId="1" type="noConversion"/>
  </si>
  <si>
    <t>on</t>
    <phoneticPr fontId="1" type="noConversion"/>
  </si>
  <si>
    <t>on</t>
    <phoneticPr fontId="1" type="noConversion"/>
  </si>
  <si>
    <t>on</t>
    <phoneticPr fontId="1" type="noConversion"/>
  </si>
  <si>
    <t>x</t>
    <phoneticPr fontId="1" type="noConversion"/>
  </si>
  <si>
    <t>on</t>
    <phoneticPr fontId="1" type="noConversion"/>
  </si>
  <si>
    <t>off</t>
    <phoneticPr fontId="1" type="noConversion"/>
  </si>
  <si>
    <t>试验1设计点验证 15:55-16:10</t>
    <phoneticPr fontId="1" type="noConversion"/>
  </si>
  <si>
    <t>试验1.1-2并联增量17:09-17:20</t>
    <phoneticPr fontId="1" type="noConversion"/>
  </si>
  <si>
    <t>试验1.1-3并联增量19:40-19:50</t>
    <phoneticPr fontId="1" type="noConversion"/>
  </si>
  <si>
    <t>试验2机组影响20:50-21:00</t>
    <phoneticPr fontId="1" type="noConversion"/>
  </si>
  <si>
    <t>试验3冷却塔影响21:40-22:00</t>
    <phoneticPr fontId="1" type="noConversion"/>
  </si>
  <si>
    <t>on</t>
    <phoneticPr fontId="1" type="noConversion"/>
  </si>
  <si>
    <t>off</t>
    <phoneticPr fontId="1" type="noConversion"/>
  </si>
  <si>
    <t>off</t>
    <phoneticPr fontId="1" type="noConversion"/>
  </si>
  <si>
    <t>off</t>
    <phoneticPr fontId="1" type="noConversion"/>
  </si>
  <si>
    <t>on</t>
    <phoneticPr fontId="1" type="noConversion"/>
  </si>
  <si>
    <t>on</t>
    <phoneticPr fontId="1" type="noConversion"/>
  </si>
  <si>
    <t>on</t>
    <phoneticPr fontId="1" type="noConversion"/>
  </si>
  <si>
    <t>off</t>
    <phoneticPr fontId="1" type="noConversion"/>
  </si>
  <si>
    <t>on</t>
    <phoneticPr fontId="1" type="noConversion"/>
  </si>
  <si>
    <t>on</t>
    <phoneticPr fontId="1" type="noConversion"/>
  </si>
  <si>
    <t>off</t>
    <phoneticPr fontId="1" type="noConversion"/>
  </si>
  <si>
    <t>试验4机组性能9:20-9:30</t>
    <phoneticPr fontId="1" type="noConversion"/>
  </si>
  <si>
    <t>10:27-10:40</t>
    <phoneticPr fontId="1" type="noConversion"/>
  </si>
  <si>
    <t>12:25-12:30</t>
    <phoneticPr fontId="1" type="noConversion"/>
  </si>
  <si>
    <t>14:40-14:50</t>
    <phoneticPr fontId="1" type="noConversion"/>
  </si>
  <si>
    <t>15:30-15:40</t>
    <phoneticPr fontId="1" type="noConversion"/>
  </si>
  <si>
    <t>工况</t>
    <phoneticPr fontId="1" type="noConversion"/>
  </si>
  <si>
    <t>双冷冻冷却泵100%，两台机组，两台冷却塔</t>
    <phoneticPr fontId="1" type="noConversion"/>
  </si>
  <si>
    <t>水泵出口压力</t>
    <phoneticPr fontId="1" type="noConversion"/>
  </si>
  <si>
    <t>水泵入口压力</t>
    <phoneticPr fontId="1" type="noConversion"/>
  </si>
  <si>
    <t>扬程/MPa</t>
    <phoneticPr fontId="1" type="noConversion"/>
  </si>
  <si>
    <t>扬程/m</t>
    <phoneticPr fontId="1" type="noConversion"/>
  </si>
  <si>
    <t>流量/m3/h</t>
    <phoneticPr fontId="1" type="noConversion"/>
  </si>
  <si>
    <t>阻抗</t>
    <phoneticPr fontId="1" type="noConversion"/>
  </si>
  <si>
    <t>流量</t>
    <phoneticPr fontId="1" type="noConversion"/>
  </si>
  <si>
    <t>水泵</t>
    <phoneticPr fontId="1" type="noConversion"/>
  </si>
  <si>
    <t>管路</t>
    <phoneticPr fontId="1" type="noConversion"/>
  </si>
  <si>
    <t>效率</t>
    <phoneticPr fontId="1" type="noConversion"/>
  </si>
  <si>
    <t>实际工作点</t>
    <phoneticPr fontId="1" type="noConversion"/>
  </si>
  <si>
    <t>设计工作点</t>
    <phoneticPr fontId="1" type="noConversion"/>
  </si>
  <si>
    <t>修正前</t>
    <phoneticPr fontId="1" type="noConversion"/>
  </si>
  <si>
    <t>1#</t>
    <phoneticPr fontId="1" type="noConversion"/>
  </si>
  <si>
    <t>2#</t>
    <phoneticPr fontId="1" type="noConversion"/>
  </si>
  <si>
    <t>温差</t>
    <phoneticPr fontId="1" type="noConversion"/>
  </si>
  <si>
    <t>实际制冷量</t>
    <phoneticPr fontId="1" type="noConversion"/>
  </si>
  <si>
    <t>额定制冷量</t>
    <phoneticPr fontId="1" type="noConversion"/>
  </si>
  <si>
    <t>PLR</t>
    <phoneticPr fontId="1" type="noConversion"/>
  </si>
  <si>
    <t>双冷却泵100%，两台机组，两台冷却塔，冷冻泵1-3台</t>
    <phoneticPr fontId="1" type="noConversion"/>
  </si>
  <si>
    <t>台数</t>
    <phoneticPr fontId="1" type="noConversion"/>
  </si>
  <si>
    <t>机组流量</t>
    <phoneticPr fontId="1" type="noConversion"/>
  </si>
  <si>
    <t>流量</t>
    <phoneticPr fontId="1" type="noConversion"/>
  </si>
  <si>
    <t>1台泵</t>
    <phoneticPr fontId="1" type="noConversion"/>
  </si>
  <si>
    <t>2台泵</t>
    <phoneticPr fontId="1" type="noConversion"/>
  </si>
  <si>
    <t>3台泵</t>
    <phoneticPr fontId="1" type="noConversion"/>
  </si>
  <si>
    <t>试验5变频优化19:00-19:10</t>
    <phoneticPr fontId="1" type="noConversion"/>
  </si>
  <si>
    <t>19:30-19:40</t>
    <phoneticPr fontId="1" type="noConversion"/>
  </si>
  <si>
    <t>20:20-20:30</t>
    <phoneticPr fontId="1" type="noConversion"/>
  </si>
  <si>
    <t>21:00-21:10</t>
    <phoneticPr fontId="1" type="noConversion"/>
  </si>
  <si>
    <t>末端</t>
    <phoneticPr fontId="1" type="noConversion"/>
  </si>
  <si>
    <t>扬程</t>
    <phoneticPr fontId="1" type="noConversion"/>
  </si>
  <si>
    <t>阻抗</t>
    <phoneticPr fontId="1" type="noConversion"/>
  </si>
  <si>
    <t>流量计计算</t>
    <phoneticPr fontId="1" type="noConversion"/>
  </si>
  <si>
    <t>水泵扬程计算</t>
    <phoneticPr fontId="1" type="noConversion"/>
  </si>
  <si>
    <t>工况</t>
    <phoneticPr fontId="1" type="noConversion"/>
  </si>
  <si>
    <t>1机组，1冷却泵，1冷冻泵，1冷却塔</t>
    <phoneticPr fontId="1" type="noConversion"/>
  </si>
  <si>
    <t>台数</t>
    <phoneticPr fontId="1" type="noConversion"/>
  </si>
  <si>
    <t>流量</t>
    <phoneticPr fontId="1" type="noConversion"/>
  </si>
  <si>
    <t>扬程</t>
    <phoneticPr fontId="1" type="noConversion"/>
  </si>
  <si>
    <t>阻抗</t>
    <phoneticPr fontId="1" type="noConversion"/>
  </si>
  <si>
    <t>工况</t>
    <phoneticPr fontId="1" type="noConversion"/>
  </si>
  <si>
    <t>机组台数</t>
    <phoneticPr fontId="1" type="noConversion"/>
  </si>
  <si>
    <t>一或两台机组，一台冷冻，一台冷却，两塔</t>
    <phoneticPr fontId="1" type="noConversion"/>
  </si>
  <si>
    <t>水泵</t>
    <phoneticPr fontId="1" type="noConversion"/>
  </si>
  <si>
    <t>单台机组</t>
    <phoneticPr fontId="1" type="noConversion"/>
  </si>
  <si>
    <t>两台机组</t>
    <phoneticPr fontId="1" type="noConversion"/>
  </si>
  <si>
    <t>机组影响</t>
    <phoneticPr fontId="1" type="noConversion"/>
  </si>
  <si>
    <t>冷却塔影响</t>
    <phoneticPr fontId="1" type="noConversion"/>
  </si>
  <si>
    <t>一台机组，一台冷冻，一台冷却，一或两塔</t>
    <phoneticPr fontId="1" type="noConversion"/>
  </si>
  <si>
    <t>塔台数</t>
    <phoneticPr fontId="1" type="noConversion"/>
  </si>
  <si>
    <t>off</t>
    <phoneticPr fontId="1" type="noConversion"/>
  </si>
  <si>
    <t>off</t>
    <phoneticPr fontId="1" type="noConversion"/>
  </si>
  <si>
    <t>x</t>
    <phoneticPr fontId="1" type="noConversion"/>
  </si>
  <si>
    <t>1泵100%1机 9:45</t>
    <phoneticPr fontId="1" type="noConversion"/>
  </si>
  <si>
    <t>2泵100%1机 10:30</t>
    <phoneticPr fontId="1" type="noConversion"/>
  </si>
  <si>
    <t>3泵100%1机 11:20</t>
    <phoneticPr fontId="1" type="noConversion"/>
  </si>
  <si>
    <t>3泵70%1机 11:40</t>
    <phoneticPr fontId="1" type="noConversion"/>
  </si>
  <si>
    <t>2泵64%1机 12:05</t>
    <phoneticPr fontId="1" type="noConversion"/>
  </si>
  <si>
    <t>1泵72.5%1机 13:00</t>
    <phoneticPr fontId="1" type="noConversion"/>
  </si>
  <si>
    <t>1泵100%2机 13:30</t>
    <phoneticPr fontId="1" type="noConversion"/>
  </si>
  <si>
    <t>2泵100%2机 14:40</t>
    <phoneticPr fontId="1" type="noConversion"/>
  </si>
  <si>
    <t xml:space="preserve">3泵100%2机 </t>
    <phoneticPr fontId="1" type="noConversion"/>
  </si>
  <si>
    <t>on</t>
    <phoneticPr fontId="1" type="noConversion"/>
  </si>
  <si>
    <t>on</t>
    <phoneticPr fontId="1" type="noConversion"/>
  </si>
  <si>
    <t>1泵100%1机 16:00</t>
    <phoneticPr fontId="1" type="noConversion"/>
  </si>
  <si>
    <t>2泵94%1机 16:20</t>
    <phoneticPr fontId="1" type="noConversion"/>
  </si>
  <si>
    <t>3泵94%1机 16:35</t>
    <phoneticPr fontId="1" type="noConversion"/>
  </si>
  <si>
    <t>水泵台数</t>
    <phoneticPr fontId="1" type="noConversion"/>
  </si>
  <si>
    <t>流量</t>
    <phoneticPr fontId="1" type="noConversion"/>
  </si>
  <si>
    <t>效率1</t>
    <phoneticPr fontId="1" type="noConversion"/>
  </si>
  <si>
    <t>效率2</t>
    <phoneticPr fontId="1" type="noConversion"/>
  </si>
  <si>
    <t xml:space="preserve">效率3 </t>
    <phoneticPr fontId="1" type="noConversion"/>
  </si>
  <si>
    <t>效率</t>
    <phoneticPr fontId="1" type="noConversion"/>
  </si>
  <si>
    <t>1冷却泵100%，1台机组，1冷却塔，冷冻泵100%1-3台</t>
    <phoneticPr fontId="1" type="noConversion"/>
  </si>
  <si>
    <t>2冷却泵100%，2台机组，2冷却塔，冷冻泵100%1-3台</t>
    <phoneticPr fontId="1" type="noConversion"/>
  </si>
  <si>
    <t>1冷却泵100%，1台机组，1冷却塔，冷冻泵1-3台</t>
    <phoneticPr fontId="1" type="noConversion"/>
  </si>
  <si>
    <t>转速比</t>
    <phoneticPr fontId="1" type="noConversion"/>
  </si>
  <si>
    <t>2台泵额定</t>
    <phoneticPr fontId="1" type="noConversion"/>
  </si>
  <si>
    <t>3台泵额定</t>
    <phoneticPr fontId="1" type="noConversion"/>
  </si>
  <si>
    <t>制冷机组#2</t>
    <phoneticPr fontId="1" type="noConversion"/>
  </si>
  <si>
    <t>制冷机组#1</t>
    <phoneticPr fontId="1" type="noConversion"/>
  </si>
  <si>
    <t>功率</t>
    <phoneticPr fontId="1" type="noConversion"/>
  </si>
  <si>
    <t>机组2</t>
    <phoneticPr fontId="1" type="noConversion"/>
  </si>
  <si>
    <t>机组1</t>
    <phoneticPr fontId="1" type="noConversion"/>
  </si>
  <si>
    <t>温差</t>
    <phoneticPr fontId="1" type="noConversion"/>
  </si>
  <si>
    <t>制冷量</t>
    <phoneticPr fontId="1" type="noConversion"/>
  </si>
  <si>
    <t>部分负荷率</t>
    <phoneticPr fontId="1" type="noConversion"/>
  </si>
  <si>
    <t>COP</t>
    <phoneticPr fontId="1" type="noConversion"/>
  </si>
  <si>
    <t>原始</t>
    <phoneticPr fontId="1" type="noConversion"/>
  </si>
  <si>
    <t>冷凝进水</t>
    <phoneticPr fontId="1" type="noConversion"/>
  </si>
  <si>
    <t>温差取机组温度</t>
    <phoneticPr fontId="1" type="noConversion"/>
  </si>
  <si>
    <t>按冷凝温度分类</t>
    <phoneticPr fontId="1" type="noConversion"/>
  </si>
  <si>
    <t>变频工况</t>
    <phoneticPr fontId="1" type="noConversion"/>
  </si>
  <si>
    <t>一台泵</t>
    <phoneticPr fontId="1" type="noConversion"/>
  </si>
  <si>
    <t>两台泵</t>
    <phoneticPr fontId="1" type="noConversion"/>
  </si>
  <si>
    <t>三台泵</t>
    <phoneticPr fontId="1" type="noConversion"/>
  </si>
  <si>
    <t>1/s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</si>
</sst>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);[Red]\(0.00\)"/>
    <numFmt numFmtId="178" formatCode="0.00000_);[Red]\(0.00000\)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rgb="FF59595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5" borderId="0" xfId="0" applyFont="1" applyFill="1">
      <alignment vertical="center"/>
    </xf>
    <xf numFmtId="0" fontId="0" fillId="7" borderId="0" xfId="0" applyFill="1">
      <alignment vertical="center"/>
    </xf>
    <xf numFmtId="0" fontId="4" fillId="3" borderId="0" xfId="0" applyFont="1" applyFill="1">
      <alignment vertical="center"/>
    </xf>
    <xf numFmtId="0" fontId="0" fillId="8" borderId="0" xfId="0" applyFill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10" fontId="0" fillId="6" borderId="0" xfId="0" applyNumberFormat="1" applyFill="1">
      <alignment vertical="center"/>
    </xf>
    <xf numFmtId="49" fontId="2" fillId="0" borderId="0" xfId="0" applyNumberFormat="1" applyFont="1" applyFill="1">
      <alignment vertical="center"/>
    </xf>
    <xf numFmtId="10" fontId="0" fillId="0" borderId="0" xfId="0" applyNumberForma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0" fontId="0" fillId="10" borderId="0" xfId="0" applyNumberFormat="1" applyFill="1">
      <alignment vertical="center"/>
    </xf>
    <xf numFmtId="0" fontId="7" fillId="10" borderId="0" xfId="0" applyFont="1" applyFill="1">
      <alignment vertical="center"/>
    </xf>
    <xf numFmtId="10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9" borderId="0" xfId="0" applyFont="1" applyFill="1">
      <alignment vertical="center"/>
    </xf>
    <xf numFmtId="10" fontId="2" fillId="0" borderId="0" xfId="0" applyNumberFormat="1" applyFont="1">
      <alignment vertical="center"/>
    </xf>
    <xf numFmtId="0" fontId="2" fillId="10" borderId="0" xfId="0" applyFont="1" applyFill="1">
      <alignment vertical="center"/>
    </xf>
    <xf numFmtId="0" fontId="7" fillId="9" borderId="0" xfId="0" applyFont="1" applyFill="1">
      <alignment vertical="center"/>
    </xf>
    <xf numFmtId="177" fontId="0" fillId="0" borderId="0" xfId="0" applyNumberFormat="1">
      <alignment vertical="center"/>
    </xf>
    <xf numFmtId="0" fontId="8" fillId="10" borderId="0" xfId="0" applyFont="1" applyFill="1">
      <alignment vertical="center"/>
    </xf>
    <xf numFmtId="0" fontId="7" fillId="0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水泵设计点</a:t>
            </a:r>
          </a:p>
        </c:rich>
      </c:tx>
      <c:layout>
        <c:manualLayout>
          <c:xMode val="edge"/>
          <c:yMode val="edge"/>
          <c:x val="0.42744285694539791"/>
          <c:y val="1.6194331983805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30857479854217E-2"/>
          <c:y val="0.1051216168829099"/>
          <c:w val="0.80771486502638312"/>
          <c:h val="0.75237527495297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设计点验证!$B$10</c:f>
              <c:strCache>
                <c:ptCount val="1"/>
                <c:pt idx="0">
                  <c:v>水泵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设计点验证!$A$11:$A$23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设计点验证!$B$11:$B$23</c:f>
              <c:numCache>
                <c:formatCode>General</c:formatCode>
                <c:ptCount val="13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  <c:pt idx="9">
                  <c:v>29.021000000000001</c:v>
                </c:pt>
                <c:pt idx="10">
                  <c:v>27.706000000000003</c:v>
                </c:pt>
                <c:pt idx="11">
                  <c:v>26.141000000000002</c:v>
                </c:pt>
                <c:pt idx="12">
                  <c:v>24.326000000000001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E-4DA1-9D29-962A677F7C4E}"/>
            </c:ext>
          </c:extLst>
        </c:ser>
        <c:ser>
          <c:idx val="1"/>
          <c:order val="1"/>
          <c:tx>
            <c:strRef>
              <c:f>设计点验证!$C$10</c:f>
              <c:strCache>
                <c:ptCount val="1"/>
                <c:pt idx="0">
                  <c:v>管路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设计点验证!$A$11:$A$23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设计点验证!$C$11:$C$23</c:f>
              <c:numCache>
                <c:formatCode>General</c:formatCode>
                <c:ptCount val="13"/>
                <c:pt idx="0">
                  <c:v>0</c:v>
                </c:pt>
                <c:pt idx="1">
                  <c:v>1.3233018529976606</c:v>
                </c:pt>
                <c:pt idx="2">
                  <c:v>5.2932074119906423</c:v>
                </c:pt>
                <c:pt idx="3">
                  <c:v>11.909716676978945</c:v>
                </c:pt>
                <c:pt idx="4">
                  <c:v>21.172829647962569</c:v>
                </c:pt>
                <c:pt idx="5">
                  <c:v>33.082546324941518</c:v>
                </c:pt>
                <c:pt idx="6">
                  <c:v>47.638866707915781</c:v>
                </c:pt>
                <c:pt idx="7">
                  <c:v>64.841790796885377</c:v>
                </c:pt>
                <c:pt idx="8">
                  <c:v>84.691318591850276</c:v>
                </c:pt>
                <c:pt idx="9">
                  <c:v>107.18745009281051</c:v>
                </c:pt>
                <c:pt idx="10">
                  <c:v>132.33018529976607</c:v>
                </c:pt>
                <c:pt idx="11">
                  <c:v>160.11952421271695</c:v>
                </c:pt>
                <c:pt idx="12">
                  <c:v>190.55546683166313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E-4DA1-9D29-962A677F7C4E}"/>
            </c:ext>
          </c:extLst>
        </c:ser>
        <c:ser>
          <c:idx val="2"/>
          <c:order val="2"/>
          <c:tx>
            <c:v>实际工作点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设计点验证!$A$25</c:f>
              <c:numCache>
                <c:formatCode>General</c:formatCode>
                <c:ptCount val="1"/>
                <c:pt idx="0">
                  <c:v>245.10000000000002</c:v>
                </c:pt>
              </c:numCache>
            </c:numRef>
          </c:xVal>
          <c:yVal>
            <c:numRef>
              <c:f>设计点验证!$B$25</c:f>
              <c:numCache>
                <c:formatCode>General</c:formatCode>
                <c:ptCount val="1"/>
                <c:pt idx="0">
                  <c:v>31.798419500000001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EE-4DA1-9D29-962A677F7C4E}"/>
            </c:ext>
          </c:extLst>
        </c:ser>
        <c:ser>
          <c:idx val="4"/>
          <c:order val="4"/>
          <c:tx>
            <c:v>设计点工作点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设计点验证!$A$27</c:f>
              <c:numCache>
                <c:formatCode>General</c:formatCode>
                <c:ptCount val="1"/>
                <c:pt idx="0">
                  <c:v>360</c:v>
                </c:pt>
              </c:numCache>
            </c:numRef>
          </c:xVal>
          <c:yVal>
            <c:numRef>
              <c:f>设计点验证!$B$27</c:f>
              <c:numCache>
                <c:formatCode>General</c:formatCode>
                <c:ptCount val="1"/>
                <c:pt idx="0">
                  <c:v>30.758000000000003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EE-4DA1-9D29-962A677F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00367"/>
        <c:axId val="1283133487"/>
      </c:scatterChart>
      <c:scatterChart>
        <c:scatterStyle val="smoothMarker"/>
        <c:varyColors val="0"/>
        <c:ser>
          <c:idx val="3"/>
          <c:order val="3"/>
          <c:tx>
            <c:v>效率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设计点验证!$A$11:$A$23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设计点验证!$D$11:$D$23</c:f>
              <c:numCache>
                <c:formatCode>General</c:formatCode>
                <c:ptCount val="13"/>
                <c:pt idx="0">
                  <c:v>-2.01E-2</c:v>
                </c:pt>
                <c:pt idx="1">
                  <c:v>0.17739999999999997</c:v>
                </c:pt>
                <c:pt idx="2">
                  <c:v>0.34989999999999999</c:v>
                </c:pt>
                <c:pt idx="3">
                  <c:v>0.49739999999999995</c:v>
                </c:pt>
                <c:pt idx="4">
                  <c:v>0.6198999999999999</c:v>
                </c:pt>
                <c:pt idx="5">
                  <c:v>0.71740000000000004</c:v>
                </c:pt>
                <c:pt idx="6">
                  <c:v>0.78990000000000005</c:v>
                </c:pt>
                <c:pt idx="7">
                  <c:v>0.83739999999999992</c:v>
                </c:pt>
                <c:pt idx="8">
                  <c:v>0.85989999999999989</c:v>
                </c:pt>
                <c:pt idx="9">
                  <c:v>0.85739999999999972</c:v>
                </c:pt>
                <c:pt idx="10">
                  <c:v>0.82990000000000008</c:v>
                </c:pt>
                <c:pt idx="11">
                  <c:v>0.77739999999999987</c:v>
                </c:pt>
                <c:pt idx="12">
                  <c:v>0.69989999999999997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EE-4DA1-9D29-962A677F7C4E}"/>
            </c:ext>
          </c:extLst>
        </c:ser>
        <c:ser>
          <c:idx val="5"/>
          <c:order val="5"/>
          <c:tx>
            <c:v>效率（修正前）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设计点验证!$A$11:$A$23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设计点验证!$E$11:$E$23</c:f>
              <c:numCache>
                <c:formatCode>General</c:formatCode>
                <c:ptCount val="13"/>
                <c:pt idx="0">
                  <c:v>-2.8199999999999999E-2</c:v>
                </c:pt>
                <c:pt idx="1">
                  <c:v>0.17929999999999999</c:v>
                </c:pt>
                <c:pt idx="2">
                  <c:v>0.36180000000000001</c:v>
                </c:pt>
                <c:pt idx="3">
                  <c:v>0.51929999999999998</c:v>
                </c:pt>
                <c:pt idx="4">
                  <c:v>0.65179999999999993</c:v>
                </c:pt>
                <c:pt idx="5">
                  <c:v>0.75930000000000009</c:v>
                </c:pt>
                <c:pt idx="6">
                  <c:v>0.8418000000000001</c:v>
                </c:pt>
                <c:pt idx="7">
                  <c:v>0.89929999999999999</c:v>
                </c:pt>
                <c:pt idx="8">
                  <c:v>0.93179999999999996</c:v>
                </c:pt>
                <c:pt idx="9">
                  <c:v>0.93930000000000002</c:v>
                </c:pt>
                <c:pt idx="10">
                  <c:v>0.92180000000000017</c:v>
                </c:pt>
                <c:pt idx="11">
                  <c:v>0.87929999999999975</c:v>
                </c:pt>
                <c:pt idx="12">
                  <c:v>0.81180000000000008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EE-4DA1-9D29-962A677F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25695"/>
        <c:axId val="1288730879"/>
      </c:scatterChart>
      <c:valAx>
        <c:axId val="13573003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流量（</a:t>
                </a:r>
                <a:r>
                  <a:rPr lang="en-US" altLang="zh-CN"/>
                  <a:t>m3/h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33487"/>
        <c:crosses val="autoZero"/>
        <c:crossBetween val="midCat"/>
      </c:valAx>
      <c:valAx>
        <c:axId val="128313348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扬程（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00367"/>
        <c:crosses val="autoZero"/>
        <c:crossBetween val="midCat"/>
      </c:valAx>
      <c:valAx>
        <c:axId val="1288730879"/>
        <c:scaling>
          <c:orientation val="minMax"/>
          <c:max val="1.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725695"/>
        <c:crosses val="max"/>
        <c:crossBetween val="midCat"/>
      </c:valAx>
      <c:valAx>
        <c:axId val="128872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87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1#+2#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机组性能!$B$18:$V$18</c:f>
              <c:numCache>
                <c:formatCode>0.00%</c:formatCode>
                <c:ptCount val="21"/>
                <c:pt idx="0">
                  <c:v>0.32578059071729965</c:v>
                </c:pt>
                <c:pt idx="1">
                  <c:v>0.37716015410016496</c:v>
                </c:pt>
                <c:pt idx="2">
                  <c:v>0.37255641166758391</c:v>
                </c:pt>
                <c:pt idx="3">
                  <c:v>0.35381397908640616</c:v>
                </c:pt>
                <c:pt idx="4">
                  <c:v>0.34230783342505955</c:v>
                </c:pt>
                <c:pt idx="5">
                  <c:v>0.38774169877086778</c:v>
                </c:pt>
                <c:pt idx="6">
                  <c:v>0.23854705558613104</c:v>
                </c:pt>
                <c:pt idx="7">
                  <c:v>0.39665382498624113</c:v>
                </c:pt>
                <c:pt idx="8">
                  <c:v>0.2920583379196478</c:v>
                </c:pt>
                <c:pt idx="9">
                  <c:v>0.29561548339754173</c:v>
                </c:pt>
                <c:pt idx="10">
                  <c:v>0.24245092643551644</c:v>
                </c:pt>
                <c:pt idx="11">
                  <c:v>0.45279765180700787</c:v>
                </c:pt>
                <c:pt idx="12">
                  <c:v>0.35933590166941848</c:v>
                </c:pt>
                <c:pt idx="13">
                  <c:v>0.62445239405613628</c:v>
                </c:pt>
                <c:pt idx="14">
                  <c:v>0.37619702806824434</c:v>
                </c:pt>
                <c:pt idx="15">
                  <c:v>0.37472023481929928</c:v>
                </c:pt>
                <c:pt idx="16">
                  <c:v>0.38024215740231149</c:v>
                </c:pt>
                <c:pt idx="17">
                  <c:v>0.56092460099064378</c:v>
                </c:pt>
                <c:pt idx="18">
                  <c:v>0.38268207668317744</c:v>
                </c:pt>
                <c:pt idx="19">
                  <c:v>0.32823335167859102</c:v>
                </c:pt>
                <c:pt idx="20">
                  <c:v>0.38563566318106757</c:v>
                </c:pt>
              </c:numCache>
            </c:numRef>
          </c:xVal>
          <c:yVal>
            <c:numRef>
              <c:f>机组性能!$B$19:$V$19</c:f>
              <c:numCache>
                <c:formatCode>General</c:formatCode>
                <c:ptCount val="21"/>
                <c:pt idx="0">
                  <c:v>7.236471067644664</c:v>
                </c:pt>
                <c:pt idx="1">
                  <c:v>7.591949778434266</c:v>
                </c:pt>
                <c:pt idx="2">
                  <c:v>6.9931301652892559</c:v>
                </c:pt>
                <c:pt idx="3">
                  <c:v>7.389425287356322</c:v>
                </c:pt>
                <c:pt idx="4">
                  <c:v>7.0305953278070836</c:v>
                </c:pt>
                <c:pt idx="5">
                  <c:v>7.7463074949606021</c:v>
                </c:pt>
                <c:pt idx="6">
                  <c:v>6.9461538461538481</c:v>
                </c:pt>
                <c:pt idx="7">
                  <c:v>7.3095334685598399</c:v>
                </c:pt>
                <c:pt idx="8">
                  <c:v>7.0897795591182362</c:v>
                </c:pt>
                <c:pt idx="9">
                  <c:v>7.4684835001853909</c:v>
                </c:pt>
                <c:pt idx="10">
                  <c:v>6.9557894736842103</c:v>
                </c:pt>
                <c:pt idx="11">
                  <c:v>7.9629629629629628</c:v>
                </c:pt>
                <c:pt idx="12">
                  <c:v>6.2931405622489969</c:v>
                </c:pt>
                <c:pt idx="13">
                  <c:v>6.9382185079494478</c:v>
                </c:pt>
                <c:pt idx="14">
                  <c:v>7.4110950487893019</c:v>
                </c:pt>
                <c:pt idx="15">
                  <c:v>7.471104608632043</c:v>
                </c:pt>
                <c:pt idx="16">
                  <c:v>7.6494685562444635</c:v>
                </c:pt>
                <c:pt idx="17">
                  <c:v>7.700211544273194</c:v>
                </c:pt>
                <c:pt idx="18">
                  <c:v>7.3658192090395476</c:v>
                </c:pt>
                <c:pt idx="19">
                  <c:v>7.5974522292993614</c:v>
                </c:pt>
                <c:pt idx="20">
                  <c:v>7.944444444444442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5-404E-830F-22F77E761A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机组性能!$W$18:$Z$18</c:f>
              <c:numCache>
                <c:formatCode>0.00%</c:formatCode>
                <c:ptCount val="4"/>
                <c:pt idx="0">
                  <c:v>0.23864978902953593</c:v>
                </c:pt>
                <c:pt idx="1">
                  <c:v>0.3220693450742983</c:v>
                </c:pt>
                <c:pt idx="2">
                  <c:v>0.27668684645019265</c:v>
                </c:pt>
                <c:pt idx="3">
                  <c:v>0.25673087506879466</c:v>
                </c:pt>
              </c:numCache>
            </c:numRef>
          </c:xVal>
          <c:yVal>
            <c:numRef>
              <c:f>机组性能!$W$19:$Z$19</c:f>
              <c:numCache>
                <c:formatCode>General</c:formatCode>
                <c:ptCount val="4"/>
                <c:pt idx="0">
                  <c:v>8.4036175710594332</c:v>
                </c:pt>
                <c:pt idx="1">
                  <c:v>9.6210439786272115</c:v>
                </c:pt>
                <c:pt idx="2">
                  <c:v>8.8138148667601683</c:v>
                </c:pt>
                <c:pt idx="3">
                  <c:v>10.373906597479612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5-404E-830F-22F77E76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34831"/>
        <c:axId val="831324751"/>
      </c:scatterChart>
      <c:valAx>
        <c:axId val="756834831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4751"/>
        <c:crosses val="autoZero"/>
        <c:crossBetween val="midCat"/>
      </c:valAx>
      <c:valAx>
        <c:axId val="83132475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8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机组部分性能曲线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40026246719161"/>
          <c:y val="0.12483814523184604"/>
          <c:w val="0.827731627296588"/>
          <c:h val="0.69368839311752695"/>
        </c:manualLayout>
      </c:layout>
      <c:scatterChart>
        <c:scatterStyle val="lineMarker"/>
        <c:varyColors val="0"/>
        <c:ser>
          <c:idx val="0"/>
          <c:order val="0"/>
          <c:tx>
            <c:v>冷凝回水23-24℃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机组性能!$B$45:$H$45</c:f>
              <c:numCache>
                <c:formatCode>0.00%</c:formatCode>
                <c:ptCount val="7"/>
                <c:pt idx="0">
                  <c:v>0.2920583379196478</c:v>
                </c:pt>
                <c:pt idx="1">
                  <c:v>0.29561548339754173</c:v>
                </c:pt>
                <c:pt idx="2">
                  <c:v>0.24245092643551644</c:v>
                </c:pt>
                <c:pt idx="3">
                  <c:v>0.45279765180700787</c:v>
                </c:pt>
                <c:pt idx="4">
                  <c:v>0.37716015410016496</c:v>
                </c:pt>
                <c:pt idx="5">
                  <c:v>0.37472023481929928</c:v>
                </c:pt>
                <c:pt idx="6">
                  <c:v>0.38024215740231149</c:v>
                </c:pt>
              </c:numCache>
            </c:numRef>
          </c:xVal>
          <c:yVal>
            <c:numRef>
              <c:f>机组性能!$B$46:$H$46</c:f>
              <c:numCache>
                <c:formatCode>General</c:formatCode>
                <c:ptCount val="7"/>
                <c:pt idx="0">
                  <c:v>7.0897795591182362</c:v>
                </c:pt>
                <c:pt idx="1">
                  <c:v>7.4684835001853909</c:v>
                </c:pt>
                <c:pt idx="2">
                  <c:v>6.9557894736842103</c:v>
                </c:pt>
                <c:pt idx="3">
                  <c:v>7.9629629629629628</c:v>
                </c:pt>
                <c:pt idx="4">
                  <c:v>7.591949778434266</c:v>
                </c:pt>
                <c:pt idx="5">
                  <c:v>7.471104608632043</c:v>
                </c:pt>
                <c:pt idx="6">
                  <c:v>7.6494685562444635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6-4B87-8C0B-7FED3ABCE029}"/>
            </c:ext>
          </c:extLst>
        </c:ser>
        <c:ser>
          <c:idx val="1"/>
          <c:order val="1"/>
          <c:tx>
            <c:v>冷凝回水24-25℃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机组性能!$B$53:$M$53</c:f>
              <c:numCache>
                <c:formatCode>0.00%</c:formatCode>
                <c:ptCount val="12"/>
                <c:pt idx="0">
                  <c:v>0.32578059071729965</c:v>
                </c:pt>
                <c:pt idx="1">
                  <c:v>0.37255641166758391</c:v>
                </c:pt>
                <c:pt idx="2">
                  <c:v>0.35381397908640616</c:v>
                </c:pt>
                <c:pt idx="3">
                  <c:v>0.34230783342505955</c:v>
                </c:pt>
                <c:pt idx="4">
                  <c:v>0.38774169877086778</c:v>
                </c:pt>
                <c:pt idx="5">
                  <c:v>0.39665382498624113</c:v>
                </c:pt>
                <c:pt idx="6">
                  <c:v>0.35933590166941848</c:v>
                </c:pt>
                <c:pt idx="7">
                  <c:v>0.37619702806824434</c:v>
                </c:pt>
                <c:pt idx="8">
                  <c:v>0.56092460099064378</c:v>
                </c:pt>
                <c:pt idx="9">
                  <c:v>0.38268207668317744</c:v>
                </c:pt>
                <c:pt idx="10">
                  <c:v>0.32823335167859102</c:v>
                </c:pt>
                <c:pt idx="11">
                  <c:v>0.38563566318106757</c:v>
                </c:pt>
              </c:numCache>
            </c:numRef>
          </c:xVal>
          <c:yVal>
            <c:numRef>
              <c:f>机组性能!$B$54:$M$54</c:f>
              <c:numCache>
                <c:formatCode>General</c:formatCode>
                <c:ptCount val="12"/>
                <c:pt idx="0">
                  <c:v>7.236471067644664</c:v>
                </c:pt>
                <c:pt idx="1">
                  <c:v>6.9931301652892559</c:v>
                </c:pt>
                <c:pt idx="2">
                  <c:v>7.389425287356322</c:v>
                </c:pt>
                <c:pt idx="3">
                  <c:v>7.0305953278070836</c:v>
                </c:pt>
                <c:pt idx="4">
                  <c:v>7.7463074949606021</c:v>
                </c:pt>
                <c:pt idx="5">
                  <c:v>7.3095334685598399</c:v>
                </c:pt>
                <c:pt idx="6">
                  <c:v>6.2931405622489969</c:v>
                </c:pt>
                <c:pt idx="7">
                  <c:v>7.4110950487893019</c:v>
                </c:pt>
                <c:pt idx="8">
                  <c:v>7.700211544273194</c:v>
                </c:pt>
                <c:pt idx="9">
                  <c:v>7.3658192090395476</c:v>
                </c:pt>
                <c:pt idx="10">
                  <c:v>7.5974522292993614</c:v>
                </c:pt>
                <c:pt idx="11">
                  <c:v>7.944444444444442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6-4B87-8C0B-7FED3ABCE029}"/>
            </c:ext>
          </c:extLst>
        </c:ser>
        <c:ser>
          <c:idx val="2"/>
          <c:order val="2"/>
          <c:tx>
            <c:v>冷凝回水25-26℃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机组性能!$J$45:$K$45</c:f>
              <c:numCache>
                <c:formatCode>0.00%</c:formatCode>
                <c:ptCount val="2"/>
                <c:pt idx="0">
                  <c:v>0.62445239405613628</c:v>
                </c:pt>
                <c:pt idx="1">
                  <c:v>0.23854705558613104</c:v>
                </c:pt>
              </c:numCache>
            </c:numRef>
          </c:xVal>
          <c:yVal>
            <c:numRef>
              <c:f>机组性能!$J$46:$K$46</c:f>
              <c:numCache>
                <c:formatCode>General</c:formatCode>
                <c:ptCount val="2"/>
                <c:pt idx="0">
                  <c:v>6.9382185079494478</c:v>
                </c:pt>
                <c:pt idx="1">
                  <c:v>6.9461538461538481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6-4B87-8C0B-7FED3ABC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68399"/>
        <c:axId val="1617134783"/>
      </c:scatterChart>
      <c:valAx>
        <c:axId val="1344668399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机组部分负荷率</a:t>
                </a:r>
                <a:r>
                  <a:rPr lang="en-US" altLang="zh-CN" sz="1100"/>
                  <a:t>PLR</a:t>
                </a:r>
                <a:r>
                  <a:rPr lang="zh-CN" altLang="en-US" sz="1100"/>
                  <a:t>（</a:t>
                </a:r>
                <a:r>
                  <a:rPr lang="en-US" altLang="zh-CN" sz="1100"/>
                  <a:t>%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0.31923840769903761"/>
              <c:y val="0.912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34783"/>
        <c:crosses val="autoZero"/>
        <c:crossBetween val="midCat"/>
      </c:valAx>
      <c:valAx>
        <c:axId val="1617134783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COP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5.4507874015748033E-3"/>
              <c:y val="0.40724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6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2623600174978125"/>
          <c:y val="0.54056576261300671"/>
          <c:w val="0.2290181539807524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系统管路阻抗变化区间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24759405074366"/>
          <c:y val="0.13409740449110527"/>
          <c:w val="0.81719685039370071"/>
          <c:h val="0.67054024496937892"/>
        </c:manualLayout>
      </c:layout>
      <c:scatterChart>
        <c:scatterStyle val="smoothMarker"/>
        <c:varyColors val="0"/>
        <c:ser>
          <c:idx val="1"/>
          <c:order val="1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阻抗与部分负荷率!$A$37:$G$37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阻抗与部分负荷率!$A$38:$G$38</c:f>
              <c:numCache>
                <c:formatCode>General</c:formatCode>
                <c:ptCount val="7"/>
                <c:pt idx="0">
                  <c:v>0</c:v>
                </c:pt>
                <c:pt idx="1">
                  <c:v>10.693317573673655</c:v>
                </c:pt>
                <c:pt idx="2">
                  <c:v>42.773270294694619</c:v>
                </c:pt>
                <c:pt idx="3">
                  <c:v>96.239858163062891</c:v>
                </c:pt>
                <c:pt idx="4">
                  <c:v>171.09308117877848</c:v>
                </c:pt>
                <c:pt idx="5">
                  <c:v>267.33293934184132</c:v>
                </c:pt>
                <c:pt idx="6">
                  <c:v>384.95943265225156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1-40E7-B530-20A1EF6FA771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阻抗与部分负荷率!$A$37:$G$37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阻抗与部分负荷率!$A$39:$G$39</c:f>
              <c:numCache>
                <c:formatCode>General</c:formatCode>
                <c:ptCount val="7"/>
                <c:pt idx="0">
                  <c:v>0</c:v>
                </c:pt>
                <c:pt idx="1">
                  <c:v>1.3233018529976606</c:v>
                </c:pt>
                <c:pt idx="2">
                  <c:v>5.2932074119906423</c:v>
                </c:pt>
                <c:pt idx="3">
                  <c:v>11.909716676978945</c:v>
                </c:pt>
                <c:pt idx="4">
                  <c:v>21.172829647962569</c:v>
                </c:pt>
                <c:pt idx="5">
                  <c:v>33.082546324941518</c:v>
                </c:pt>
                <c:pt idx="6">
                  <c:v>47.638866707915781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1-40E7-B530-20A1EF6F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93695"/>
        <c:axId val="1625315855"/>
      </c:scatterChart>
      <c:scatterChart>
        <c:scatterStyle val="lineMarker"/>
        <c:varyColors val="0"/>
        <c:ser>
          <c:idx val="0"/>
          <c:order val="0"/>
          <c:tx>
            <c:strRef>
              <c:f>阻抗与部分负荷率!$A$8</c:f>
              <c:strCache>
                <c:ptCount val="1"/>
                <c:pt idx="0">
                  <c:v>扬程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阻抗与部分负荷率!$B$5:$W$5</c:f>
              <c:numCache>
                <c:formatCode>General</c:formatCode>
                <c:ptCount val="22"/>
                <c:pt idx="0">
                  <c:v>110.3</c:v>
                </c:pt>
                <c:pt idx="1">
                  <c:v>133.5</c:v>
                </c:pt>
                <c:pt idx="2">
                  <c:v>138.15</c:v>
                </c:pt>
                <c:pt idx="3">
                  <c:v>98.4</c:v>
                </c:pt>
                <c:pt idx="4">
                  <c:v>95.2</c:v>
                </c:pt>
                <c:pt idx="5">
                  <c:v>97.4</c:v>
                </c:pt>
                <c:pt idx="6">
                  <c:v>158.19999999999999</c:v>
                </c:pt>
                <c:pt idx="7">
                  <c:v>140.4</c:v>
                </c:pt>
                <c:pt idx="8">
                  <c:v>245.10000000000002</c:v>
                </c:pt>
                <c:pt idx="9">
                  <c:v>234.8</c:v>
                </c:pt>
                <c:pt idx="10">
                  <c:v>189.60000000000002</c:v>
                </c:pt>
                <c:pt idx="11">
                  <c:v>176.3</c:v>
                </c:pt>
                <c:pt idx="12">
                  <c:v>164.6</c:v>
                </c:pt>
                <c:pt idx="13">
                  <c:v>180.1</c:v>
                </c:pt>
                <c:pt idx="14">
                  <c:v>139.5</c:v>
                </c:pt>
                <c:pt idx="15">
                  <c:v>145.9</c:v>
                </c:pt>
                <c:pt idx="16">
                  <c:v>141</c:v>
                </c:pt>
                <c:pt idx="17">
                  <c:v>168</c:v>
                </c:pt>
                <c:pt idx="18">
                  <c:v>149</c:v>
                </c:pt>
                <c:pt idx="19">
                  <c:v>85.2</c:v>
                </c:pt>
                <c:pt idx="20">
                  <c:v>143</c:v>
                </c:pt>
                <c:pt idx="21">
                  <c:v>134.85</c:v>
                </c:pt>
              </c:numCache>
            </c:numRef>
          </c:xVal>
          <c:yVal>
            <c:numRef>
              <c:f>阻抗与部分负荷率!$B$8:$W$8</c:f>
              <c:numCache>
                <c:formatCode>General</c:formatCode>
                <c:ptCount val="22"/>
                <c:pt idx="0">
                  <c:v>31.838472000000003</c:v>
                </c:pt>
                <c:pt idx="1">
                  <c:v>31.545087500000001</c:v>
                </c:pt>
                <c:pt idx="2">
                  <c:v>31.172206550000002</c:v>
                </c:pt>
                <c:pt idx="3">
                  <c:v>30.799788800000002</c:v>
                </c:pt>
                <c:pt idx="4">
                  <c:v>31.171088000000001</c:v>
                </c:pt>
                <c:pt idx="5">
                  <c:v>31.828668</c:v>
                </c:pt>
                <c:pt idx="6">
                  <c:v>31.708478000000003</c:v>
                </c:pt>
                <c:pt idx="7">
                  <c:v>31.602488000000001</c:v>
                </c:pt>
                <c:pt idx="8">
                  <c:v>31.798419500000001</c:v>
                </c:pt>
                <c:pt idx="9">
                  <c:v>31.814059200000003</c:v>
                </c:pt>
                <c:pt idx="10">
                  <c:v>30.436447999999999</c:v>
                </c:pt>
                <c:pt idx="11">
                  <c:v>30.847152000000001</c:v>
                </c:pt>
                <c:pt idx="12">
                  <c:v>31.149948000000002</c:v>
                </c:pt>
                <c:pt idx="13">
                  <c:v>30.737028000000002</c:v>
                </c:pt>
                <c:pt idx="14">
                  <c:v>31.614800000000002</c:v>
                </c:pt>
                <c:pt idx="15">
                  <c:v>31.520208</c:v>
                </c:pt>
                <c:pt idx="16">
                  <c:v>31.594100000000001</c:v>
                </c:pt>
                <c:pt idx="17">
                  <c:v>31.067600000000002</c:v>
                </c:pt>
                <c:pt idx="18">
                  <c:v>31.468500000000002</c:v>
                </c:pt>
                <c:pt idx="19">
                  <c:v>31.049288000000001</c:v>
                </c:pt>
                <c:pt idx="20">
                  <c:v>31.61515</c:v>
                </c:pt>
                <c:pt idx="21">
                  <c:v>31.673250500000002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1-40E7-B530-20A1EF6F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93695"/>
        <c:axId val="1625315855"/>
      </c:scatterChart>
      <c:valAx>
        <c:axId val="8367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流量（</a:t>
                </a:r>
                <a:r>
                  <a:rPr lang="en-US" altLang="zh-CN" sz="1100"/>
                  <a:t>m3/h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0.4221583552055993"/>
              <c:y val="0.90608850976961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315855"/>
        <c:crosses val="autoZero"/>
        <c:crossBetween val="midCat"/>
      </c:valAx>
      <c:valAx>
        <c:axId val="162531585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扬程（</a:t>
                </a:r>
                <a:r>
                  <a:rPr lang="en-US" altLang="zh-CN" sz="1100"/>
                  <a:t>m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1.4478783902012248E-2"/>
              <c:y val="0.31477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79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阻抗与部分负荷率的关系</a:t>
            </a:r>
            <a:endParaRPr lang="en-US" altLang="zh-C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828962495390556"/>
          <c:y val="0.14393518518518519"/>
          <c:w val="0.77998177913711186"/>
          <c:h val="0.68385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阻抗与部分负荷率!$A$10</c:f>
              <c:strCache>
                <c:ptCount val="1"/>
                <c:pt idx="0">
                  <c:v>1/s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阻抗与部分负荷率!$B$7:$W$7</c:f>
              <c:numCache>
                <c:formatCode>0.00%</c:formatCode>
                <c:ptCount val="22"/>
                <c:pt idx="0">
                  <c:v>0.15998468468468474</c:v>
                </c:pt>
                <c:pt idx="1">
                  <c:v>0.18521621621621615</c:v>
                </c:pt>
                <c:pt idx="2">
                  <c:v>0.18295540540540539</c:v>
                </c:pt>
                <c:pt idx="3">
                  <c:v>0.17375135135135136</c:v>
                </c:pt>
                <c:pt idx="4">
                  <c:v>0.16810090090090088</c:v>
                </c:pt>
                <c:pt idx="5">
                  <c:v>0.19041261261261264</c:v>
                </c:pt>
                <c:pt idx="6">
                  <c:v>0.23434234234234239</c:v>
                </c:pt>
                <c:pt idx="7">
                  <c:v>0.19478918918918922</c:v>
                </c:pt>
                <c:pt idx="8">
                  <c:v>0.3015864864864865</c:v>
                </c:pt>
                <c:pt idx="9">
                  <c:v>0.28104684684684689</c:v>
                </c:pt>
                <c:pt idx="10">
                  <c:v>0.24513873873873873</c:v>
                </c:pt>
                <c:pt idx="11">
                  <c:v>0.22236036036036036</c:v>
                </c:pt>
                <c:pt idx="12">
                  <c:v>0.17646306306306309</c:v>
                </c:pt>
                <c:pt idx="13">
                  <c:v>0.30665675675675669</c:v>
                </c:pt>
                <c:pt idx="14">
                  <c:v>0.18474324324324323</c:v>
                </c:pt>
                <c:pt idx="15">
                  <c:v>0.18401801801801804</c:v>
                </c:pt>
                <c:pt idx="16">
                  <c:v>0.18672972972972973</c:v>
                </c:pt>
                <c:pt idx="17">
                  <c:v>0.27545945945945943</c:v>
                </c:pt>
                <c:pt idx="18">
                  <c:v>0.18792792792792795</c:v>
                </c:pt>
                <c:pt idx="19">
                  <c:v>0.16118918918918915</c:v>
                </c:pt>
                <c:pt idx="20">
                  <c:v>0.18937837837837834</c:v>
                </c:pt>
                <c:pt idx="21">
                  <c:v>0.17858513513513516</c:v>
                </c:pt>
              </c:numCache>
            </c:numRef>
          </c:xVal>
          <c:yVal>
            <c:numRef>
              <c:f>阻抗与部分负荷率!$B$10:$W$10</c:f>
              <c:numCache>
                <c:formatCode>General</c:formatCode>
                <c:ptCount val="22"/>
                <c:pt idx="0">
                  <c:v>382.11915446193512</c:v>
                </c:pt>
                <c:pt idx="1">
                  <c:v>564.9770348552687</c:v>
                </c:pt>
                <c:pt idx="2">
                  <c:v>612.25766836194668</c:v>
                </c:pt>
                <c:pt idx="3">
                  <c:v>314.37098685559818</c:v>
                </c:pt>
                <c:pt idx="4">
                  <c:v>290.75148098776663</c:v>
                </c:pt>
                <c:pt idx="5">
                  <c:v>298.05708488963472</c:v>
                </c:pt>
                <c:pt idx="6">
                  <c:v>789.29174714724536</c:v>
                </c:pt>
                <c:pt idx="7">
                  <c:v>623.75342093318727</c:v>
                </c:pt>
                <c:pt idx="8">
                  <c:v>1889.2137076183928</c:v>
                </c:pt>
                <c:pt idx="9">
                  <c:v>1732.9143588190723</c:v>
                </c:pt>
                <c:pt idx="10">
                  <c:v>1181.0891993704392</c:v>
                </c:pt>
                <c:pt idx="11">
                  <c:v>1007.6032302755211</c:v>
                </c:pt>
                <c:pt idx="12">
                  <c:v>869.76581790762521</c:v>
                </c:pt>
                <c:pt idx="13">
                  <c:v>1055.2747650163183</c:v>
                </c:pt>
                <c:pt idx="14">
                  <c:v>615.54240419044243</c:v>
                </c:pt>
                <c:pt idx="15">
                  <c:v>675.33850030431279</c:v>
                </c:pt>
                <c:pt idx="16">
                  <c:v>629.26305860904404</c:v>
                </c:pt>
                <c:pt idx="17">
                  <c:v>908.47056097027121</c:v>
                </c:pt>
                <c:pt idx="18">
                  <c:v>705.49914994359438</c:v>
                </c:pt>
                <c:pt idx="19">
                  <c:v>233.7908682479289</c:v>
                </c:pt>
                <c:pt idx="20">
                  <c:v>646.81015272741081</c:v>
                </c:pt>
                <c:pt idx="21">
                  <c:v>574.12871154477807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9CF-832E-7731855A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02847"/>
        <c:axId val="764214143"/>
      </c:scatterChart>
      <c:valAx>
        <c:axId val="836802847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建筑部分负荷率（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9691676970130801"/>
              <c:y val="0.9233796296296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214143"/>
        <c:crosses val="autoZero"/>
        <c:crossBetween val="midCat"/>
      </c:valAx>
      <c:valAx>
        <c:axId val="7642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1/S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2.1080670701286306E-2"/>
              <c:y val="0.38660104986876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80284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水泵设计点</a:t>
            </a:r>
          </a:p>
        </c:rich>
      </c:tx>
      <c:layout>
        <c:manualLayout>
          <c:xMode val="edge"/>
          <c:yMode val="edge"/>
          <c:x val="0.42744285694539791"/>
          <c:y val="1.6194331983805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30857479854217E-2"/>
          <c:y val="0.1051216168829099"/>
          <c:w val="0.79176045193522182"/>
          <c:h val="0.75237527495297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设计点验证!$B$36</c:f>
              <c:strCache>
                <c:ptCount val="1"/>
                <c:pt idx="0">
                  <c:v>水泵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设计点验证!$A$37:$A$49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设计点验证!$B$37:$B$49</c:f>
              <c:numCache>
                <c:formatCode>General</c:formatCode>
                <c:ptCount val="13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  <c:pt idx="7">
                  <c:v>19.911000000000001</c:v>
                </c:pt>
                <c:pt idx="8">
                  <c:v>14.526</c:v>
                </c:pt>
                <c:pt idx="9">
                  <c:v>8.1410000000000018</c:v>
                </c:pt>
                <c:pt idx="10">
                  <c:v>0.75600000000000023</c:v>
                </c:pt>
                <c:pt idx="11">
                  <c:v>-7.6289999999999978</c:v>
                </c:pt>
                <c:pt idx="12">
                  <c:v>-17.014000000000003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8-4458-8871-484BF05FEF11}"/>
            </c:ext>
          </c:extLst>
        </c:ser>
        <c:ser>
          <c:idx val="1"/>
          <c:order val="1"/>
          <c:tx>
            <c:strRef>
              <c:f>设计点验证!$C$36</c:f>
              <c:strCache>
                <c:ptCount val="1"/>
                <c:pt idx="0">
                  <c:v>管路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设计点验证!$A$37:$A$49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设计点验证!$C$37:$C$49</c:f>
              <c:numCache>
                <c:formatCode>General</c:formatCode>
                <c:ptCount val="13"/>
                <c:pt idx="0">
                  <c:v>0</c:v>
                </c:pt>
                <c:pt idx="1">
                  <c:v>2.3690512489051523</c:v>
                </c:pt>
                <c:pt idx="2">
                  <c:v>9.4762049956206091</c:v>
                </c:pt>
                <c:pt idx="3">
                  <c:v>21.32146124014637</c:v>
                </c:pt>
                <c:pt idx="4">
                  <c:v>37.904819982482437</c:v>
                </c:pt>
                <c:pt idx="5">
                  <c:v>59.226281222628806</c:v>
                </c:pt>
                <c:pt idx="6">
                  <c:v>85.285844960585479</c:v>
                </c:pt>
                <c:pt idx="7">
                  <c:v>116.08351119635246</c:v>
                </c:pt>
                <c:pt idx="8">
                  <c:v>151.61927992992975</c:v>
                </c:pt>
                <c:pt idx="9">
                  <c:v>191.89315116131735</c:v>
                </c:pt>
                <c:pt idx="10">
                  <c:v>236.90512489051522</c:v>
                </c:pt>
                <c:pt idx="11">
                  <c:v>286.6552011175234</c:v>
                </c:pt>
                <c:pt idx="12">
                  <c:v>341.14337984234191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8-4458-8871-484BF05FEF11}"/>
            </c:ext>
          </c:extLst>
        </c:ser>
        <c:ser>
          <c:idx val="4"/>
          <c:order val="3"/>
          <c:tx>
            <c:strRef>
              <c:f>设计点验证!$A$50</c:f>
              <c:strCache>
                <c:ptCount val="1"/>
                <c:pt idx="0">
                  <c:v>设计工作点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设计点验证!$A$51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设计点验证!$B$51</c:f>
              <c:numCache>
                <c:formatCode>General</c:formatCode>
                <c:ptCount val="1"/>
                <c:pt idx="0">
                  <c:v>30.740000000000002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8-4458-8871-484BF05FEF11}"/>
            </c:ext>
          </c:extLst>
        </c:ser>
        <c:ser>
          <c:idx val="2"/>
          <c:order val="4"/>
          <c:tx>
            <c:v>实际工作点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77342856072333E-2"/>
                  <c:y val="-3.2175500889576596E-2"/>
                </c:manualLayout>
              </c:layout>
              <c:numFmt formatCode="#,##0.00_ 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B75-49A7-B50A-02C64905B9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设计点验证!$A$53</c:f>
              <c:numCache>
                <c:formatCode>General</c:formatCode>
                <c:ptCount val="1"/>
                <c:pt idx="0">
                  <c:v>180.1</c:v>
                </c:pt>
              </c:numCache>
            </c:numRef>
          </c:xVal>
          <c:yVal>
            <c:numRef>
              <c:f>设计点验证!$B$53</c:f>
              <c:numCache>
                <c:formatCode>General</c:formatCode>
                <c:ptCount val="1"/>
                <c:pt idx="0">
                  <c:v>30.737028000000002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8-4458-8871-484BF05F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00367"/>
        <c:axId val="1283133487"/>
      </c:scatterChart>
      <c:scatterChart>
        <c:scatterStyle val="smoothMarker"/>
        <c:varyColors val="0"/>
        <c:ser>
          <c:idx val="3"/>
          <c:order val="2"/>
          <c:tx>
            <c:strRef>
              <c:f>设计点验证!$D$36</c:f>
              <c:strCache>
                <c:ptCount val="1"/>
                <c:pt idx="0">
                  <c:v>效率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设计点验证!$A$37:$A$49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设计点验证!$D$37:$D$49</c:f>
              <c:numCache>
                <c:formatCode>General</c:formatCode>
                <c:ptCount val="13"/>
                <c:pt idx="0">
                  <c:v>-2.8199999999999999E-2</c:v>
                </c:pt>
                <c:pt idx="1">
                  <c:v>0.36180000000000001</c:v>
                </c:pt>
                <c:pt idx="2">
                  <c:v>0.65179999999999993</c:v>
                </c:pt>
                <c:pt idx="3">
                  <c:v>0.8418000000000001</c:v>
                </c:pt>
                <c:pt idx="4">
                  <c:v>0.93179999999999996</c:v>
                </c:pt>
                <c:pt idx="5">
                  <c:v>0.92180000000000017</c:v>
                </c:pt>
                <c:pt idx="6">
                  <c:v>0.81180000000000008</c:v>
                </c:pt>
                <c:pt idx="7">
                  <c:v>0.60179999999999989</c:v>
                </c:pt>
                <c:pt idx="8">
                  <c:v>0.29179999999999984</c:v>
                </c:pt>
                <c:pt idx="9">
                  <c:v>-0.1182000000000003</c:v>
                </c:pt>
                <c:pt idx="10">
                  <c:v>-0.62819999999999965</c:v>
                </c:pt>
                <c:pt idx="11">
                  <c:v>-1.2382000000000009</c:v>
                </c:pt>
                <c:pt idx="12">
                  <c:v>-1.9481999999999999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18-4458-8871-484BF05F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25695"/>
        <c:axId val="1288730879"/>
      </c:scatterChart>
      <c:valAx>
        <c:axId val="135730036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流量（</a:t>
                </a:r>
                <a:r>
                  <a:rPr lang="en-US" altLang="zh-CN"/>
                  <a:t>m3/h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3133487"/>
        <c:crosses val="autoZero"/>
        <c:crossBetween val="midCat"/>
      </c:valAx>
      <c:valAx>
        <c:axId val="128313348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扬程（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00367"/>
        <c:crosses val="autoZero"/>
        <c:crossBetween val="midCat"/>
      </c:valAx>
      <c:valAx>
        <c:axId val="1288730879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725695"/>
        <c:crosses val="max"/>
        <c:crossBetween val="midCat"/>
      </c:valAx>
      <c:valAx>
        <c:axId val="128872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87308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'冷冻水泵并联流量增量（2机组）'!$B$12:$B$30</c:f>
              <c:numCache>
                <c:formatCode>General</c:formatCode>
                <c:ptCount val="19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A-47E8-9644-33B2E2D884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'冷冻水泵并联流量增量（2机组）'!$C$12:$C$30</c:f>
              <c:numCache>
                <c:formatCode>General</c:formatCode>
                <c:ptCount val="19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  <c:pt idx="9">
                  <c:v>29.021000000000001</c:v>
                </c:pt>
                <c:pt idx="10">
                  <c:v>27.706000000000003</c:v>
                </c:pt>
                <c:pt idx="11">
                  <c:v>26.141000000000002</c:v>
                </c:pt>
                <c:pt idx="12">
                  <c:v>24.326000000000001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A-47E8-9644-33B2E2D884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'冷冻水泵并联流量增量（2机组）'!$D$12:$D$30</c:f>
              <c:numCache>
                <c:formatCode>General</c:formatCode>
                <c:ptCount val="19"/>
                <c:pt idx="0">
                  <c:v>29.606000000000002</c:v>
                </c:pt>
                <c:pt idx="1">
                  <c:v>30.261000000000003</c:v>
                </c:pt>
                <c:pt idx="2">
                  <c:v>30.816000000000003</c:v>
                </c:pt>
                <c:pt idx="3">
                  <c:v>31.271000000000001</c:v>
                </c:pt>
                <c:pt idx="4">
                  <c:v>31.626000000000001</c:v>
                </c:pt>
                <c:pt idx="5">
                  <c:v>31.881</c:v>
                </c:pt>
                <c:pt idx="6">
                  <c:v>32.036000000000001</c:v>
                </c:pt>
                <c:pt idx="7">
                  <c:v>32.091000000000001</c:v>
                </c:pt>
                <c:pt idx="8">
                  <c:v>32.045999999999999</c:v>
                </c:pt>
                <c:pt idx="9">
                  <c:v>31.901</c:v>
                </c:pt>
                <c:pt idx="10">
                  <c:v>31.656000000000002</c:v>
                </c:pt>
                <c:pt idx="11">
                  <c:v>31.311</c:v>
                </c:pt>
                <c:pt idx="12">
                  <c:v>30.866</c:v>
                </c:pt>
                <c:pt idx="13">
                  <c:v>30.320999999999998</c:v>
                </c:pt>
                <c:pt idx="14">
                  <c:v>29.676000000000002</c:v>
                </c:pt>
                <c:pt idx="15">
                  <c:v>28.930999999999997</c:v>
                </c:pt>
                <c:pt idx="16">
                  <c:v>28.085999999999999</c:v>
                </c:pt>
                <c:pt idx="17">
                  <c:v>27.140999999999998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A-47E8-9644-33B2E2D884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'冷冻水泵并联流量增量（2机组）'!$E$12:$E$30</c:f>
              <c:numCache>
                <c:formatCode>General</c:formatCode>
                <c:ptCount val="19"/>
                <c:pt idx="0">
                  <c:v>0</c:v>
                </c:pt>
                <c:pt idx="1">
                  <c:v>0.91595180186651426</c:v>
                </c:pt>
                <c:pt idx="2">
                  <c:v>3.663807207466057</c:v>
                </c:pt>
                <c:pt idx="3">
                  <c:v>8.2435662167986283</c:v>
                </c:pt>
                <c:pt idx="4">
                  <c:v>14.655228829864228</c:v>
                </c:pt>
                <c:pt idx="5">
                  <c:v>22.898795046662858</c:v>
                </c:pt>
                <c:pt idx="6">
                  <c:v>32.974264867194513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FA-47E8-9644-33B2E2D8849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'冷冻水泵并联流量增量（2机组）'!$F$12:$F$30</c:f>
              <c:numCache>
                <c:formatCode>General</c:formatCode>
                <c:ptCount val="19"/>
                <c:pt idx="0">
                  <c:v>0</c:v>
                </c:pt>
                <c:pt idx="1">
                  <c:v>0.55576902363089875</c:v>
                </c:pt>
                <c:pt idx="2">
                  <c:v>2.223076094523595</c:v>
                </c:pt>
                <c:pt idx="3">
                  <c:v>5.0019212126780888</c:v>
                </c:pt>
                <c:pt idx="4">
                  <c:v>8.89230437809438</c:v>
                </c:pt>
                <c:pt idx="5">
                  <c:v>13.894225590772468</c:v>
                </c:pt>
                <c:pt idx="6">
                  <c:v>20.007684850712355</c:v>
                </c:pt>
                <c:pt idx="7">
                  <c:v>27.232682157914038</c:v>
                </c:pt>
                <c:pt idx="8">
                  <c:v>35.56921751237752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A-47E8-9644-33B2E2D8849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'冷冻水泵并联流量增量（2机组）'!$A$12:$A$30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'冷冻水泵并联流量增量（2机组）'!$G$12:$G$30</c:f>
              <c:numCache>
                <c:formatCode>General</c:formatCode>
                <c:ptCount val="19"/>
                <c:pt idx="0">
                  <c:v>0</c:v>
                </c:pt>
                <c:pt idx="1">
                  <c:v>0.23576006922863132</c:v>
                </c:pt>
                <c:pt idx="2">
                  <c:v>0.9430402769145253</c:v>
                </c:pt>
                <c:pt idx="3">
                  <c:v>2.1218406230576821</c:v>
                </c:pt>
                <c:pt idx="4">
                  <c:v>3.7721611076581012</c:v>
                </c:pt>
                <c:pt idx="5">
                  <c:v>5.8940017307157833</c:v>
                </c:pt>
                <c:pt idx="6">
                  <c:v>8.4873624922307283</c:v>
                </c:pt>
                <c:pt idx="7">
                  <c:v>11.552243392202936</c:v>
                </c:pt>
                <c:pt idx="8">
                  <c:v>15.088644430632405</c:v>
                </c:pt>
                <c:pt idx="9">
                  <c:v>19.096565607519139</c:v>
                </c:pt>
                <c:pt idx="10">
                  <c:v>23.576006922863133</c:v>
                </c:pt>
                <c:pt idx="11">
                  <c:v>28.526968376664392</c:v>
                </c:pt>
                <c:pt idx="12">
                  <c:v>33.949449968922913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FA-47E8-9644-33B2E2D8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14927"/>
        <c:axId val="1478458687"/>
      </c:scatterChart>
      <c:valAx>
        <c:axId val="1290614927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58687"/>
        <c:crosses val="autoZero"/>
        <c:crossBetween val="midCat"/>
      </c:valAx>
      <c:valAx>
        <c:axId val="1478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'冷冻水泵并联流量增量（2机组）'!$B$32:$B$42</c:f>
              <c:numCache>
                <c:formatCode>General</c:formatCode>
                <c:ptCount val="11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0-4B03-ABD2-9F25AF91EF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'冷冻水泵并联流量增量（2机组）'!$C$32:$C$42</c:f>
              <c:numCache>
                <c:formatCode>General</c:formatCode>
                <c:ptCount val="11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  <c:pt idx="9">
                  <c:v>29.021000000000001</c:v>
                </c:pt>
                <c:pt idx="10">
                  <c:v>27.706000000000003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0-4B03-ABD2-9F25AF91EF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'冷冻水泵并联流量增量（2机组）'!$D$32:$D$42</c:f>
              <c:numCache>
                <c:formatCode>General</c:formatCode>
                <c:ptCount val="11"/>
                <c:pt idx="0">
                  <c:v>29.606000000000002</c:v>
                </c:pt>
                <c:pt idx="1">
                  <c:v>30.261000000000003</c:v>
                </c:pt>
                <c:pt idx="2">
                  <c:v>30.816000000000003</c:v>
                </c:pt>
                <c:pt idx="3">
                  <c:v>31.271000000000001</c:v>
                </c:pt>
                <c:pt idx="4">
                  <c:v>31.626000000000001</c:v>
                </c:pt>
                <c:pt idx="5">
                  <c:v>31.881</c:v>
                </c:pt>
                <c:pt idx="6">
                  <c:v>32.036000000000001</c:v>
                </c:pt>
                <c:pt idx="7">
                  <c:v>32.091000000000001</c:v>
                </c:pt>
                <c:pt idx="8">
                  <c:v>32.045999999999999</c:v>
                </c:pt>
                <c:pt idx="9">
                  <c:v>31.901</c:v>
                </c:pt>
                <c:pt idx="10">
                  <c:v>31.656000000000002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0-4B03-ABD2-9F25AF91EF1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'冷冻水泵并联流量增量（2机组）'!$E$32:$E$42</c:f>
              <c:numCache>
                <c:formatCode>General</c:formatCode>
                <c:ptCount val="11"/>
                <c:pt idx="0">
                  <c:v>0</c:v>
                </c:pt>
                <c:pt idx="1">
                  <c:v>2.1166902561911369</c:v>
                </c:pt>
                <c:pt idx="2">
                  <c:v>8.4667610247645477</c:v>
                </c:pt>
                <c:pt idx="3">
                  <c:v>19.050212305720233</c:v>
                </c:pt>
                <c:pt idx="4">
                  <c:v>33.867044099058191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D0-4B03-ABD2-9F25AF91EF1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'冷冻水泵并联流量增量（2机组）'!$F$32:$F$42</c:f>
              <c:numCache>
                <c:formatCode>General</c:formatCode>
                <c:ptCount val="11"/>
                <c:pt idx="0">
                  <c:v>0</c:v>
                </c:pt>
                <c:pt idx="1">
                  <c:v>1.3233018529976606</c:v>
                </c:pt>
                <c:pt idx="2">
                  <c:v>5.2932074119906423</c:v>
                </c:pt>
                <c:pt idx="3">
                  <c:v>11.909716676978945</c:v>
                </c:pt>
                <c:pt idx="4">
                  <c:v>21.172829647962569</c:v>
                </c:pt>
                <c:pt idx="5">
                  <c:v>33.082546324941518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D0-4B03-ABD2-9F25AF91EF1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'冷冻水泵并联流量增量（2机组）'!$A$32:$A$42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'冷冻水泵并联流量增量（2机组）'!$G$32:$G$42</c:f>
              <c:numCache>
                <c:formatCode>General</c:formatCode>
                <c:ptCount val="11"/>
                <c:pt idx="0">
                  <c:v>0</c:v>
                </c:pt>
                <c:pt idx="1">
                  <c:v>1.4426564055385132</c:v>
                </c:pt>
                <c:pt idx="2">
                  <c:v>5.7706256221540526</c:v>
                </c:pt>
                <c:pt idx="3">
                  <c:v>12.983907649846618</c:v>
                </c:pt>
                <c:pt idx="4">
                  <c:v>23.08250248861621</c:v>
                </c:pt>
                <c:pt idx="5">
                  <c:v>36.066410138462828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D0-4B03-ABD2-9F25AF91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14927"/>
        <c:axId val="1478458687"/>
      </c:scatterChart>
      <c:valAx>
        <c:axId val="1290614927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58687"/>
        <c:crosses val="autoZero"/>
        <c:crossBetween val="midCat"/>
      </c:valAx>
      <c:valAx>
        <c:axId val="1478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1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机组台数对系统管路曲线影响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62183443285805"/>
          <c:y val="0.12344925634295711"/>
          <c:w val="0.82665588423068737"/>
          <c:h val="0.66885753864100317"/>
        </c:manualLayout>
      </c:layout>
      <c:scatterChart>
        <c:scatterStyle val="smoothMarker"/>
        <c:varyColors val="0"/>
        <c:ser>
          <c:idx val="0"/>
          <c:order val="0"/>
          <c:tx>
            <c:v>水泵性能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机组冷却塔对管路影响!$A$11:$A$17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机组冷却塔对管路影响!$B$11:$B$17</c:f>
              <c:numCache>
                <c:formatCode>General</c:formatCode>
                <c:ptCount val="7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0-4ACC-B44E-FB8D5CBE03B7}"/>
            </c:ext>
          </c:extLst>
        </c:ser>
        <c:ser>
          <c:idx val="1"/>
          <c:order val="1"/>
          <c:tx>
            <c:v>单台机组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机组冷却塔对管路影响!$A$11:$A$17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机组冷却塔对管路影响!$C$11:$C$17</c:f>
              <c:numCache>
                <c:formatCode>General</c:formatCode>
                <c:ptCount val="7"/>
                <c:pt idx="0">
                  <c:v>0</c:v>
                </c:pt>
                <c:pt idx="1">
                  <c:v>2.1166902561911369</c:v>
                </c:pt>
                <c:pt idx="2">
                  <c:v>8.4667610247645477</c:v>
                </c:pt>
                <c:pt idx="3">
                  <c:v>19.050212305720233</c:v>
                </c:pt>
                <c:pt idx="4">
                  <c:v>33.867044099058191</c:v>
                </c:pt>
                <c:pt idx="5">
                  <c:v>52.917256404778428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0-4ACC-B44E-FB8D5CBE03B7}"/>
            </c:ext>
          </c:extLst>
        </c:ser>
        <c:ser>
          <c:idx val="2"/>
          <c:order val="2"/>
          <c:tx>
            <c:v>两台机组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机组冷却塔对管路影响!$A$11:$A$17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机组冷却塔对管路影响!$D$11:$D$17</c:f>
              <c:numCache>
                <c:formatCode>General</c:formatCode>
                <c:ptCount val="7"/>
                <c:pt idx="0">
                  <c:v>0</c:v>
                </c:pt>
                <c:pt idx="1">
                  <c:v>2.4811353565394931</c:v>
                </c:pt>
                <c:pt idx="2">
                  <c:v>9.9245414261579725</c:v>
                </c:pt>
                <c:pt idx="3">
                  <c:v>22.330218208855438</c:v>
                </c:pt>
                <c:pt idx="4">
                  <c:v>39.69816570463189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0-4ACC-B44E-FB8D5CBE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3647"/>
        <c:axId val="200929071"/>
      </c:scatterChart>
      <c:valAx>
        <c:axId val="20802364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流量（</a:t>
                </a:r>
                <a:r>
                  <a:rPr lang="en-US"/>
                  <a:t>m3/h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.42681464141306663"/>
              <c:y val="0.8894670457859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29071"/>
        <c:crosses val="autoZero"/>
        <c:crossBetween val="midCat"/>
      </c:valAx>
      <c:valAx>
        <c:axId val="20092907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扬程（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23647"/>
        <c:crosses val="autoZero"/>
        <c:crossBetween val="midCat"/>
        <c:majorUnit val="8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81613109172169"/>
          <c:y val="0.57465223097112861"/>
          <c:w val="0.19355671419450948"/>
          <c:h val="0.1984959171770195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冷冻水泵并联增量情况</a:t>
            </a:r>
          </a:p>
        </c:rich>
      </c:tx>
      <c:layout>
        <c:manualLayout>
          <c:xMode val="edge"/>
          <c:yMode val="edge"/>
          <c:x val="0.3854673344534201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413381874704"/>
          <c:y val="0.10714285714285714"/>
          <c:w val="0.79422558664172394"/>
          <c:h val="0.749213223347081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'冷冻水泵并联流量增量（1机组）'!$B$10:$B$18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  <c:pt idx="7">
                  <c:v>19.911000000000001</c:v>
                </c:pt>
                <c:pt idx="8">
                  <c:v>14.526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0-4C93-AD13-94E3237730E9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'冷冻水泵并联流量增量（1机组）'!$C$10:$C$18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0-4C93-AD13-94E3237730E9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'冷冻水泵并联流量增量（1机组）'!$D$10:$D$18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30.261000000000003</c:v>
                </c:pt>
                <c:pt idx="2">
                  <c:v>30.816000000000003</c:v>
                </c:pt>
                <c:pt idx="3">
                  <c:v>31.271000000000001</c:v>
                </c:pt>
                <c:pt idx="4">
                  <c:v>31.626000000000001</c:v>
                </c:pt>
                <c:pt idx="5">
                  <c:v>31.881</c:v>
                </c:pt>
                <c:pt idx="6">
                  <c:v>32.036000000000001</c:v>
                </c:pt>
                <c:pt idx="7">
                  <c:v>32.091000000000001</c:v>
                </c:pt>
                <c:pt idx="8">
                  <c:v>32.045999999999999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0-4C93-AD13-94E3237730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'冷冻水泵并联流量增量（1机组）'!$E$10:$E$18</c:f>
              <c:numCache>
                <c:formatCode>General</c:formatCode>
                <c:ptCount val="9"/>
                <c:pt idx="0">
                  <c:v>0</c:v>
                </c:pt>
                <c:pt idx="1">
                  <c:v>6.542461875590269</c:v>
                </c:pt>
                <c:pt idx="2">
                  <c:v>26.169847502361076</c:v>
                </c:pt>
                <c:pt idx="3">
                  <c:v>58.882156880312422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0-4C93-AD13-94E3237730E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'冷冻水泵并联流量增量（1机组）'!$F$10:$F$18</c:f>
              <c:numCache>
                <c:formatCode>General</c:formatCode>
                <c:ptCount val="9"/>
                <c:pt idx="0">
                  <c:v>0</c:v>
                </c:pt>
                <c:pt idx="1">
                  <c:v>4.4249586191418029</c:v>
                </c:pt>
                <c:pt idx="2">
                  <c:v>17.699834476567212</c:v>
                </c:pt>
                <c:pt idx="3">
                  <c:v>39.824627572276228</c:v>
                </c:pt>
                <c:pt idx="4">
                  <c:v>70.799337906268846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D0-4C93-AD13-94E3237730E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'冷冻水泵并联流量增量（1机组）'!$G$10:$G$18</c:f>
              <c:numCache>
                <c:formatCode>General</c:formatCode>
                <c:ptCount val="9"/>
                <c:pt idx="0">
                  <c:v>0</c:v>
                </c:pt>
                <c:pt idx="1">
                  <c:v>4.0832481636180695</c:v>
                </c:pt>
                <c:pt idx="2">
                  <c:v>16.332992654472278</c:v>
                </c:pt>
                <c:pt idx="3">
                  <c:v>36.749233472562629</c:v>
                </c:pt>
                <c:pt idx="4">
                  <c:v>65.331970617889112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D0-4C93-AD13-94E3237730E9}"/>
            </c:ext>
          </c:extLst>
        </c:ser>
        <c:ser>
          <c:idx val="9"/>
          <c:order val="9"/>
          <c:tx>
            <c:v>单泵工作点</c:v>
          </c:tx>
          <c:spPr>
            <a:ln w="254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'冷冻水泵并联流量增量（1机组）'!$B$3</c:f>
              <c:numCache>
                <c:formatCode>General</c:formatCode>
                <c:ptCount val="1"/>
                <c:pt idx="0">
                  <c:v>110.3</c:v>
                </c:pt>
              </c:numCache>
            </c:numRef>
          </c:xVal>
          <c:yVal>
            <c:numRef>
              <c:f>'冷冻水泵并联流量增量（1机组）'!$B$4</c:f>
              <c:numCache>
                <c:formatCode>General</c:formatCode>
                <c:ptCount val="1"/>
                <c:pt idx="0">
                  <c:v>31.838472000000003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D0-4C93-AD13-94E3237730E9}"/>
            </c:ext>
          </c:extLst>
        </c:ser>
        <c:ser>
          <c:idx val="10"/>
          <c:order val="10"/>
          <c:tx>
            <c:v>双泵工作点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'冷冻水泵并联流量增量（1机组）'!$C$3</c:f>
              <c:numCache>
                <c:formatCode>General</c:formatCode>
                <c:ptCount val="1"/>
                <c:pt idx="0">
                  <c:v>133.5</c:v>
                </c:pt>
              </c:numCache>
            </c:numRef>
          </c:xVal>
          <c:yVal>
            <c:numRef>
              <c:f>'冷冻水泵并联流量增量（1机组）'!$C$4</c:f>
              <c:numCache>
                <c:formatCode>General</c:formatCode>
                <c:ptCount val="1"/>
                <c:pt idx="0">
                  <c:v>31.545087500000001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D0-4C93-AD13-94E3237730E9}"/>
            </c:ext>
          </c:extLst>
        </c:ser>
        <c:ser>
          <c:idx val="11"/>
          <c:order val="11"/>
          <c:tx>
            <c:v>三泵工作点</c:v>
          </c:tx>
          <c:spPr>
            <a:ln w="254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'冷冻水泵并联流量增量（1机组）'!$D$3</c:f>
              <c:numCache>
                <c:formatCode>General</c:formatCode>
                <c:ptCount val="1"/>
                <c:pt idx="0">
                  <c:v>138.15</c:v>
                </c:pt>
              </c:numCache>
            </c:numRef>
          </c:xVal>
          <c:yVal>
            <c:numRef>
              <c:f>'冷冻水泵并联流量增量（1机组）'!$D$4</c:f>
              <c:numCache>
                <c:formatCode>General</c:formatCode>
                <c:ptCount val="1"/>
                <c:pt idx="0">
                  <c:v>31.172206550000002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D0-4C93-AD13-94E32377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14927"/>
        <c:axId val="1478458687"/>
      </c:scatterChart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'冷冻水泵并联流量增量（1机组）'!$H$10:$H$18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0.36180000000000001</c:v>
                </c:pt>
                <c:pt idx="2">
                  <c:v>0.65179999999999993</c:v>
                </c:pt>
                <c:pt idx="3">
                  <c:v>0.8418000000000001</c:v>
                </c:pt>
                <c:pt idx="4">
                  <c:v>0.93179999999999996</c:v>
                </c:pt>
                <c:pt idx="5">
                  <c:v>0.92180000000000017</c:v>
                </c:pt>
                <c:pt idx="6">
                  <c:v>0.81180000000000008</c:v>
                </c:pt>
                <c:pt idx="7">
                  <c:v>0.60179999999999989</c:v>
                </c:pt>
                <c:pt idx="8">
                  <c:v>0.29179999999999984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D0-4C93-AD13-94E3237730E9}"/>
            </c:ext>
          </c:extLst>
        </c:ser>
        <c:ser>
          <c:idx val="7"/>
          <c:order val="7"/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'冷冻水泵并联流量增量（1机组）'!$I$10:$I$18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0.17929999999999999</c:v>
                </c:pt>
                <c:pt idx="2">
                  <c:v>0.36180000000000001</c:v>
                </c:pt>
                <c:pt idx="3">
                  <c:v>0.51929999999999998</c:v>
                </c:pt>
                <c:pt idx="4">
                  <c:v>0.65179999999999993</c:v>
                </c:pt>
                <c:pt idx="5">
                  <c:v>0.75930000000000009</c:v>
                </c:pt>
                <c:pt idx="6">
                  <c:v>0.8418000000000001</c:v>
                </c:pt>
                <c:pt idx="7">
                  <c:v>0.89929999999999999</c:v>
                </c:pt>
                <c:pt idx="8">
                  <c:v>0.93179999999999996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D0-4C93-AD13-94E3237730E9}"/>
            </c:ext>
          </c:extLst>
        </c:ser>
        <c:ser>
          <c:idx val="8"/>
          <c:order val="8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'冷冻水泵并联流量增量（1机组）'!$J$10:$J$18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0.11179999999999998</c:v>
                </c:pt>
                <c:pt idx="2">
                  <c:v>0.24179999999999996</c:v>
                </c:pt>
                <c:pt idx="3">
                  <c:v>0.36179999999999995</c:v>
                </c:pt>
                <c:pt idx="4">
                  <c:v>0.47179999999999994</c:v>
                </c:pt>
                <c:pt idx="5">
                  <c:v>0.57179999999999997</c:v>
                </c:pt>
                <c:pt idx="6">
                  <c:v>0.66179999999999994</c:v>
                </c:pt>
                <c:pt idx="7">
                  <c:v>0.7417999999999999</c:v>
                </c:pt>
                <c:pt idx="8">
                  <c:v>0.81179999999999986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D0-4C93-AD13-94E3237730E9}"/>
            </c:ext>
          </c:extLst>
        </c:ser>
        <c:ser>
          <c:idx val="12"/>
          <c:order val="12"/>
          <c:tx>
            <c:v>单泵效率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'冷冻水泵并联流量增量（1机组）'!$B$3</c:f>
              <c:numCache>
                <c:formatCode>General</c:formatCode>
                <c:ptCount val="1"/>
                <c:pt idx="0">
                  <c:v>110.3</c:v>
                </c:pt>
              </c:numCache>
            </c:numRef>
          </c:xVal>
          <c:yVal>
            <c:numRef>
              <c:f>'冷冻水泵并联流量增量（1机组）'!$B$7</c:f>
              <c:numCache>
                <c:formatCode>General</c:formatCode>
                <c:ptCount val="1"/>
                <c:pt idx="0">
                  <c:v>0.69911820000000002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D0-4C93-AD13-94E3237730E9}"/>
            </c:ext>
          </c:extLst>
        </c:ser>
        <c:ser>
          <c:idx val="13"/>
          <c:order val="13"/>
          <c:tx>
            <c:v>双泵效率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5"/>
                </a:solidFill>
                <a:prstDash val="sysDot"/>
              </a:ln>
              <a:effectLst/>
            </c:spPr>
          </c:marker>
          <c:xVal>
            <c:numRef>
              <c:f>'冷冻水泵并联流量增量（1机组）'!$C$3</c:f>
              <c:numCache>
                <c:formatCode>General</c:formatCode>
                <c:ptCount val="1"/>
                <c:pt idx="0">
                  <c:v>133.5</c:v>
                </c:pt>
              </c:numCache>
            </c:numRef>
          </c:xVal>
          <c:yVal>
            <c:numRef>
              <c:f>'冷冻水泵并联流量增量（1机组）'!$C$7</c:f>
              <c:numCache>
                <c:formatCode>General</c:formatCode>
                <c:ptCount val="1"/>
                <c:pt idx="0">
                  <c:v>0.47008875000000006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FD0-4C93-AD13-94E3237730E9}"/>
            </c:ext>
          </c:extLst>
        </c:ser>
        <c:ser>
          <c:idx val="14"/>
          <c:order val="14"/>
          <c:tx>
            <c:v>三泵效率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'冷冻水泵并联流量增量（1机组）'!$D$3</c:f>
              <c:numCache>
                <c:formatCode>General</c:formatCode>
                <c:ptCount val="1"/>
                <c:pt idx="0">
                  <c:v>138.15</c:v>
                </c:pt>
              </c:numCache>
            </c:numRef>
          </c:xVal>
          <c:yVal>
            <c:numRef>
              <c:f>'冷冻水泵并联流量增量（1机组）'!$D$7</c:f>
              <c:numCache>
                <c:formatCode>General</c:formatCode>
                <c:ptCount val="1"/>
                <c:pt idx="0">
                  <c:v>0.33426415499999995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D0-4C93-AD13-94E32377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6239"/>
        <c:axId val="418658095"/>
      </c:scatterChart>
      <c:valAx>
        <c:axId val="12906149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流量（</a:t>
                </a:r>
                <a:r>
                  <a:rPr lang="en-US" altLang="zh-CN" sz="1100"/>
                  <a:t>m3/h</a:t>
                </a:r>
                <a:r>
                  <a:rPr lang="zh-CN" altLang="en-US" sz="110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58687"/>
        <c:crosses val="autoZero"/>
        <c:crossBetween val="midCat"/>
        <c:majorUnit val="25"/>
      </c:valAx>
      <c:valAx>
        <c:axId val="147845868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扬程（</a:t>
                </a:r>
                <a:r>
                  <a:rPr lang="en-US" altLang="zh-CN" sz="1100"/>
                  <a:t>m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1.2666145532545412E-2"/>
              <c:y val="0.34923947006624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14927"/>
        <c:crosses val="autoZero"/>
        <c:crossBetween val="midCat"/>
      </c:valAx>
      <c:valAx>
        <c:axId val="418658095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76239"/>
        <c:crosses val="max"/>
        <c:crossBetween val="midCat"/>
      </c:valAx>
      <c:valAx>
        <c:axId val="41867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6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冷冻水泵并联增量情况</a:t>
            </a:r>
          </a:p>
        </c:rich>
      </c:tx>
      <c:layout>
        <c:manualLayout>
          <c:xMode val="edge"/>
          <c:yMode val="edge"/>
          <c:x val="0.3854673344534201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413381874704"/>
          <c:y val="0.10714285714285714"/>
          <c:w val="0.79422558664172394"/>
          <c:h val="0.749213223347081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'冷冻水泵并联流量增量（2机组）2.0'!$B$10:$B$18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  <c:pt idx="7">
                  <c:v>19.911000000000001</c:v>
                </c:pt>
                <c:pt idx="8">
                  <c:v>14.526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0-4DBC-AA3D-84C4738E1883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'冷冻水泵并联流量增量（2机组）2.0'!$C$10:$C$18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0-4DBC-AA3D-84C4738E1883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'冷冻水泵并联流量增量（2机组）2.0'!$D$10:$D$18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30.261000000000003</c:v>
                </c:pt>
                <c:pt idx="2">
                  <c:v>30.816000000000003</c:v>
                </c:pt>
                <c:pt idx="3">
                  <c:v>31.271000000000001</c:v>
                </c:pt>
                <c:pt idx="4">
                  <c:v>31.626000000000001</c:v>
                </c:pt>
                <c:pt idx="5">
                  <c:v>31.881</c:v>
                </c:pt>
                <c:pt idx="6">
                  <c:v>32.036000000000001</c:v>
                </c:pt>
                <c:pt idx="7">
                  <c:v>32.091000000000001</c:v>
                </c:pt>
                <c:pt idx="8">
                  <c:v>32.045999999999999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0-4DBC-AA3D-84C4738E18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'冷冻水泵并联流量增量（2机组）2.0'!$E$10:$E$18</c:f>
              <c:numCache>
                <c:formatCode>General</c:formatCode>
                <c:ptCount val="9"/>
                <c:pt idx="0">
                  <c:v>0</c:v>
                </c:pt>
                <c:pt idx="1">
                  <c:v>3.6445809616363554</c:v>
                </c:pt>
                <c:pt idx="2">
                  <c:v>14.578323846545421</c:v>
                </c:pt>
                <c:pt idx="3">
                  <c:v>32.801228654727197</c:v>
                </c:pt>
                <c:pt idx="4">
                  <c:v>58.313295386181686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0-4DBC-AA3D-84C4738E18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'冷冻水泵并联流量增量（2机组）2.0'!$F$10:$F$18</c:f>
              <c:numCache>
                <c:formatCode>General</c:formatCode>
                <c:ptCount val="9"/>
                <c:pt idx="0">
                  <c:v>0</c:v>
                </c:pt>
                <c:pt idx="1">
                  <c:v>3.1673966046595643</c:v>
                </c:pt>
                <c:pt idx="2">
                  <c:v>12.669586418638257</c:v>
                </c:pt>
                <c:pt idx="3">
                  <c:v>28.506569441936076</c:v>
                </c:pt>
                <c:pt idx="4">
                  <c:v>50.678345674553029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00-4DBC-AA3D-84C4738E18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'冷冻水泵并联流量增量（2机组）2.0'!$G$10:$G$18</c:f>
              <c:numCache>
                <c:formatCode>General</c:formatCode>
                <c:ptCount val="9"/>
                <c:pt idx="0">
                  <c:v>0</c:v>
                </c:pt>
                <c:pt idx="1">
                  <c:v>3.3166568332248274</c:v>
                </c:pt>
                <c:pt idx="2">
                  <c:v>13.26662733289931</c:v>
                </c:pt>
                <c:pt idx="3">
                  <c:v>29.849911499023445</c:v>
                </c:pt>
                <c:pt idx="4">
                  <c:v>53.066509331597238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00-4DBC-AA3D-84C4738E1883}"/>
            </c:ext>
          </c:extLst>
        </c:ser>
        <c:ser>
          <c:idx val="9"/>
          <c:order val="9"/>
          <c:tx>
            <c:v>单泵工作点</c:v>
          </c:tx>
          <c:spPr>
            <a:ln w="254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'冷冻水泵并联流量增量（2机组）2.0'!$B$3</c:f>
              <c:numCache>
                <c:formatCode>General</c:formatCode>
                <c:ptCount val="1"/>
                <c:pt idx="0">
                  <c:v>147</c:v>
                </c:pt>
              </c:numCache>
            </c:numRef>
          </c:xVal>
          <c:yVal>
            <c:numRef>
              <c:f>'冷冻水泵并联流量增量（2机组）2.0'!$B$4</c:f>
              <c:numCache>
                <c:formatCode>General</c:formatCode>
                <c:ptCount val="1"/>
                <c:pt idx="0">
                  <c:v>31.502300000000002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00-4DBC-AA3D-84C4738E1883}"/>
            </c:ext>
          </c:extLst>
        </c:ser>
        <c:ser>
          <c:idx val="10"/>
          <c:order val="10"/>
          <c:tx>
            <c:v>双泵工作点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'冷冻水泵并联流量增量（2机组）2.0'!$C$3</c:f>
              <c:numCache>
                <c:formatCode>General</c:formatCode>
                <c:ptCount val="1"/>
                <c:pt idx="0">
                  <c:v>158.19999999999999</c:v>
                </c:pt>
              </c:numCache>
            </c:numRef>
          </c:xVal>
          <c:yVal>
            <c:numRef>
              <c:f>'冷冻水泵并联流量增量（2机组）2.0'!$C$4</c:f>
              <c:numCache>
                <c:formatCode>General</c:formatCode>
                <c:ptCount val="1"/>
                <c:pt idx="0">
                  <c:v>31.708478000000003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00-4DBC-AA3D-84C4738E1883}"/>
            </c:ext>
          </c:extLst>
        </c:ser>
        <c:ser>
          <c:idx val="11"/>
          <c:order val="11"/>
          <c:tx>
            <c:v>三泵工作点</c:v>
          </c:tx>
          <c:spPr>
            <a:ln w="254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'冷冻水泵并联流量增量（2机组）2.0'!$D$3</c:f>
              <c:numCache>
                <c:formatCode>General</c:formatCode>
                <c:ptCount val="1"/>
                <c:pt idx="0">
                  <c:v>153.6</c:v>
                </c:pt>
              </c:numCache>
            </c:numRef>
          </c:xVal>
          <c:yVal>
            <c:numRef>
              <c:f>'冷冻水泵并联流量增量（2机组）2.0'!$D$4</c:f>
              <c:numCache>
                <c:formatCode>General</c:formatCode>
                <c:ptCount val="1"/>
                <c:pt idx="0">
                  <c:v>31.299900800000003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00-4DBC-AA3D-84C4738E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14927"/>
        <c:axId val="1478458687"/>
      </c:scatterChart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'冷冻水泵并联流量增量（2机组）2.0'!$H$10:$H$18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0.36180000000000001</c:v>
                </c:pt>
                <c:pt idx="2">
                  <c:v>0.65179999999999993</c:v>
                </c:pt>
                <c:pt idx="3">
                  <c:v>0.8418000000000001</c:v>
                </c:pt>
                <c:pt idx="4">
                  <c:v>0.93179999999999996</c:v>
                </c:pt>
                <c:pt idx="5">
                  <c:v>0.92180000000000017</c:v>
                </c:pt>
                <c:pt idx="6">
                  <c:v>0.81180000000000008</c:v>
                </c:pt>
                <c:pt idx="7">
                  <c:v>0.60179999999999989</c:v>
                </c:pt>
                <c:pt idx="8">
                  <c:v>0.29179999999999984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00-4DBC-AA3D-84C4738E1883}"/>
            </c:ext>
          </c:extLst>
        </c:ser>
        <c:ser>
          <c:idx val="7"/>
          <c:order val="7"/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'冷冻水泵并联流量增量（2机组）2.0'!$I$10:$I$18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0.17929999999999999</c:v>
                </c:pt>
                <c:pt idx="2">
                  <c:v>0.36180000000000001</c:v>
                </c:pt>
                <c:pt idx="3">
                  <c:v>0.51929999999999998</c:v>
                </c:pt>
                <c:pt idx="4">
                  <c:v>0.65179999999999993</c:v>
                </c:pt>
                <c:pt idx="5">
                  <c:v>0.75930000000000009</c:v>
                </c:pt>
                <c:pt idx="6">
                  <c:v>0.8418000000000001</c:v>
                </c:pt>
                <c:pt idx="7">
                  <c:v>0.89929999999999999</c:v>
                </c:pt>
                <c:pt idx="8">
                  <c:v>0.93179999999999996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00-4DBC-AA3D-84C4738E1883}"/>
            </c:ext>
          </c:extLst>
        </c:ser>
        <c:ser>
          <c:idx val="8"/>
          <c:order val="8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'冷冻水泵并联流量增量（1机组）'!$A$10:$A$18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'冷冻水泵并联流量增量（2机组）2.0'!$J$10:$J$18</c:f>
              <c:numCache>
                <c:formatCode>General</c:formatCode>
                <c:ptCount val="9"/>
                <c:pt idx="0">
                  <c:v>-2.8199999999999999E-2</c:v>
                </c:pt>
                <c:pt idx="1">
                  <c:v>0.11179999999999998</c:v>
                </c:pt>
                <c:pt idx="2">
                  <c:v>0.24179999999999996</c:v>
                </c:pt>
                <c:pt idx="3">
                  <c:v>0.36179999999999995</c:v>
                </c:pt>
                <c:pt idx="4">
                  <c:v>0.47179999999999994</c:v>
                </c:pt>
                <c:pt idx="5">
                  <c:v>0.57179999999999997</c:v>
                </c:pt>
                <c:pt idx="6">
                  <c:v>0.66179999999999994</c:v>
                </c:pt>
                <c:pt idx="7">
                  <c:v>0.7417999999999999</c:v>
                </c:pt>
                <c:pt idx="8">
                  <c:v>0.81179999999999986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00-4DBC-AA3D-84C4738E1883}"/>
            </c:ext>
          </c:extLst>
        </c:ser>
        <c:ser>
          <c:idx val="12"/>
          <c:order val="12"/>
          <c:tx>
            <c:v>单泵效率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'冷冻水泵并联流量增量（2机组）2.0'!$B$3</c:f>
              <c:numCache>
                <c:formatCode>General</c:formatCode>
                <c:ptCount val="1"/>
                <c:pt idx="0">
                  <c:v>147</c:v>
                </c:pt>
              </c:numCache>
            </c:numRef>
          </c:xVal>
          <c:yVal>
            <c:numRef>
              <c:f>'冷冻水泵并联流量增量（2机组）2.0'!$B$7</c:f>
              <c:numCache>
                <c:formatCode>General</c:formatCode>
                <c:ptCount val="1"/>
                <c:pt idx="0">
                  <c:v>0.83322000000000007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00-4DBC-AA3D-84C4738E1883}"/>
            </c:ext>
          </c:extLst>
        </c:ser>
        <c:ser>
          <c:idx val="13"/>
          <c:order val="13"/>
          <c:tx>
            <c:v>双泵效率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5"/>
                </a:solidFill>
                <a:prstDash val="sysDot"/>
              </a:ln>
              <a:effectLst/>
            </c:spPr>
          </c:marker>
          <c:xVal>
            <c:numRef>
              <c:f>'冷冻水泵并联流量增量（2机组）2.0'!$C$3</c:f>
              <c:numCache>
                <c:formatCode>General</c:formatCode>
                <c:ptCount val="1"/>
                <c:pt idx="0">
                  <c:v>158.19999999999999</c:v>
                </c:pt>
              </c:numCache>
            </c:numRef>
          </c:xVal>
          <c:yVal>
            <c:numRef>
              <c:f>'冷冻水泵并联流量增量（2机组）2.0'!$C$7</c:f>
              <c:numCache>
                <c:formatCode>General</c:formatCode>
                <c:ptCount val="1"/>
                <c:pt idx="0">
                  <c:v>0.5427438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00-4DBC-AA3D-84C4738E1883}"/>
            </c:ext>
          </c:extLst>
        </c:ser>
        <c:ser>
          <c:idx val="14"/>
          <c:order val="14"/>
          <c:tx>
            <c:v>三泵效率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'冷冻水泵并联流量增量（2机组）2.0'!$D$3</c:f>
              <c:numCache>
                <c:formatCode>General</c:formatCode>
                <c:ptCount val="1"/>
                <c:pt idx="0">
                  <c:v>153.6</c:v>
                </c:pt>
              </c:numCache>
            </c:numRef>
          </c:xVal>
          <c:yVal>
            <c:numRef>
              <c:f>'冷冻水泵并联流量增量（2机组）2.0'!$D$7</c:f>
              <c:numCache>
                <c:formatCode>General</c:formatCode>
                <c:ptCount val="1"/>
                <c:pt idx="0">
                  <c:v>0.37005407999999995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00-4DBC-AA3D-84C4738E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6239"/>
        <c:axId val="418658095"/>
      </c:scatterChart>
      <c:valAx>
        <c:axId val="12906149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流量（</a:t>
                </a:r>
                <a:r>
                  <a:rPr lang="en-US" altLang="zh-CN" sz="1100"/>
                  <a:t>m3/h</a:t>
                </a:r>
                <a:r>
                  <a:rPr lang="zh-CN" altLang="en-US" sz="1100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458687"/>
        <c:crosses val="autoZero"/>
        <c:crossBetween val="midCat"/>
        <c:majorUnit val="25"/>
      </c:valAx>
      <c:valAx>
        <c:axId val="147845868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扬程（</a:t>
                </a:r>
                <a:r>
                  <a:rPr lang="en-US" altLang="zh-CN" sz="1100"/>
                  <a:t>m</a:t>
                </a:r>
                <a:r>
                  <a:rPr lang="zh-CN" altLang="en-US" sz="1100"/>
                  <a:t>）</a:t>
                </a:r>
              </a:p>
            </c:rich>
          </c:tx>
          <c:layout>
            <c:manualLayout>
              <c:xMode val="edge"/>
              <c:yMode val="edge"/>
              <c:x val="1.2666145532545412E-2"/>
              <c:y val="0.34923947006624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14927"/>
        <c:crosses val="autoZero"/>
        <c:crossBetween val="midCat"/>
      </c:valAx>
      <c:valAx>
        <c:axId val="418658095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76239"/>
        <c:crosses val="max"/>
        <c:crossBetween val="midCat"/>
      </c:valAx>
      <c:valAx>
        <c:axId val="418676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6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变频台数优化!$A$11:$A$19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变频台数优化!$B$11:$B$19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31.221</c:v>
                </c:pt>
                <c:pt idx="2">
                  <c:v>31.836000000000002</c:v>
                </c:pt>
                <c:pt idx="3">
                  <c:v>31.451000000000001</c:v>
                </c:pt>
                <c:pt idx="4">
                  <c:v>30.066000000000003</c:v>
                </c:pt>
                <c:pt idx="5">
                  <c:v>27.681000000000001</c:v>
                </c:pt>
                <c:pt idx="6">
                  <c:v>24.295999999999999</c:v>
                </c:pt>
                <c:pt idx="7">
                  <c:v>19.911000000000001</c:v>
                </c:pt>
                <c:pt idx="8">
                  <c:v>14.526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9-4488-9688-8DAFC896F5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变频台数优化!$A$11:$A$19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变频台数优化!$C$11:$C$19</c:f>
              <c:numCache>
                <c:formatCode>General</c:formatCode>
                <c:ptCount val="9"/>
                <c:pt idx="0">
                  <c:v>26.159861599999999</c:v>
                </c:pt>
                <c:pt idx="1">
                  <c:v>27.031261600000001</c:v>
                </c:pt>
                <c:pt idx="2">
                  <c:v>27.652661599999998</c:v>
                </c:pt>
                <c:pt idx="3">
                  <c:v>28.0240616</c:v>
                </c:pt>
                <c:pt idx="4">
                  <c:v>28.145461599999997</c:v>
                </c:pt>
                <c:pt idx="5">
                  <c:v>28.016861599999999</c:v>
                </c:pt>
                <c:pt idx="6">
                  <c:v>27.6382616</c:v>
                </c:pt>
                <c:pt idx="7">
                  <c:v>27.009661599999998</c:v>
                </c:pt>
                <c:pt idx="8">
                  <c:v>26.131061599999999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9-4488-9688-8DAFC896F5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变频台数优化!$A$11:$A$19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变频台数优化!$D$11:$D$19</c:f>
              <c:numCache>
                <c:formatCode>General</c:formatCode>
                <c:ptCount val="9"/>
                <c:pt idx="0">
                  <c:v>26.159861599999999</c:v>
                </c:pt>
                <c:pt idx="1">
                  <c:v>26.7725616</c:v>
                </c:pt>
                <c:pt idx="2">
                  <c:v>27.285261599999998</c:v>
                </c:pt>
                <c:pt idx="3">
                  <c:v>27.697961599999999</c:v>
                </c:pt>
                <c:pt idx="4">
                  <c:v>28.010661599999999</c:v>
                </c:pt>
                <c:pt idx="5">
                  <c:v>28.2233616</c:v>
                </c:pt>
                <c:pt idx="6">
                  <c:v>28.336061600000001</c:v>
                </c:pt>
                <c:pt idx="7">
                  <c:v>28.3487616</c:v>
                </c:pt>
                <c:pt idx="8">
                  <c:v>28.261461599999997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79-4488-9688-8DAFC896F5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变频台数优化!$A$11:$A$19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变频台数优化!$E$11:$E$19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30.541</c:v>
                </c:pt>
                <c:pt idx="2">
                  <c:v>31.226000000000003</c:v>
                </c:pt>
                <c:pt idx="3">
                  <c:v>31.661000000000001</c:v>
                </c:pt>
                <c:pt idx="4">
                  <c:v>31.846000000000004</c:v>
                </c:pt>
                <c:pt idx="5">
                  <c:v>31.781000000000002</c:v>
                </c:pt>
                <c:pt idx="6">
                  <c:v>31.466000000000001</c:v>
                </c:pt>
                <c:pt idx="7">
                  <c:v>30.901000000000003</c:v>
                </c:pt>
                <c:pt idx="8">
                  <c:v>30.086000000000002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79-4488-9688-8DAFC896F5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变频台数优化!$A$11:$A$19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变频台数优化!$F$11:$F$19</c:f>
              <c:numCache>
                <c:formatCode>General</c:formatCode>
                <c:ptCount val="9"/>
                <c:pt idx="0">
                  <c:v>29.606000000000002</c:v>
                </c:pt>
                <c:pt idx="1">
                  <c:v>30.261000000000003</c:v>
                </c:pt>
                <c:pt idx="2">
                  <c:v>30.816000000000003</c:v>
                </c:pt>
                <c:pt idx="3">
                  <c:v>31.271000000000001</c:v>
                </c:pt>
                <c:pt idx="4">
                  <c:v>31.626000000000001</c:v>
                </c:pt>
                <c:pt idx="5">
                  <c:v>31.881</c:v>
                </c:pt>
                <c:pt idx="6">
                  <c:v>32.036000000000001</c:v>
                </c:pt>
                <c:pt idx="7">
                  <c:v>32.091000000000001</c:v>
                </c:pt>
                <c:pt idx="8">
                  <c:v>32.045999999999999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79-4488-9688-8DAFC896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44559"/>
        <c:axId val="708859215"/>
      </c:scatterChart>
      <c:valAx>
        <c:axId val="5296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859215"/>
        <c:crosses val="autoZero"/>
        <c:crossBetween val="midCat"/>
      </c:valAx>
      <c:valAx>
        <c:axId val="7088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1#</a:t>
            </a:r>
            <a:r>
              <a:rPr lang="zh-CN" altLang="en-US"/>
              <a:t>机组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机组性能!$B$9:$W$9</c:f>
              <c:numCache>
                <c:formatCode>0.00%</c:formatCode>
                <c:ptCount val="22"/>
                <c:pt idx="0">
                  <c:v>0.35410933773619524</c:v>
                </c:pt>
                <c:pt idx="1">
                  <c:v>0.38858924967895792</c:v>
                </c:pt>
                <c:pt idx="2">
                  <c:v>0.39029719317556411</c:v>
                </c:pt>
                <c:pt idx="3">
                  <c:v>0.37487433498440653</c:v>
                </c:pt>
                <c:pt idx="4">
                  <c:v>0.37083348621048134</c:v>
                </c:pt>
                <c:pt idx="5">
                  <c:v>0.40024949550541183</c:v>
                </c:pt>
                <c:pt idx="6">
                  <c:v>0.26173913043478264</c:v>
                </c:pt>
                <c:pt idx="7">
                  <c:v>0.43271326362135387</c:v>
                </c:pt>
                <c:pt idx="8">
                  <c:v>0.35354430379746848</c:v>
                </c:pt>
                <c:pt idx="9">
                  <c:v>0.30546933284412647</c:v>
                </c:pt>
                <c:pt idx="10">
                  <c:v>0.3151862043661714</c:v>
                </c:pt>
                <c:pt idx="11">
                  <c:v>0.49807741698770852</c:v>
                </c:pt>
                <c:pt idx="12">
                  <c:v>0.4157023176175626</c:v>
                </c:pt>
                <c:pt idx="13">
                  <c:v>0.70925457102672274</c:v>
                </c:pt>
                <c:pt idx="14">
                  <c:v>0.41799669785360477</c:v>
                </c:pt>
                <c:pt idx="15">
                  <c:v>0.38096557206628745</c:v>
                </c:pt>
                <c:pt idx="16">
                  <c:v>0.3862777472023482</c:v>
                </c:pt>
                <c:pt idx="17">
                  <c:v>0.58249862410566866</c:v>
                </c:pt>
                <c:pt idx="18">
                  <c:v>0.44008438818565415</c:v>
                </c:pt>
                <c:pt idx="19">
                  <c:v>0.35740964960557692</c:v>
                </c:pt>
                <c:pt idx="20">
                  <c:v>0.3978780651868159</c:v>
                </c:pt>
                <c:pt idx="21">
                  <c:v>0.39829113924050641</c:v>
                </c:pt>
              </c:numCache>
            </c:numRef>
          </c:xVal>
          <c:yVal>
            <c:numRef>
              <c:f>机组性能!$B$10:$W$10</c:f>
              <c:numCache>
                <c:formatCode>General</c:formatCode>
                <c:ptCount val="22"/>
                <c:pt idx="0">
                  <c:v>7.8657294213528948</c:v>
                </c:pt>
                <c:pt idx="1">
                  <c:v>7.8220088626292448</c:v>
                </c:pt>
                <c:pt idx="2">
                  <c:v>7.3261363636363637</c:v>
                </c:pt>
                <c:pt idx="3">
                  <c:v>7.8292720306513406</c:v>
                </c:pt>
                <c:pt idx="4">
                  <c:v>7.61647827179101</c:v>
                </c:pt>
                <c:pt idx="5">
                  <c:v>7.9961883818948136</c:v>
                </c:pt>
                <c:pt idx="6">
                  <c:v>9.799038461538462</c:v>
                </c:pt>
                <c:pt idx="7">
                  <c:v>7.9740365111561875</c:v>
                </c:pt>
                <c:pt idx="8">
                  <c:v>8.58236472945892</c:v>
                </c:pt>
                <c:pt idx="9">
                  <c:v>7.7174329501915713</c:v>
                </c:pt>
                <c:pt idx="10">
                  <c:v>9.0425263157894733</c:v>
                </c:pt>
                <c:pt idx="11">
                  <c:v>8.759259259259256</c:v>
                </c:pt>
                <c:pt idx="12">
                  <c:v>7.2802998661311928</c:v>
                </c:pt>
                <c:pt idx="13">
                  <c:v>7.8804457127327066</c:v>
                </c:pt>
                <c:pt idx="14">
                  <c:v>8.2345500542103345</c:v>
                </c:pt>
                <c:pt idx="15">
                  <c:v>7.5956230187759077</c:v>
                </c:pt>
                <c:pt idx="16">
                  <c:v>7.7708886920578681</c:v>
                </c:pt>
                <c:pt idx="17">
                  <c:v>7.9963735267452405</c:v>
                </c:pt>
                <c:pt idx="18">
                  <c:v>8.4706920903954828</c:v>
                </c:pt>
                <c:pt idx="19">
                  <c:v>8.272781316348194</c:v>
                </c:pt>
                <c:pt idx="20">
                  <c:v>8.196649029982364</c:v>
                </c:pt>
                <c:pt idx="21">
                  <c:v>13.016097122302162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2-4222-96C5-0BB840DE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34831"/>
        <c:axId val="831324751"/>
      </c:scatterChart>
      <c:valAx>
        <c:axId val="756834831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4751"/>
        <c:crosses val="autoZero"/>
        <c:crossBetween val="midCat"/>
      </c:valAx>
      <c:valAx>
        <c:axId val="83132475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8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10</xdr:row>
      <xdr:rowOff>31750</xdr:rowOff>
    </xdr:from>
    <xdr:to>
      <xdr:col>13</xdr:col>
      <xdr:colOff>565150</xdr:colOff>
      <xdr:row>27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090DCC-27D9-4874-AF95-2C3407FCD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32</xdr:row>
      <xdr:rowOff>171450</xdr:rowOff>
    </xdr:from>
    <xdr:to>
      <xdr:col>13</xdr:col>
      <xdr:colOff>104776</xdr:colOff>
      <xdr:row>50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4C8904-8A57-4972-B359-9665093E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168274</xdr:colOff>
      <xdr:row>11</xdr:row>
      <xdr:rowOff>0</xdr:rowOff>
    </xdr:from>
    <xdr:to>
      <xdr:col>14</xdr:col>
      <xdr:colOff>584200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F0B6DC-2351-4B91-9724-93002628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32</xdr:row>
      <xdr:rowOff>0</xdr:rowOff>
    </xdr:from>
    <xdr:to>
      <xdr:col>15</xdr:col>
      <xdr:colOff>295276</xdr:colOff>
      <xdr:row>50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DD11C2-9320-4446-ACAC-C3617ABE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82550</xdr:rowOff>
    </xdr:from>
    <xdr:to>
      <xdr:col>7</xdr:col>
      <xdr:colOff>190500</xdr:colOff>
      <xdr:row>32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DDF6DA-9671-4610-AE72-23A8BA66E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22</xdr:row>
      <xdr:rowOff>63500</xdr:rowOff>
    </xdr:from>
    <xdr:to>
      <xdr:col>8</xdr:col>
      <xdr:colOff>504826</xdr:colOff>
      <xdr:row>40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276986-92A7-4AFF-B4AE-D996837B8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18</xdr:row>
      <xdr:rowOff>146050</xdr:rowOff>
    </xdr:from>
    <xdr:to>
      <xdr:col>9</xdr:col>
      <xdr:colOff>73026</xdr:colOff>
      <xdr:row>36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33E362-839E-429D-AFC6-DF95D8D9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1</xdr:row>
      <xdr:rowOff>76200</xdr:rowOff>
    </xdr:from>
    <xdr:to>
      <xdr:col>15</xdr:col>
      <xdr:colOff>101599</xdr:colOff>
      <xdr:row>20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8C255-BD38-437D-B062-516CF6EC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57150</xdr:rowOff>
    </xdr:from>
    <xdr:to>
      <xdr:col>6</xdr:col>
      <xdr:colOff>457200</xdr:colOff>
      <xdr:row>36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570A5C-8B6C-4300-8753-2A03691FA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21</xdr:row>
      <xdr:rowOff>44450</xdr:rowOff>
    </xdr:from>
    <xdr:to>
      <xdr:col>13</xdr:col>
      <xdr:colOff>615950</xdr:colOff>
      <xdr:row>36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284BCB-20E0-40BC-8A58-FBE9CCCC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56</xdr:row>
      <xdr:rowOff>0</xdr:rowOff>
    </xdr:from>
    <xdr:to>
      <xdr:col>9</xdr:col>
      <xdr:colOff>492125</xdr:colOff>
      <xdr:row>71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0A788D-04B6-45F2-B12B-8F1A7165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19</xdr:row>
      <xdr:rowOff>0</xdr:rowOff>
    </xdr:from>
    <xdr:to>
      <xdr:col>7</xdr:col>
      <xdr:colOff>206375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E8DA20-2985-408A-A027-9677E6B2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18</xdr:row>
      <xdr:rowOff>152400</xdr:rowOff>
    </xdr:from>
    <xdr:to>
      <xdr:col>14</xdr:col>
      <xdr:colOff>527050</xdr:colOff>
      <xdr:row>34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FB3D4E-B818-4302-BB7A-CA60B829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2"/>
  <sheetViews>
    <sheetView zoomScale="60" zoomScaleNormal="60" workbookViewId="0">
      <pane ySplit="1" topLeftCell="A35" activePane="bottomLeft" state="frozen"/>
      <selection pane="bottomLeft" activeCell="K24" sqref="C3:K24"/>
    </sheetView>
  </sheetViews>
  <sheetFormatPr defaultRowHeight="14.25"/>
  <cols>
    <col min="1" max="1" width="5.5" style="11" customWidth="1"/>
    <col min="2" max="2" width="13.625" customWidth="1"/>
    <col min="6" max="6" width="10.75" customWidth="1"/>
  </cols>
  <sheetData>
    <row r="1" spans="1:44">
      <c r="C1" s="1" t="s">
        <v>38</v>
      </c>
      <c r="F1" s="1" t="s">
        <v>39</v>
      </c>
      <c r="I1" s="1" t="s">
        <v>40</v>
      </c>
      <c r="L1" s="1" t="s">
        <v>41</v>
      </c>
      <c r="O1" s="1" t="s">
        <v>42</v>
      </c>
      <c r="R1" s="1" t="s">
        <v>54</v>
      </c>
      <c r="U1" s="1" t="s">
        <v>55</v>
      </c>
      <c r="X1" s="1" t="s">
        <v>56</v>
      </c>
      <c r="AA1" s="1" t="s">
        <v>57</v>
      </c>
      <c r="AD1" s="1" t="s">
        <v>58</v>
      </c>
      <c r="AG1" s="1" t="s">
        <v>87</v>
      </c>
      <c r="AJ1" s="1" t="s">
        <v>88</v>
      </c>
      <c r="AM1" s="1" t="s">
        <v>89</v>
      </c>
      <c r="AP1" s="1" t="s">
        <v>90</v>
      </c>
    </row>
    <row r="2" spans="1:44">
      <c r="C2" s="2"/>
      <c r="D2" t="s">
        <v>30</v>
      </c>
      <c r="E2" t="s">
        <v>31</v>
      </c>
      <c r="F2" s="2"/>
      <c r="G2" t="s">
        <v>30</v>
      </c>
      <c r="H2" t="s">
        <v>31</v>
      </c>
      <c r="I2" s="2"/>
      <c r="J2" t="s">
        <v>30</v>
      </c>
      <c r="K2" t="s">
        <v>31</v>
      </c>
      <c r="L2" s="2"/>
      <c r="M2" t="s">
        <v>30</v>
      </c>
      <c r="N2" t="s">
        <v>31</v>
      </c>
      <c r="P2" t="s">
        <v>30</v>
      </c>
      <c r="Q2" t="s">
        <v>31</v>
      </c>
      <c r="S2" t="s">
        <v>30</v>
      </c>
      <c r="T2" t="s">
        <v>31</v>
      </c>
      <c r="V2" t="s">
        <v>30</v>
      </c>
      <c r="W2" t="s">
        <v>31</v>
      </c>
      <c r="Y2" t="s">
        <v>30</v>
      </c>
      <c r="Z2" t="s">
        <v>31</v>
      </c>
      <c r="AB2" t="s">
        <v>30</v>
      </c>
      <c r="AC2" t="s">
        <v>31</v>
      </c>
      <c r="AE2" t="s">
        <v>30</v>
      </c>
      <c r="AF2" t="s">
        <v>31</v>
      </c>
      <c r="AH2" t="s">
        <v>30</v>
      </c>
      <c r="AI2" t="s">
        <v>31</v>
      </c>
      <c r="AK2" t="s">
        <v>30</v>
      </c>
      <c r="AL2" t="s">
        <v>31</v>
      </c>
      <c r="AN2" t="s">
        <v>30</v>
      </c>
      <c r="AO2" t="s">
        <v>31</v>
      </c>
      <c r="AQ2" t="s">
        <v>30</v>
      </c>
      <c r="AR2" t="s">
        <v>31</v>
      </c>
    </row>
    <row r="3" spans="1:44" s="12" customFormat="1">
      <c r="A3" s="43" t="s">
        <v>141</v>
      </c>
      <c r="B3" s="12" t="s">
        <v>8</v>
      </c>
      <c r="C3" s="12">
        <v>7</v>
      </c>
      <c r="D3" s="12">
        <v>6</v>
      </c>
      <c r="E3" s="12">
        <v>7.4</v>
      </c>
      <c r="F3" s="12">
        <v>7.1</v>
      </c>
      <c r="G3" s="12">
        <v>6.2</v>
      </c>
      <c r="H3" s="12">
        <v>7.4</v>
      </c>
      <c r="I3" s="12">
        <v>7.1</v>
      </c>
      <c r="J3" s="12">
        <v>6.2</v>
      </c>
      <c r="K3" s="12">
        <v>7.3</v>
      </c>
      <c r="L3" s="12">
        <v>6.9</v>
      </c>
      <c r="M3" s="12">
        <v>6.5</v>
      </c>
      <c r="N3" s="12">
        <v>7.4</v>
      </c>
      <c r="O3" s="12">
        <v>7.2</v>
      </c>
      <c r="P3" s="12">
        <v>6.5</v>
      </c>
      <c r="Q3" s="12">
        <v>7.4</v>
      </c>
      <c r="R3" s="12">
        <v>7</v>
      </c>
      <c r="S3" s="12">
        <v>6.8</v>
      </c>
      <c r="T3" s="12">
        <v>7.1</v>
      </c>
      <c r="U3" s="12">
        <v>7.1</v>
      </c>
      <c r="V3" s="12">
        <v>6.2</v>
      </c>
      <c r="W3" s="12">
        <v>7.4</v>
      </c>
      <c r="X3" s="12">
        <v>6.9</v>
      </c>
      <c r="Y3" s="12">
        <v>7</v>
      </c>
      <c r="Z3" s="12">
        <v>7.5</v>
      </c>
      <c r="AA3" s="12">
        <v>6.9</v>
      </c>
      <c r="AB3" s="12">
        <v>6.7</v>
      </c>
      <c r="AC3" s="12">
        <v>7.5</v>
      </c>
      <c r="AD3" s="12">
        <v>7.1</v>
      </c>
      <c r="AE3" s="12">
        <v>6.5</v>
      </c>
      <c r="AF3" s="12">
        <v>7.5</v>
      </c>
      <c r="AG3" s="12">
        <v>6.9</v>
      </c>
      <c r="AH3" s="12">
        <v>6.6</v>
      </c>
      <c r="AI3" s="12">
        <v>7.5</v>
      </c>
      <c r="AJ3" s="12">
        <v>7.2</v>
      </c>
      <c r="AK3" s="12">
        <v>6.2</v>
      </c>
      <c r="AL3" s="12">
        <v>7.5</v>
      </c>
      <c r="AM3" s="12">
        <v>7</v>
      </c>
      <c r="AN3" s="12">
        <v>6.6</v>
      </c>
      <c r="AO3" s="12">
        <v>7.5</v>
      </c>
      <c r="AP3" s="12">
        <v>7.2</v>
      </c>
      <c r="AQ3" s="12">
        <v>6.2</v>
      </c>
      <c r="AR3" s="12">
        <v>7.4</v>
      </c>
    </row>
    <row r="4" spans="1:44" s="12" customFormat="1">
      <c r="A4" s="43"/>
      <c r="B4" s="12" t="s">
        <v>9</v>
      </c>
      <c r="C4" s="12">
        <v>8.9</v>
      </c>
      <c r="D4" s="12">
        <v>8.9</v>
      </c>
      <c r="E4" s="12">
        <v>9.5</v>
      </c>
      <c r="F4" s="12">
        <v>9.1</v>
      </c>
      <c r="G4" s="12">
        <v>8.5</v>
      </c>
      <c r="H4" s="12">
        <v>9.3000000000000007</v>
      </c>
      <c r="I4" s="12">
        <v>9.1</v>
      </c>
      <c r="J4" s="12">
        <v>9.8000000000000007</v>
      </c>
      <c r="K4" s="12">
        <v>9.5</v>
      </c>
      <c r="L4" s="12">
        <v>8.9</v>
      </c>
      <c r="M4" s="12">
        <v>9</v>
      </c>
      <c r="N4" s="12">
        <v>9.5</v>
      </c>
      <c r="O4" s="12">
        <v>8.9</v>
      </c>
      <c r="P4" s="12">
        <v>8.8000000000000007</v>
      </c>
      <c r="Q4" s="12">
        <v>9.3000000000000007</v>
      </c>
      <c r="R4" s="12">
        <v>9.6999999999999993</v>
      </c>
      <c r="S4" s="12">
        <v>9.9</v>
      </c>
      <c r="T4" s="12">
        <v>10.5</v>
      </c>
      <c r="U4" s="12">
        <v>9.1999999999999993</v>
      </c>
      <c r="V4" s="12">
        <v>9</v>
      </c>
      <c r="W4" s="12">
        <v>9.5</v>
      </c>
      <c r="X4" s="12">
        <v>8.9</v>
      </c>
      <c r="Y4" s="12">
        <v>9.1</v>
      </c>
      <c r="Z4" s="12">
        <v>9.5</v>
      </c>
      <c r="AA4" s="12">
        <v>9</v>
      </c>
      <c r="AB4" s="12">
        <v>9.1</v>
      </c>
      <c r="AC4" s="12">
        <v>9.4</v>
      </c>
      <c r="AD4" s="12">
        <v>9.6999999999999993</v>
      </c>
      <c r="AE4" s="12">
        <v>9.5</v>
      </c>
      <c r="AF4" s="12">
        <v>10</v>
      </c>
      <c r="AG4" s="12">
        <v>8.9</v>
      </c>
      <c r="AH4" s="12">
        <v>9.5</v>
      </c>
      <c r="AI4" s="12">
        <v>9.5</v>
      </c>
      <c r="AJ4" s="12">
        <v>10.199999999999999</v>
      </c>
      <c r="AK4" s="12">
        <v>10</v>
      </c>
      <c r="AL4" s="12">
        <v>10.5</v>
      </c>
      <c r="AM4" s="12">
        <v>9.1</v>
      </c>
      <c r="AN4" s="12">
        <v>9</v>
      </c>
      <c r="AO4" s="12">
        <v>9.5</v>
      </c>
      <c r="AP4" s="12">
        <v>9.3000000000000007</v>
      </c>
      <c r="AQ4" s="12">
        <v>9</v>
      </c>
      <c r="AR4" s="12">
        <v>9.4</v>
      </c>
    </row>
    <row r="5" spans="1:44" s="12" customFormat="1">
      <c r="A5" s="43"/>
      <c r="B5" s="12" t="s">
        <v>11</v>
      </c>
      <c r="C5" s="12">
        <v>119.7</v>
      </c>
      <c r="F5" s="12">
        <v>115.1</v>
      </c>
      <c r="I5" s="12">
        <v>94.4</v>
      </c>
      <c r="L5" s="12">
        <v>176.3</v>
      </c>
      <c r="O5" s="12">
        <v>164.6</v>
      </c>
      <c r="R5" s="12">
        <v>180.1</v>
      </c>
      <c r="U5" s="12">
        <v>139.5</v>
      </c>
      <c r="X5" s="12">
        <v>145.9</v>
      </c>
      <c r="AA5" s="12">
        <v>141</v>
      </c>
      <c r="AD5" s="12">
        <v>168</v>
      </c>
      <c r="AG5" s="12">
        <v>149</v>
      </c>
      <c r="AJ5" s="12">
        <v>85.2</v>
      </c>
      <c r="AM5" s="12">
        <v>143</v>
      </c>
      <c r="AP5" s="12">
        <f>AVERAGE(AQ5,AR5)</f>
        <v>134.85</v>
      </c>
      <c r="AQ5" s="12">
        <v>127.6</v>
      </c>
      <c r="AR5" s="12">
        <v>142.1</v>
      </c>
    </row>
    <row r="6" spans="1:44" s="12" customFormat="1">
      <c r="A6" s="43"/>
      <c r="B6" s="12" t="s">
        <v>13</v>
      </c>
      <c r="C6" s="12">
        <v>0.98</v>
      </c>
      <c r="F6" s="12">
        <v>1</v>
      </c>
      <c r="I6" s="12">
        <v>0.92</v>
      </c>
      <c r="L6" s="12">
        <v>0.91</v>
      </c>
      <c r="O6" s="12">
        <v>0.92</v>
      </c>
      <c r="R6" s="12">
        <v>0.9</v>
      </c>
      <c r="U6" s="12">
        <v>0.96</v>
      </c>
      <c r="X6" s="12">
        <v>0.95</v>
      </c>
      <c r="AA6" s="12">
        <v>0.95</v>
      </c>
      <c r="AD6" s="12">
        <v>0.92</v>
      </c>
      <c r="AG6" s="12">
        <v>0.95</v>
      </c>
      <c r="AJ6" s="12">
        <v>0.83</v>
      </c>
      <c r="AP6" s="12">
        <v>0.95</v>
      </c>
    </row>
    <row r="7" spans="1:44" s="12" customFormat="1">
      <c r="A7" s="43"/>
      <c r="B7" s="12" t="s">
        <v>15</v>
      </c>
      <c r="C7" s="12">
        <v>1.04</v>
      </c>
      <c r="F7" s="12">
        <v>1.05</v>
      </c>
      <c r="I7" s="12">
        <v>0.97</v>
      </c>
      <c r="L7" s="12">
        <v>1</v>
      </c>
      <c r="O7" s="12">
        <v>1</v>
      </c>
      <c r="R7" s="12">
        <v>0.99</v>
      </c>
      <c r="U7" s="12">
        <v>1.02</v>
      </c>
      <c r="X7" s="12">
        <v>1.02</v>
      </c>
      <c r="AA7" s="12">
        <v>1.03</v>
      </c>
      <c r="AD7" s="12">
        <v>1</v>
      </c>
      <c r="AG7" s="12">
        <v>1.02</v>
      </c>
      <c r="AJ7" s="12">
        <v>0.86</v>
      </c>
      <c r="AP7" s="12">
        <v>1.03</v>
      </c>
    </row>
    <row r="8" spans="1:44" s="12" customFormat="1">
      <c r="A8" s="43"/>
      <c r="B8" s="12" t="s">
        <v>1</v>
      </c>
      <c r="C8" s="12">
        <v>25.1</v>
      </c>
      <c r="D8" s="12">
        <v>25</v>
      </c>
      <c r="F8" s="12">
        <v>24.8</v>
      </c>
      <c r="G8" s="12">
        <v>25.1</v>
      </c>
      <c r="I8" s="12">
        <v>25</v>
      </c>
      <c r="J8" s="12">
        <v>25.2</v>
      </c>
      <c r="L8" s="12">
        <v>24.8</v>
      </c>
      <c r="M8" s="12">
        <v>25</v>
      </c>
      <c r="O8" s="12">
        <v>26.1</v>
      </c>
      <c r="P8" s="12">
        <v>25</v>
      </c>
      <c r="R8" s="12">
        <v>28.9</v>
      </c>
      <c r="S8" s="12">
        <v>28</v>
      </c>
      <c r="U8" s="12">
        <v>25.5</v>
      </c>
      <c r="V8" s="12">
        <v>25.8</v>
      </c>
      <c r="X8" s="12">
        <v>25.4</v>
      </c>
      <c r="Y8" s="12">
        <v>26</v>
      </c>
      <c r="AA8" s="12">
        <v>25.2</v>
      </c>
      <c r="AB8" s="12">
        <v>25.6</v>
      </c>
      <c r="AD8" s="12">
        <v>26.6</v>
      </c>
      <c r="AE8" s="12">
        <v>27</v>
      </c>
      <c r="AG8" s="12">
        <v>26.2</v>
      </c>
      <c r="AH8" s="12">
        <v>26.5</v>
      </c>
      <c r="AJ8" s="12">
        <v>25.3</v>
      </c>
      <c r="AK8" s="12">
        <v>25.8</v>
      </c>
      <c r="AM8" s="12">
        <v>25.9</v>
      </c>
      <c r="AP8" s="12">
        <v>25.4</v>
      </c>
      <c r="AQ8" s="12">
        <v>26</v>
      </c>
    </row>
    <row r="9" spans="1:44" s="12" customFormat="1">
      <c r="A9" s="43"/>
      <c r="B9" s="12" t="s">
        <v>2</v>
      </c>
      <c r="C9" s="12">
        <v>23.2</v>
      </c>
      <c r="D9" s="12">
        <v>23.7</v>
      </c>
      <c r="F9" s="12">
        <v>23.4</v>
      </c>
      <c r="G9" s="12">
        <v>23.5</v>
      </c>
      <c r="I9" s="12">
        <v>23.3</v>
      </c>
      <c r="J9" s="12">
        <v>23.2</v>
      </c>
      <c r="L9" s="12">
        <v>23</v>
      </c>
      <c r="M9" s="12">
        <v>23</v>
      </c>
      <c r="O9" s="12">
        <v>24.4</v>
      </c>
      <c r="P9" s="12">
        <v>23</v>
      </c>
      <c r="R9" s="12">
        <v>26.6</v>
      </c>
      <c r="S9" s="12">
        <v>26.2</v>
      </c>
      <c r="U9" s="12">
        <v>24.1</v>
      </c>
      <c r="V9" s="12">
        <v>24</v>
      </c>
      <c r="X9" s="12">
        <v>23.9</v>
      </c>
      <c r="Y9" s="12">
        <v>24</v>
      </c>
      <c r="AA9" s="12">
        <v>23.8</v>
      </c>
      <c r="AB9" s="12">
        <v>24</v>
      </c>
      <c r="AD9" s="12">
        <v>24.5</v>
      </c>
      <c r="AE9" s="12">
        <v>25</v>
      </c>
      <c r="AG9" s="12">
        <v>24.2</v>
      </c>
      <c r="AH9" s="12">
        <v>25</v>
      </c>
      <c r="AJ9" s="12">
        <v>24.2</v>
      </c>
      <c r="AK9" s="12">
        <v>24.1</v>
      </c>
      <c r="AM9" s="12">
        <v>24.4</v>
      </c>
      <c r="AP9" s="12">
        <v>24.2</v>
      </c>
      <c r="AQ9" s="12">
        <v>24</v>
      </c>
    </row>
    <row r="10" spans="1:44" s="12" customFormat="1">
      <c r="A10" s="43"/>
      <c r="B10" s="12" t="s">
        <v>3</v>
      </c>
      <c r="C10" s="12">
        <v>0.81</v>
      </c>
      <c r="F10" s="12">
        <v>0.82</v>
      </c>
      <c r="I10" s="12">
        <v>0.77</v>
      </c>
      <c r="L10" s="12">
        <v>0.76</v>
      </c>
      <c r="O10" s="12">
        <v>0.79</v>
      </c>
      <c r="R10" s="12">
        <v>0.78</v>
      </c>
      <c r="U10" s="12">
        <v>0.79</v>
      </c>
      <c r="X10" s="12">
        <v>0.78</v>
      </c>
      <c r="AA10" s="12">
        <v>0.78</v>
      </c>
      <c r="AD10" s="12">
        <v>0.78</v>
      </c>
      <c r="AG10" s="12">
        <v>0.78</v>
      </c>
      <c r="AJ10" s="12">
        <v>0.78</v>
      </c>
      <c r="AM10" s="12">
        <v>1</v>
      </c>
      <c r="AP10" s="12">
        <v>0.78</v>
      </c>
    </row>
    <row r="11" spans="1:44" s="12" customFormat="1">
      <c r="A11" s="43"/>
      <c r="B11" s="12" t="s">
        <v>5</v>
      </c>
      <c r="C11" s="12">
        <v>0.94</v>
      </c>
      <c r="F11" s="12">
        <v>0.94</v>
      </c>
      <c r="I11" s="12">
        <v>0.86</v>
      </c>
      <c r="L11" s="12">
        <v>0.93</v>
      </c>
      <c r="O11" s="12">
        <v>0.94</v>
      </c>
      <c r="R11" s="12">
        <v>0.94</v>
      </c>
      <c r="U11" s="12">
        <v>0.93</v>
      </c>
      <c r="X11" s="12">
        <v>0.93</v>
      </c>
      <c r="AA11" s="12">
        <v>0.94</v>
      </c>
      <c r="AD11" s="12">
        <v>0.94</v>
      </c>
      <c r="AG11" s="12">
        <v>0.94</v>
      </c>
      <c r="AJ11" s="12">
        <v>0.94</v>
      </c>
      <c r="AM11" s="12">
        <v>1.05</v>
      </c>
      <c r="AP11" s="12">
        <v>0.94</v>
      </c>
    </row>
    <row r="12" spans="1:44" s="12" customFormat="1">
      <c r="A12" s="43"/>
      <c r="B12" s="12" t="s">
        <v>10</v>
      </c>
    </row>
    <row r="13" spans="1:44" s="12" customFormat="1">
      <c r="A13" s="43"/>
      <c r="B13" s="12" t="s">
        <v>17</v>
      </c>
      <c r="C13" s="12" t="s">
        <v>32</v>
      </c>
      <c r="F13" s="12" t="s">
        <v>32</v>
      </c>
      <c r="I13" s="12" t="s">
        <v>34</v>
      </c>
      <c r="L13" s="12" t="s">
        <v>43</v>
      </c>
      <c r="O13" s="12" t="s">
        <v>43</v>
      </c>
      <c r="R13" s="12" t="s">
        <v>43</v>
      </c>
      <c r="U13" s="12" t="s">
        <v>43</v>
      </c>
      <c r="X13" s="12" t="s">
        <v>43</v>
      </c>
      <c r="AA13" s="12" t="s">
        <v>49</v>
      </c>
      <c r="AD13" s="12" t="s">
        <v>52</v>
      </c>
      <c r="AG13" s="12" t="s">
        <v>43</v>
      </c>
      <c r="AJ13" s="12" t="s">
        <v>43</v>
      </c>
      <c r="AM13" s="12" t="s">
        <v>49</v>
      </c>
      <c r="AP13" s="12" t="s">
        <v>52</v>
      </c>
    </row>
    <row r="14" spans="1:44" s="12" customFormat="1">
      <c r="A14" s="43" t="s">
        <v>142</v>
      </c>
      <c r="B14" s="12" t="s">
        <v>8</v>
      </c>
      <c r="C14" s="12">
        <v>7.1</v>
      </c>
      <c r="D14" s="12">
        <v>7</v>
      </c>
      <c r="E14" s="12">
        <v>7.5</v>
      </c>
      <c r="F14" s="12">
        <v>7.3</v>
      </c>
      <c r="G14" s="12">
        <v>6.5</v>
      </c>
      <c r="H14" s="12">
        <v>7.6</v>
      </c>
      <c r="I14" s="12">
        <v>7</v>
      </c>
      <c r="J14" s="12">
        <v>7.6</v>
      </c>
      <c r="K14" s="12">
        <v>6.6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</row>
    <row r="15" spans="1:44" s="12" customFormat="1">
      <c r="A15" s="43"/>
      <c r="B15" s="12" t="s">
        <v>9</v>
      </c>
      <c r="C15" s="12">
        <v>9.1</v>
      </c>
      <c r="D15" s="12">
        <v>9</v>
      </c>
      <c r="E15" s="12">
        <v>9.1999999999999993</v>
      </c>
      <c r="F15" s="12">
        <v>9.1</v>
      </c>
      <c r="G15" s="12">
        <v>9.5</v>
      </c>
      <c r="H15" s="12">
        <v>9.3000000000000007</v>
      </c>
      <c r="I15" s="12">
        <v>9.1</v>
      </c>
      <c r="J15" s="12">
        <v>9.4</v>
      </c>
      <c r="K15" s="12">
        <v>9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</row>
    <row r="16" spans="1:44" s="12" customFormat="1">
      <c r="A16" s="43"/>
      <c r="B16" s="12" t="s">
        <v>11</v>
      </c>
      <c r="C16" s="12">
        <v>125.4</v>
      </c>
      <c r="F16" s="12">
        <v>119.7</v>
      </c>
      <c r="I16" s="12">
        <v>95.2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</row>
    <row r="17" spans="1:43" s="12" customFormat="1">
      <c r="A17" s="43"/>
      <c r="B17" s="12" t="s">
        <v>13</v>
      </c>
      <c r="C17" s="12">
        <v>1.01</v>
      </c>
      <c r="F17" s="12">
        <v>1.02</v>
      </c>
      <c r="I17" s="12">
        <v>0.95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</row>
    <row r="18" spans="1:43" s="12" customFormat="1">
      <c r="A18" s="43"/>
      <c r="B18" s="12" t="s">
        <v>15</v>
      </c>
      <c r="C18" s="12">
        <v>1.02</v>
      </c>
      <c r="F18" s="12">
        <v>1.02</v>
      </c>
      <c r="I18" s="12">
        <v>0.94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 spans="1:43" s="12" customFormat="1">
      <c r="A19" s="43"/>
      <c r="B19" s="12" t="s">
        <v>1</v>
      </c>
      <c r="C19" s="12">
        <v>25.2</v>
      </c>
      <c r="D19" s="12">
        <v>24.5</v>
      </c>
      <c r="F19" s="12">
        <v>24.7</v>
      </c>
      <c r="G19" s="12">
        <v>24</v>
      </c>
      <c r="I19" s="12">
        <v>24.9</v>
      </c>
      <c r="J19" s="12">
        <v>24.2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</row>
    <row r="20" spans="1:43" s="12" customFormat="1">
      <c r="A20" s="43"/>
      <c r="B20" s="12" t="s">
        <v>2</v>
      </c>
      <c r="C20" s="12">
        <v>23.8</v>
      </c>
      <c r="D20" s="12">
        <v>23</v>
      </c>
      <c r="F20" s="12">
        <v>23.6</v>
      </c>
      <c r="G20" s="12">
        <v>23.5</v>
      </c>
      <c r="I20" s="12">
        <v>23.4</v>
      </c>
      <c r="J20" s="12">
        <v>23.2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1:43" s="12" customFormat="1">
      <c r="A21" s="43"/>
      <c r="B21" s="12" t="s">
        <v>3</v>
      </c>
      <c r="C21" s="12">
        <v>0.84</v>
      </c>
      <c r="F21" s="12">
        <v>0.83</v>
      </c>
      <c r="I21" s="12">
        <v>0.81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 s="12" customFormat="1">
      <c r="A22" s="43"/>
      <c r="B22" s="12" t="s">
        <v>5</v>
      </c>
      <c r="C22" s="12">
        <v>0.9</v>
      </c>
      <c r="F22" s="12">
        <v>0.9</v>
      </c>
      <c r="I22" s="12">
        <v>0.82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 spans="1:43" s="12" customFormat="1">
      <c r="A23" s="43"/>
      <c r="B23" s="12" t="s">
        <v>10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 spans="1:43" s="12" customFormat="1">
      <c r="A24" s="43"/>
      <c r="B24" s="12" t="s">
        <v>17</v>
      </c>
      <c r="C24" s="12" t="s">
        <v>32</v>
      </c>
      <c r="F24" s="12" t="s">
        <v>33</v>
      </c>
      <c r="I24" s="12" t="s">
        <v>33</v>
      </c>
      <c r="L24" s="15" t="s">
        <v>37</v>
      </c>
      <c r="M24" s="15"/>
      <c r="N24" s="15"/>
      <c r="O24" s="15" t="s">
        <v>44</v>
      </c>
      <c r="P24" s="15"/>
      <c r="Q24" s="15"/>
      <c r="R24" s="15" t="s">
        <v>44</v>
      </c>
      <c r="S24" s="15"/>
      <c r="T24" s="15"/>
      <c r="U24" s="15" t="s">
        <v>44</v>
      </c>
      <c r="V24" s="15"/>
      <c r="W24" s="15"/>
      <c r="X24" s="15" t="s">
        <v>44</v>
      </c>
      <c r="Y24" s="15"/>
      <c r="Z24" s="15"/>
      <c r="AA24" s="15" t="s">
        <v>46</v>
      </c>
      <c r="AB24" s="15"/>
      <c r="AC24" s="15"/>
      <c r="AD24" s="15" t="s">
        <v>45</v>
      </c>
      <c r="AE24" s="15"/>
      <c r="AF24" s="15"/>
      <c r="AG24" s="15" t="s">
        <v>44</v>
      </c>
      <c r="AH24" s="15"/>
      <c r="AI24" s="15"/>
      <c r="AJ24" s="15" t="s">
        <v>44</v>
      </c>
      <c r="AK24" s="15"/>
      <c r="AL24" s="15"/>
      <c r="AM24" s="15" t="s">
        <v>46</v>
      </c>
      <c r="AN24" s="15"/>
      <c r="AO24" s="15"/>
      <c r="AP24" s="15" t="s">
        <v>45</v>
      </c>
      <c r="AQ24" s="15"/>
    </row>
    <row r="25" spans="1:43" s="14" customFormat="1">
      <c r="A25" s="44" t="s">
        <v>19</v>
      </c>
      <c r="B25" s="14" t="s">
        <v>10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43" s="14" customFormat="1">
      <c r="A26" s="44"/>
      <c r="B26" s="14" t="s">
        <v>12</v>
      </c>
      <c r="C26" s="14">
        <v>0.76</v>
      </c>
      <c r="F26" s="14">
        <v>0.77</v>
      </c>
      <c r="I26" s="15"/>
      <c r="J26" s="15"/>
      <c r="K26" s="15"/>
      <c r="L26" s="15"/>
      <c r="M26" s="15"/>
      <c r="N26" s="15"/>
      <c r="O26" s="15"/>
      <c r="P26" s="15"/>
      <c r="Q26" s="15"/>
      <c r="R26" s="14">
        <v>0.74</v>
      </c>
      <c r="U26" s="14">
        <v>0.76</v>
      </c>
      <c r="X26" s="14">
        <v>0.76</v>
      </c>
      <c r="AA26" s="14">
        <v>0.76</v>
      </c>
      <c r="AD26" s="14">
        <v>0.75</v>
      </c>
      <c r="AG26" s="14">
        <v>0.76</v>
      </c>
      <c r="AJ26" s="14">
        <v>0.78</v>
      </c>
      <c r="AM26" s="14">
        <v>0.77</v>
      </c>
      <c r="AP26" s="14">
        <v>0.76</v>
      </c>
    </row>
    <row r="27" spans="1:43" s="14" customFormat="1">
      <c r="A27" s="44"/>
      <c r="B27" s="14" t="s">
        <v>14</v>
      </c>
      <c r="C27" s="14">
        <v>1.06</v>
      </c>
      <c r="F27" s="14">
        <v>1.06</v>
      </c>
      <c r="I27" s="15"/>
      <c r="J27" s="15"/>
      <c r="K27" s="15"/>
      <c r="L27" s="15"/>
      <c r="M27" s="15"/>
      <c r="N27" s="15"/>
      <c r="O27" s="15"/>
      <c r="P27" s="15"/>
      <c r="Q27" s="15"/>
      <c r="R27" s="14">
        <v>1.02</v>
      </c>
      <c r="U27" s="14">
        <v>1.05</v>
      </c>
      <c r="X27" s="14">
        <v>1.04</v>
      </c>
      <c r="AA27" s="14">
        <v>1.04</v>
      </c>
      <c r="AD27" s="14">
        <v>1.02</v>
      </c>
      <c r="AG27" s="14">
        <v>1.05</v>
      </c>
      <c r="AJ27" s="14">
        <v>0.89</v>
      </c>
      <c r="AM27" s="14">
        <v>1.08</v>
      </c>
      <c r="AP27" s="14">
        <v>1.05</v>
      </c>
    </row>
    <row r="28" spans="1:43" s="14" customFormat="1">
      <c r="A28" s="44"/>
      <c r="B28" s="14" t="s">
        <v>16</v>
      </c>
      <c r="C28" s="14">
        <v>8.3000000000000007</v>
      </c>
      <c r="F28" s="14">
        <v>8.1999999999999993</v>
      </c>
      <c r="I28" s="15"/>
      <c r="J28" s="15"/>
      <c r="K28" s="15"/>
      <c r="L28" s="15"/>
      <c r="M28" s="15"/>
      <c r="N28" s="15"/>
      <c r="O28" s="15"/>
      <c r="P28" s="15"/>
      <c r="Q28" s="15"/>
      <c r="R28" s="14">
        <v>9</v>
      </c>
      <c r="U28" s="14">
        <v>9</v>
      </c>
      <c r="X28" s="14">
        <v>8.1</v>
      </c>
      <c r="AA28" s="14">
        <v>8</v>
      </c>
      <c r="AD28" s="14">
        <v>9.5</v>
      </c>
      <c r="AG28" s="14">
        <v>8.1</v>
      </c>
      <c r="AJ28" s="14">
        <v>10</v>
      </c>
      <c r="AM28" s="14">
        <v>7.5</v>
      </c>
      <c r="AP28" s="14">
        <v>8</v>
      </c>
    </row>
    <row r="29" spans="1:43" s="14" customFormat="1">
      <c r="A29" s="44"/>
      <c r="B29" s="14" t="s">
        <v>17</v>
      </c>
      <c r="C29" s="14" t="s">
        <v>32</v>
      </c>
      <c r="F29" s="14" t="s">
        <v>34</v>
      </c>
      <c r="I29" s="15" t="s">
        <v>45</v>
      </c>
      <c r="J29" s="15"/>
      <c r="K29" s="15"/>
      <c r="L29" s="15" t="s">
        <v>46</v>
      </c>
      <c r="M29" s="15"/>
      <c r="N29" s="15"/>
      <c r="O29" s="15" t="s">
        <v>44</v>
      </c>
      <c r="P29" s="15"/>
      <c r="Q29" s="15"/>
      <c r="R29" s="14" t="s">
        <v>49</v>
      </c>
      <c r="U29" s="14" t="s">
        <v>52</v>
      </c>
      <c r="X29" s="14" t="s">
        <v>52</v>
      </c>
      <c r="AA29" s="14" t="s">
        <v>49</v>
      </c>
      <c r="AD29" s="14" t="s">
        <v>49</v>
      </c>
      <c r="AG29" s="14" t="s">
        <v>43</v>
      </c>
      <c r="AJ29" s="14" t="s">
        <v>43</v>
      </c>
      <c r="AM29" s="14" t="s">
        <v>43</v>
      </c>
      <c r="AP29" s="14" t="s">
        <v>43</v>
      </c>
    </row>
    <row r="30" spans="1:43" s="14" customFormat="1">
      <c r="A30" s="44" t="s">
        <v>25</v>
      </c>
      <c r="B30" s="14" t="s">
        <v>10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P30" s="15"/>
      <c r="AQ30" s="15"/>
    </row>
    <row r="31" spans="1:43" s="14" customFormat="1">
      <c r="A31" s="44"/>
      <c r="B31" s="14" t="s">
        <v>12</v>
      </c>
      <c r="C31" s="14">
        <v>0.72</v>
      </c>
      <c r="F31" s="14">
        <v>0.72</v>
      </c>
      <c r="I31" s="14">
        <v>0.71</v>
      </c>
      <c r="L31" s="14">
        <v>0.71</v>
      </c>
      <c r="O31" s="14">
        <v>0.71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4">
        <v>0.74</v>
      </c>
      <c r="AM31" s="14">
        <v>0.73</v>
      </c>
      <c r="AP31" s="15"/>
      <c r="AQ31" s="15"/>
    </row>
    <row r="32" spans="1:43" s="14" customFormat="1">
      <c r="A32" s="44"/>
      <c r="B32" s="14" t="s">
        <v>14</v>
      </c>
      <c r="C32" s="14">
        <v>1.02</v>
      </c>
      <c r="F32" s="14">
        <v>1</v>
      </c>
      <c r="I32" s="14">
        <v>0.97</v>
      </c>
      <c r="L32" s="14">
        <v>0.97</v>
      </c>
      <c r="O32" s="14">
        <v>0.99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4">
        <v>0.86</v>
      </c>
      <c r="AM32" s="14">
        <v>1.05</v>
      </c>
      <c r="AP32" s="15"/>
      <c r="AQ32" s="15"/>
    </row>
    <row r="33" spans="1:43" s="14" customFormat="1">
      <c r="A33" s="44"/>
      <c r="B33" s="14" t="s">
        <v>16</v>
      </c>
      <c r="C33" s="14">
        <v>8.1</v>
      </c>
      <c r="F33" s="14">
        <v>8.1</v>
      </c>
      <c r="I33" s="14">
        <v>8.1999999999999993</v>
      </c>
      <c r="L33" s="14">
        <v>8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4">
        <v>9.1999999999999993</v>
      </c>
      <c r="AM33" s="14">
        <v>8</v>
      </c>
      <c r="AP33" s="15"/>
      <c r="AQ33" s="15"/>
    </row>
    <row r="34" spans="1:43" s="14" customFormat="1">
      <c r="A34" s="44"/>
      <c r="B34" s="14" t="s">
        <v>17</v>
      </c>
      <c r="C34" s="14" t="s">
        <v>33</v>
      </c>
      <c r="F34" s="14" t="s">
        <v>34</v>
      </c>
      <c r="I34" s="14" t="s">
        <v>36</v>
      </c>
      <c r="L34" s="14" t="s">
        <v>34</v>
      </c>
      <c r="O34" s="14" t="s">
        <v>47</v>
      </c>
      <c r="R34" s="15" t="s">
        <v>44</v>
      </c>
      <c r="S34" s="15"/>
      <c r="T34" s="15"/>
      <c r="U34" s="15" t="s">
        <v>44</v>
      </c>
      <c r="V34" s="15"/>
      <c r="W34" s="15"/>
      <c r="X34" s="15" t="s">
        <v>44</v>
      </c>
      <c r="Y34" s="15"/>
      <c r="Z34" s="15"/>
      <c r="AA34" s="15" t="s">
        <v>46</v>
      </c>
      <c r="AB34" s="15"/>
      <c r="AC34" s="15"/>
      <c r="AD34" s="15" t="s">
        <v>50</v>
      </c>
      <c r="AE34" s="15"/>
      <c r="AF34" s="15"/>
      <c r="AG34" s="15" t="s">
        <v>50</v>
      </c>
      <c r="AH34" s="15"/>
      <c r="AI34" s="15"/>
      <c r="AJ34" s="14" t="s">
        <v>43</v>
      </c>
      <c r="AM34" s="14" t="s">
        <v>47</v>
      </c>
      <c r="AP34" s="15" t="s">
        <v>50</v>
      </c>
      <c r="AQ34" s="15"/>
    </row>
    <row r="35" spans="1:43" s="14" customFormat="1">
      <c r="A35" s="44" t="s">
        <v>29</v>
      </c>
      <c r="B35" s="14" t="s">
        <v>10</v>
      </c>
      <c r="C35" s="15"/>
      <c r="D35" s="15"/>
      <c r="E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</row>
    <row r="36" spans="1:43" s="14" customFormat="1">
      <c r="A36" s="44"/>
      <c r="B36" s="14" t="s">
        <v>12</v>
      </c>
      <c r="C36" s="15"/>
      <c r="D36" s="15"/>
      <c r="E36" s="15"/>
      <c r="F36" s="14">
        <v>0.71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</row>
    <row r="37" spans="1:43" s="14" customFormat="1">
      <c r="A37" s="44"/>
      <c r="B37" s="14" t="s">
        <v>14</v>
      </c>
      <c r="C37" s="15"/>
      <c r="D37" s="15"/>
      <c r="E37" s="15"/>
      <c r="F37" s="14">
        <v>1.06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</row>
    <row r="38" spans="1:43" s="14" customFormat="1">
      <c r="A38" s="44"/>
      <c r="B38" s="14" t="s">
        <v>16</v>
      </c>
      <c r="C38" s="15"/>
      <c r="D38" s="15"/>
      <c r="E38" s="15"/>
      <c r="F38" s="14" t="s">
        <v>35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</row>
    <row r="39" spans="1:43" s="14" customFormat="1">
      <c r="A39" s="44"/>
      <c r="B39" s="14" t="s">
        <v>17</v>
      </c>
      <c r="C39" s="15" t="s">
        <v>50</v>
      </c>
      <c r="D39" s="15"/>
      <c r="E39" s="15"/>
      <c r="F39" s="14" t="s">
        <v>49</v>
      </c>
      <c r="I39" s="15" t="s">
        <v>45</v>
      </c>
      <c r="J39" s="15"/>
      <c r="K39" s="15"/>
      <c r="L39" s="15" t="s">
        <v>44</v>
      </c>
      <c r="M39" s="15"/>
      <c r="N39" s="15"/>
      <c r="O39" s="15" t="s">
        <v>46</v>
      </c>
      <c r="P39" s="15"/>
      <c r="Q39" s="15"/>
      <c r="R39" s="15" t="s">
        <v>44</v>
      </c>
      <c r="S39" s="15"/>
      <c r="T39" s="15"/>
      <c r="U39" s="15" t="s">
        <v>44</v>
      </c>
      <c r="V39" s="15"/>
      <c r="W39" s="15"/>
      <c r="X39" s="15" t="s">
        <v>44</v>
      </c>
      <c r="Y39" s="15"/>
      <c r="Z39" s="15"/>
      <c r="AA39" s="15" t="s">
        <v>46</v>
      </c>
      <c r="AB39" s="15"/>
      <c r="AC39" s="15"/>
      <c r="AD39" s="15" t="s">
        <v>46</v>
      </c>
      <c r="AE39" s="15"/>
      <c r="AF39" s="15"/>
      <c r="AG39" s="15" t="s">
        <v>44</v>
      </c>
      <c r="AH39" s="15"/>
      <c r="AI39" s="15"/>
      <c r="AJ39" s="15" t="s">
        <v>44</v>
      </c>
      <c r="AK39" s="15"/>
      <c r="AL39" s="15"/>
      <c r="AM39" s="15" t="s">
        <v>46</v>
      </c>
      <c r="AN39" s="15"/>
      <c r="AO39" s="15"/>
      <c r="AP39" s="15" t="s">
        <v>46</v>
      </c>
      <c r="AQ39" s="15"/>
    </row>
    <row r="40" spans="1:43" s="13" customFormat="1">
      <c r="A40" s="45" t="s">
        <v>0</v>
      </c>
      <c r="B40" s="13" t="s">
        <v>10</v>
      </c>
    </row>
    <row r="41" spans="1:43" s="13" customFormat="1">
      <c r="A41" s="45"/>
      <c r="B41" s="13" t="s">
        <v>12</v>
      </c>
      <c r="C41" s="13">
        <v>0.61</v>
      </c>
      <c r="F41" s="13">
        <v>0.62</v>
      </c>
      <c r="I41" s="13">
        <v>0.62</v>
      </c>
      <c r="L41" s="13">
        <v>0.64</v>
      </c>
      <c r="O41" s="13">
        <v>0.64</v>
      </c>
      <c r="R41" s="13">
        <v>0.64</v>
      </c>
      <c r="U41" s="13">
        <v>0.64</v>
      </c>
      <c r="X41" s="13">
        <v>0.64</v>
      </c>
      <c r="AA41" s="13">
        <v>0.64</v>
      </c>
      <c r="AD41" s="13">
        <v>0.64</v>
      </c>
      <c r="AG41" s="13">
        <v>0.64</v>
      </c>
      <c r="AJ41" s="13">
        <v>0.64</v>
      </c>
      <c r="AM41" s="13">
        <v>0.64</v>
      </c>
      <c r="AP41" s="13">
        <v>0.64</v>
      </c>
    </row>
    <row r="42" spans="1:43" s="13" customFormat="1">
      <c r="A42" s="45"/>
      <c r="B42" s="13" t="s">
        <v>14</v>
      </c>
      <c r="C42" s="13">
        <v>0.86</v>
      </c>
      <c r="F42" s="13">
        <v>0.86</v>
      </c>
      <c r="I42" s="13">
        <v>0.79</v>
      </c>
      <c r="L42" s="13">
        <v>0.85</v>
      </c>
      <c r="O42" s="13">
        <v>0.86</v>
      </c>
      <c r="R42" s="13">
        <v>0.86</v>
      </c>
      <c r="U42" s="13">
        <v>0.86</v>
      </c>
      <c r="X42" s="13">
        <v>0.86</v>
      </c>
      <c r="AA42" s="13">
        <v>0.85</v>
      </c>
      <c r="AD42" s="13">
        <v>0.85</v>
      </c>
      <c r="AG42" s="13">
        <v>0.85</v>
      </c>
      <c r="AJ42" s="13">
        <v>0.85</v>
      </c>
      <c r="AM42" s="13">
        <v>0.85</v>
      </c>
      <c r="AP42" s="13">
        <v>0.85</v>
      </c>
    </row>
    <row r="43" spans="1:43" s="13" customFormat="1">
      <c r="A43" s="45"/>
      <c r="B43" s="13" t="s">
        <v>16</v>
      </c>
      <c r="C43" s="13">
        <v>23</v>
      </c>
      <c r="F43" s="13">
        <v>23</v>
      </c>
      <c r="I43" s="13">
        <v>22.6</v>
      </c>
      <c r="L43" s="13">
        <v>23</v>
      </c>
      <c r="O43" s="13">
        <v>24</v>
      </c>
      <c r="R43" s="13">
        <v>25.9</v>
      </c>
      <c r="U43" s="13">
        <v>23.6</v>
      </c>
      <c r="X43" s="13">
        <v>23.5</v>
      </c>
      <c r="AA43" s="13">
        <v>23.4</v>
      </c>
      <c r="AD43" s="13">
        <v>24</v>
      </c>
      <c r="AG43" s="13">
        <v>24.2</v>
      </c>
      <c r="AJ43" s="13">
        <v>23.8</v>
      </c>
      <c r="AM43" s="13">
        <v>24.2</v>
      </c>
      <c r="AP43" s="13">
        <v>23.8</v>
      </c>
    </row>
    <row r="44" spans="1:43" s="13" customFormat="1">
      <c r="A44" s="45"/>
      <c r="B44" s="13" t="s">
        <v>17</v>
      </c>
      <c r="C44" s="13" t="s">
        <v>32</v>
      </c>
      <c r="F44" s="13" t="s">
        <v>32</v>
      </c>
      <c r="I44" s="13" t="s">
        <v>32</v>
      </c>
      <c r="L44" s="13" t="s">
        <v>34</v>
      </c>
      <c r="O44" s="13" t="s">
        <v>48</v>
      </c>
      <c r="R44" s="13" t="s">
        <v>43</v>
      </c>
      <c r="U44" s="13" t="s">
        <v>43</v>
      </c>
      <c r="X44" s="13" t="s">
        <v>43</v>
      </c>
      <c r="AA44" s="13" t="s">
        <v>49</v>
      </c>
      <c r="AD44" s="13" t="s">
        <v>49</v>
      </c>
      <c r="AG44" s="13" t="s">
        <v>49</v>
      </c>
      <c r="AJ44" s="13" t="s">
        <v>49</v>
      </c>
      <c r="AM44" s="13" t="s">
        <v>49</v>
      </c>
      <c r="AP44" s="13" t="s">
        <v>49</v>
      </c>
    </row>
    <row r="45" spans="1:43" s="13" customFormat="1">
      <c r="A45" s="45" t="s">
        <v>4</v>
      </c>
      <c r="B45" s="13" t="s">
        <v>10</v>
      </c>
    </row>
    <row r="46" spans="1:43" s="13" customFormat="1">
      <c r="A46" s="45"/>
      <c r="B46" s="13" t="s">
        <v>12</v>
      </c>
      <c r="C46" s="13">
        <v>0.62</v>
      </c>
      <c r="F46" s="13">
        <v>0.63</v>
      </c>
    </row>
    <row r="47" spans="1:43" s="13" customFormat="1">
      <c r="A47" s="45"/>
      <c r="B47" s="13" t="s">
        <v>14</v>
      </c>
      <c r="C47" s="13">
        <v>0.89</v>
      </c>
      <c r="F47" s="13">
        <v>0.89</v>
      </c>
    </row>
    <row r="48" spans="1:43" s="13" customFormat="1">
      <c r="A48" s="45"/>
      <c r="B48" s="13" t="s">
        <v>16</v>
      </c>
      <c r="C48" s="13">
        <v>23.9</v>
      </c>
      <c r="F48" s="13">
        <v>24</v>
      </c>
    </row>
    <row r="49" spans="1:42" s="13" customFormat="1">
      <c r="A49" s="45"/>
      <c r="B49" s="13" t="s">
        <v>17</v>
      </c>
      <c r="C49" s="13" t="s">
        <v>34</v>
      </c>
      <c r="F49" s="13" t="s">
        <v>36</v>
      </c>
      <c r="I49" s="13" t="s">
        <v>50</v>
      </c>
      <c r="L49" s="13" t="s">
        <v>46</v>
      </c>
      <c r="O49" s="13" t="s">
        <v>45</v>
      </c>
      <c r="R49" s="13" t="s">
        <v>50</v>
      </c>
      <c r="U49" s="13" t="s">
        <v>46</v>
      </c>
      <c r="X49" s="13" t="s">
        <v>45</v>
      </c>
      <c r="AA49" s="13" t="s">
        <v>46</v>
      </c>
      <c r="AD49" s="13" t="s">
        <v>45</v>
      </c>
      <c r="AG49" s="13" t="s">
        <v>46</v>
      </c>
      <c r="AJ49" s="13" t="s">
        <v>45</v>
      </c>
      <c r="AM49" s="13" t="s">
        <v>46</v>
      </c>
      <c r="AP49" s="13" t="s">
        <v>45</v>
      </c>
    </row>
    <row r="50" spans="1:42" s="13" customFormat="1">
      <c r="A50" s="45" t="s">
        <v>6</v>
      </c>
      <c r="B50" s="13" t="s">
        <v>10</v>
      </c>
    </row>
    <row r="51" spans="1:42" s="13" customFormat="1">
      <c r="A51" s="45"/>
      <c r="B51" s="13" t="s">
        <v>12</v>
      </c>
      <c r="F51" s="13">
        <v>0.68</v>
      </c>
    </row>
    <row r="52" spans="1:42" s="13" customFormat="1">
      <c r="A52" s="45"/>
      <c r="B52" s="13" t="s">
        <v>14</v>
      </c>
      <c r="F52" s="13">
        <v>0.91</v>
      </c>
    </row>
    <row r="53" spans="1:42" s="13" customFormat="1">
      <c r="A53" s="45"/>
      <c r="B53" s="13" t="s">
        <v>16</v>
      </c>
      <c r="F53" s="13">
        <v>23.1</v>
      </c>
    </row>
    <row r="54" spans="1:42" s="13" customFormat="1">
      <c r="A54" s="45"/>
      <c r="B54" s="13" t="s">
        <v>17</v>
      </c>
      <c r="C54" s="13" t="s">
        <v>37</v>
      </c>
      <c r="F54" s="13" t="s">
        <v>51</v>
      </c>
      <c r="I54" s="13" t="s">
        <v>44</v>
      </c>
      <c r="L54" s="13" t="s">
        <v>44</v>
      </c>
      <c r="O54" s="13" t="s">
        <v>46</v>
      </c>
      <c r="R54" s="13" t="s">
        <v>50</v>
      </c>
      <c r="U54" s="13" t="s">
        <v>46</v>
      </c>
      <c r="X54" s="13" t="s">
        <v>45</v>
      </c>
      <c r="AA54" s="13" t="s">
        <v>46</v>
      </c>
      <c r="AD54" s="13" t="s">
        <v>45</v>
      </c>
      <c r="AG54" s="13" t="s">
        <v>46</v>
      </c>
      <c r="AJ54" s="13" t="s">
        <v>45</v>
      </c>
      <c r="AM54" s="13" t="s">
        <v>46</v>
      </c>
      <c r="AP54" s="13" t="s">
        <v>45</v>
      </c>
    </row>
    <row r="55" spans="1:42">
      <c r="A55" s="42" t="s">
        <v>20</v>
      </c>
      <c r="B55" t="s">
        <v>21</v>
      </c>
      <c r="C55">
        <v>6</v>
      </c>
      <c r="F55">
        <v>6</v>
      </c>
      <c r="I55">
        <v>6</v>
      </c>
      <c r="L55">
        <v>6</v>
      </c>
      <c r="O55">
        <v>6</v>
      </c>
      <c r="R55">
        <v>6</v>
      </c>
      <c r="U55">
        <v>6</v>
      </c>
      <c r="X55">
        <v>5.5</v>
      </c>
      <c r="AA55">
        <v>6</v>
      </c>
      <c r="AD55">
        <v>6</v>
      </c>
      <c r="AG55">
        <v>6</v>
      </c>
      <c r="AJ55">
        <v>6</v>
      </c>
      <c r="AM55">
        <v>5.5</v>
      </c>
      <c r="AP55">
        <v>5.5</v>
      </c>
    </row>
    <row r="56" spans="1:42">
      <c r="A56" s="42"/>
      <c r="B56" t="s">
        <v>22</v>
      </c>
      <c r="C56">
        <v>0.99</v>
      </c>
      <c r="F56">
        <v>1.01</v>
      </c>
      <c r="I56">
        <v>0.94</v>
      </c>
      <c r="L56">
        <v>0.92</v>
      </c>
      <c r="O56">
        <v>0.92</v>
      </c>
      <c r="R56">
        <v>0.9</v>
      </c>
      <c r="U56">
        <v>0.95</v>
      </c>
      <c r="X56">
        <v>0.89</v>
      </c>
      <c r="AA56">
        <v>0.96</v>
      </c>
      <c r="AD56">
        <v>0.91</v>
      </c>
      <c r="AG56">
        <v>0.95</v>
      </c>
      <c r="AJ56">
        <v>0.83</v>
      </c>
      <c r="AM56">
        <v>0.98</v>
      </c>
      <c r="AP56">
        <v>1.03</v>
      </c>
    </row>
    <row r="57" spans="1:42">
      <c r="A57" s="42" t="s">
        <v>23</v>
      </c>
      <c r="B57" t="s">
        <v>21</v>
      </c>
      <c r="C57">
        <v>8.9</v>
      </c>
      <c r="F57">
        <v>8.5</v>
      </c>
      <c r="I57">
        <v>8.5</v>
      </c>
      <c r="L57">
        <v>9</v>
      </c>
      <c r="O57">
        <v>9</v>
      </c>
      <c r="R57">
        <v>9.5</v>
      </c>
      <c r="U57">
        <v>9</v>
      </c>
      <c r="X57">
        <v>9</v>
      </c>
      <c r="AA57">
        <v>9.6</v>
      </c>
      <c r="AD57">
        <v>9</v>
      </c>
      <c r="AG57">
        <v>8.6999999999999993</v>
      </c>
      <c r="AJ57">
        <v>10</v>
      </c>
      <c r="AM57">
        <v>8.5</v>
      </c>
      <c r="AP57">
        <v>8.9</v>
      </c>
    </row>
    <row r="58" spans="1:42">
      <c r="A58" s="42"/>
      <c r="B58" t="s">
        <v>22</v>
      </c>
      <c r="C58">
        <v>0.77</v>
      </c>
      <c r="F58">
        <v>0.76</v>
      </c>
      <c r="I58">
        <v>0.76</v>
      </c>
      <c r="L58">
        <v>0.76</v>
      </c>
      <c r="O58">
        <v>0.76</v>
      </c>
      <c r="R58">
        <v>0.77</v>
      </c>
      <c r="U58">
        <v>0.77</v>
      </c>
      <c r="X58">
        <v>0.77</v>
      </c>
      <c r="AA58">
        <v>0.76</v>
      </c>
      <c r="AD58">
        <v>0.77</v>
      </c>
      <c r="AG58">
        <v>0.77</v>
      </c>
      <c r="AJ58">
        <v>0.77</v>
      </c>
      <c r="AM58">
        <v>0.77</v>
      </c>
      <c r="AP58">
        <v>0.77</v>
      </c>
    </row>
    <row r="59" spans="1:42">
      <c r="A59" s="42" t="s">
        <v>24</v>
      </c>
      <c r="B59" t="s">
        <v>17</v>
      </c>
      <c r="C59" t="s">
        <v>36</v>
      </c>
      <c r="F59" t="s">
        <v>33</v>
      </c>
      <c r="I59" t="s">
        <v>33</v>
      </c>
      <c r="L59" t="s">
        <v>33</v>
      </c>
      <c r="O59" t="s">
        <v>47</v>
      </c>
      <c r="R59" t="s">
        <v>50</v>
      </c>
      <c r="U59" t="s">
        <v>46</v>
      </c>
      <c r="X59" t="s">
        <v>45</v>
      </c>
      <c r="AA59" t="s">
        <v>46</v>
      </c>
      <c r="AD59" t="s">
        <v>45</v>
      </c>
      <c r="AG59" t="s">
        <v>46</v>
      </c>
      <c r="AJ59" t="s">
        <v>45</v>
      </c>
      <c r="AM59" t="s">
        <v>46</v>
      </c>
      <c r="AP59" t="s">
        <v>45</v>
      </c>
    </row>
    <row r="60" spans="1:42">
      <c r="A60" s="42"/>
      <c r="B60" t="s">
        <v>26</v>
      </c>
    </row>
    <row r="61" spans="1:42">
      <c r="A61" s="42"/>
      <c r="B61" t="s">
        <v>27</v>
      </c>
    </row>
    <row r="62" spans="1:42">
      <c r="A62" s="42" t="s">
        <v>28</v>
      </c>
      <c r="B62" t="s">
        <v>17</v>
      </c>
      <c r="C62" t="s">
        <v>36</v>
      </c>
      <c r="F62" t="s">
        <v>32</v>
      </c>
      <c r="I62" t="s">
        <v>34</v>
      </c>
      <c r="L62" t="s">
        <v>33</v>
      </c>
      <c r="O62" s="1" t="s">
        <v>53</v>
      </c>
      <c r="R62" t="s">
        <v>52</v>
      </c>
      <c r="U62" t="s">
        <v>52</v>
      </c>
      <c r="X62" t="s">
        <v>47</v>
      </c>
      <c r="AA62" t="s">
        <v>52</v>
      </c>
      <c r="AD62" t="s">
        <v>47</v>
      </c>
      <c r="AG62" t="s">
        <v>52</v>
      </c>
      <c r="AJ62" t="s">
        <v>47</v>
      </c>
      <c r="AM62" t="s">
        <v>52</v>
      </c>
      <c r="AP62" t="s">
        <v>47</v>
      </c>
    </row>
    <row r="63" spans="1:42">
      <c r="A63" s="42"/>
      <c r="B63" t="s">
        <v>26</v>
      </c>
    </row>
    <row r="64" spans="1:42">
      <c r="A64" s="42"/>
      <c r="B64" t="s">
        <v>27</v>
      </c>
    </row>
    <row r="65" spans="1:44">
      <c r="C65">
        <v>37.700000000000003</v>
      </c>
      <c r="F65">
        <v>36.6</v>
      </c>
      <c r="I65">
        <v>32.200000000000003</v>
      </c>
      <c r="L65">
        <v>51.4</v>
      </c>
      <c r="O65">
        <v>50.3</v>
      </c>
      <c r="R65">
        <v>82.2</v>
      </c>
      <c r="U65">
        <v>46.7</v>
      </c>
      <c r="X65">
        <v>46</v>
      </c>
      <c r="AA65">
        <v>41.9</v>
      </c>
      <c r="AD65">
        <v>68.2</v>
      </c>
      <c r="AG65">
        <v>49.2</v>
      </c>
      <c r="AJ65">
        <v>39.200000000000003</v>
      </c>
      <c r="AM65">
        <v>45.9</v>
      </c>
      <c r="AP65">
        <v>27.8</v>
      </c>
    </row>
    <row r="66" spans="1:44">
      <c r="C66">
        <v>37.6</v>
      </c>
      <c r="F66">
        <v>36.799999999999997</v>
      </c>
      <c r="I66">
        <v>31.7</v>
      </c>
      <c r="L66">
        <v>52.4</v>
      </c>
      <c r="O66">
        <v>52.8</v>
      </c>
      <c r="R66">
        <v>82</v>
      </c>
      <c r="U66">
        <v>45.5</v>
      </c>
      <c r="X66">
        <v>43.6</v>
      </c>
      <c r="AA66">
        <v>46.8</v>
      </c>
      <c r="AD66">
        <v>65.7</v>
      </c>
      <c r="AG66">
        <v>47.3</v>
      </c>
      <c r="AJ66">
        <v>39.299999999999997</v>
      </c>
      <c r="AM66">
        <v>42.5</v>
      </c>
    </row>
    <row r="67" spans="1:44">
      <c r="C67">
        <v>37.5</v>
      </c>
      <c r="F67">
        <v>37</v>
      </c>
      <c r="I67">
        <v>31.3</v>
      </c>
      <c r="L67">
        <v>50.4</v>
      </c>
      <c r="O67">
        <v>51.1</v>
      </c>
      <c r="R67">
        <v>82.9</v>
      </c>
      <c r="U67">
        <v>45.9</v>
      </c>
      <c r="X67">
        <v>47.1</v>
      </c>
      <c r="AA67">
        <v>43.8</v>
      </c>
      <c r="AD67">
        <v>66.7</v>
      </c>
      <c r="AG67">
        <v>48.9</v>
      </c>
      <c r="AJ67">
        <v>39.299999999999997</v>
      </c>
      <c r="AM67">
        <v>43.9</v>
      </c>
    </row>
    <row r="68" spans="1:44">
      <c r="C68">
        <v>38.9</v>
      </c>
      <c r="F68">
        <v>35</v>
      </c>
      <c r="I68">
        <v>31.7</v>
      </c>
      <c r="L68">
        <v>51.9</v>
      </c>
      <c r="O68">
        <v>53.3</v>
      </c>
      <c r="R68">
        <v>81.5</v>
      </c>
      <c r="U68">
        <v>45.8</v>
      </c>
      <c r="AA68">
        <v>45.8</v>
      </c>
      <c r="AD68">
        <v>66.400000000000006</v>
      </c>
      <c r="AG68">
        <v>43.4</v>
      </c>
      <c r="AJ68">
        <v>39.200000000000003</v>
      </c>
    </row>
    <row r="69" spans="1:44">
      <c r="C69">
        <v>35.5</v>
      </c>
      <c r="F69">
        <v>34.4</v>
      </c>
      <c r="I69">
        <v>31.3</v>
      </c>
      <c r="L69">
        <v>52.2</v>
      </c>
      <c r="R69">
        <v>81.099999999999994</v>
      </c>
      <c r="U69">
        <v>46.7</v>
      </c>
      <c r="AA69">
        <v>47.5</v>
      </c>
      <c r="AD69">
        <v>63.9</v>
      </c>
    </row>
    <row r="70" spans="1:44">
      <c r="C70">
        <v>37.6</v>
      </c>
      <c r="I70">
        <v>31.8</v>
      </c>
      <c r="R70">
        <v>80.900000000000006</v>
      </c>
      <c r="U70">
        <v>46.1</v>
      </c>
    </row>
    <row r="71" spans="1:44">
      <c r="C71">
        <v>38</v>
      </c>
    </row>
    <row r="72" spans="1:44">
      <c r="C72">
        <v>36.6</v>
      </c>
    </row>
    <row r="73" spans="1:44" s="15" customFormat="1" ht="12" customHeight="1">
      <c r="A73" s="23" t="s">
        <v>144</v>
      </c>
      <c r="B73" s="15" t="s">
        <v>143</v>
      </c>
      <c r="C73" s="15">
        <f>AVERAGE(C65:E72)</f>
        <v>37.425000000000004</v>
      </c>
      <c r="F73" s="15">
        <f>AVERAGE(F65:H72)</f>
        <v>35.96</v>
      </c>
      <c r="I73" s="15">
        <f>AVERAGE(I65:K72)</f>
        <v>31.666666666666671</v>
      </c>
      <c r="L73" s="15">
        <f>AVERAGE(L65:N72)</f>
        <v>51.660000000000004</v>
      </c>
      <c r="O73" s="15">
        <f>AVERAGE(O65:Q72)</f>
        <v>51.875</v>
      </c>
      <c r="R73" s="15">
        <f>AVERAGE(R65:T72)</f>
        <v>81.766666666666666</v>
      </c>
      <c r="U73" s="15">
        <f>AVERAGE(U65:W72)</f>
        <v>46.116666666666667</v>
      </c>
      <c r="X73" s="15">
        <f>AVERAGE(X65:Z72)</f>
        <v>45.566666666666663</v>
      </c>
      <c r="AA73" s="15">
        <f>AVERAGE(AA65:AC72)</f>
        <v>45.160000000000004</v>
      </c>
      <c r="AD73" s="15">
        <f>AVERAGE(AD65:AF72)</f>
        <v>66.179999999999993</v>
      </c>
      <c r="AG73" s="15">
        <f>AVERAGE(AG65:AI72)</f>
        <v>47.2</v>
      </c>
      <c r="AJ73" s="15">
        <f>AVERAGE(AJ65:AL72)</f>
        <v>39.25</v>
      </c>
      <c r="AM73" s="15">
        <f>AVERAGE(AM65:AO72)</f>
        <v>44.1</v>
      </c>
      <c r="AP73" s="15">
        <f>AVERAGE(AP65:AR72)</f>
        <v>27.8</v>
      </c>
    </row>
    <row r="74" spans="1:44" s="2" customFormat="1" ht="12" customHeight="1">
      <c r="A74" s="24"/>
      <c r="C74" s="2">
        <f>C4-C3</f>
        <v>1.9000000000000004</v>
      </c>
      <c r="D74" s="2">
        <f t="shared" ref="D74:AR74" si="0">D4-D3</f>
        <v>2.9000000000000004</v>
      </c>
      <c r="E74" s="2">
        <f t="shared" si="0"/>
        <v>2.0999999999999996</v>
      </c>
      <c r="F74" s="2">
        <f t="shared" si="0"/>
        <v>2</v>
      </c>
      <c r="G74" s="2">
        <f t="shared" si="0"/>
        <v>2.2999999999999998</v>
      </c>
      <c r="H74" s="2">
        <f t="shared" si="0"/>
        <v>1.9000000000000004</v>
      </c>
      <c r="I74" s="2">
        <f t="shared" si="0"/>
        <v>2</v>
      </c>
      <c r="J74" s="2">
        <f t="shared" si="0"/>
        <v>3.6000000000000005</v>
      </c>
      <c r="K74" s="2">
        <f t="shared" si="0"/>
        <v>2.2000000000000002</v>
      </c>
      <c r="L74" s="2">
        <f t="shared" si="0"/>
        <v>2</v>
      </c>
      <c r="M74" s="2">
        <f t="shared" si="0"/>
        <v>2.5</v>
      </c>
      <c r="N74" s="2">
        <f t="shared" si="0"/>
        <v>2.0999999999999996</v>
      </c>
      <c r="O74" s="2">
        <f t="shared" si="0"/>
        <v>1.7000000000000002</v>
      </c>
      <c r="P74" s="2">
        <f t="shared" si="0"/>
        <v>2.3000000000000007</v>
      </c>
      <c r="Q74" s="2">
        <f t="shared" si="0"/>
        <v>1.9000000000000004</v>
      </c>
      <c r="R74" s="2">
        <f t="shared" si="0"/>
        <v>2.6999999999999993</v>
      </c>
      <c r="S74" s="2">
        <f t="shared" si="0"/>
        <v>3.1000000000000005</v>
      </c>
      <c r="T74" s="2">
        <f t="shared" si="0"/>
        <v>3.4000000000000004</v>
      </c>
      <c r="U74" s="2">
        <f t="shared" si="0"/>
        <v>2.0999999999999996</v>
      </c>
      <c r="V74" s="2">
        <f t="shared" si="0"/>
        <v>2.8</v>
      </c>
      <c r="W74" s="2">
        <f t="shared" si="0"/>
        <v>2.0999999999999996</v>
      </c>
      <c r="X74" s="2">
        <f t="shared" si="0"/>
        <v>2</v>
      </c>
      <c r="Y74" s="2">
        <f t="shared" si="0"/>
        <v>2.0999999999999996</v>
      </c>
      <c r="Z74" s="2">
        <f t="shared" si="0"/>
        <v>2</v>
      </c>
      <c r="AA74" s="2">
        <f t="shared" si="0"/>
        <v>2.0999999999999996</v>
      </c>
      <c r="AB74" s="2">
        <f t="shared" si="0"/>
        <v>2.3999999999999995</v>
      </c>
      <c r="AC74" s="2">
        <f t="shared" si="0"/>
        <v>1.9000000000000004</v>
      </c>
      <c r="AD74" s="2">
        <f t="shared" si="0"/>
        <v>2.5999999999999996</v>
      </c>
      <c r="AE74" s="2">
        <f t="shared" si="0"/>
        <v>3</v>
      </c>
      <c r="AF74" s="2">
        <f t="shared" si="0"/>
        <v>2.5</v>
      </c>
      <c r="AG74" s="2">
        <f t="shared" si="0"/>
        <v>2</v>
      </c>
      <c r="AH74" s="2">
        <f t="shared" si="0"/>
        <v>2.9000000000000004</v>
      </c>
      <c r="AI74" s="2">
        <f t="shared" si="0"/>
        <v>2</v>
      </c>
      <c r="AJ74" s="2">
        <f t="shared" si="0"/>
        <v>2.9999999999999991</v>
      </c>
      <c r="AK74" s="2">
        <f t="shared" si="0"/>
        <v>3.8</v>
      </c>
      <c r="AL74" s="2">
        <f t="shared" si="0"/>
        <v>3</v>
      </c>
      <c r="AM74" s="2">
        <f t="shared" si="0"/>
        <v>2.0999999999999996</v>
      </c>
      <c r="AN74" s="2">
        <f t="shared" si="0"/>
        <v>2.4000000000000004</v>
      </c>
      <c r="AO74" s="2">
        <f t="shared" si="0"/>
        <v>2</v>
      </c>
      <c r="AP74" s="2">
        <f t="shared" si="0"/>
        <v>2.1000000000000005</v>
      </c>
      <c r="AQ74" s="2">
        <f t="shared" si="0"/>
        <v>2.8</v>
      </c>
      <c r="AR74" s="2">
        <f t="shared" si="0"/>
        <v>2</v>
      </c>
    </row>
    <row r="75" spans="1:44" s="15" customFormat="1" ht="12" customHeight="1">
      <c r="A75" s="23"/>
      <c r="B75" s="15" t="s">
        <v>146</v>
      </c>
      <c r="C75" s="15">
        <f>AVERAGE(C74:E74)</f>
        <v>2.3000000000000003</v>
      </c>
      <c r="F75" s="15">
        <f>AVERAGE(F74:H74)</f>
        <v>2.0666666666666669</v>
      </c>
      <c r="I75" s="15">
        <f>AVERAGE(I74:K74)</f>
        <v>2.6</v>
      </c>
      <c r="L75" s="15">
        <f>AVERAGE(L74:N74)</f>
        <v>2.1999999999999997</v>
      </c>
      <c r="O75" s="15">
        <f>AVERAGE(O74:Q74)</f>
        <v>1.966666666666667</v>
      </c>
      <c r="R75" s="15">
        <f>AVERAGE(R74:T74)</f>
        <v>3.0666666666666664</v>
      </c>
      <c r="U75" s="15">
        <f>AVERAGE(U74:W74)</f>
        <v>2.333333333333333</v>
      </c>
      <c r="X75" s="15">
        <f>AVERAGE(X74:Z74)</f>
        <v>2.0333333333333332</v>
      </c>
      <c r="AA75" s="15">
        <f>AVERAGE(AA74:AC74)</f>
        <v>2.1333333333333333</v>
      </c>
      <c r="AD75" s="15">
        <f>AVERAGE(AD74:AF74)</f>
        <v>2.6999999999999997</v>
      </c>
      <c r="AG75" s="15">
        <f>AVERAGE(AG74:AI74)</f>
        <v>2.3000000000000003</v>
      </c>
      <c r="AJ75" s="15">
        <f>AVERAGE(AJ74:AL74)</f>
        <v>3.2666666666666662</v>
      </c>
      <c r="AM75" s="15">
        <f>AVERAGE(AM74:AO74)</f>
        <v>2.1666666666666665</v>
      </c>
      <c r="AP75" s="15">
        <f>AVERAGE(AP74:AR74)</f>
        <v>2.3000000000000003</v>
      </c>
    </row>
    <row r="76" spans="1:44" s="15" customFormat="1" ht="12" customHeight="1">
      <c r="A76" s="23"/>
      <c r="B76" s="15" t="s">
        <v>147</v>
      </c>
      <c r="C76" s="15">
        <f>4200*C75*C5/3.6/1000</f>
        <v>321.19500000000005</v>
      </c>
      <c r="F76" s="15">
        <f>4200*F75*F5/3.6/1000</f>
        <v>277.51888888888885</v>
      </c>
      <c r="I76" s="15">
        <f>4200*I75*I5/3.6/1000</f>
        <v>286.34666666666669</v>
      </c>
      <c r="L76" s="15">
        <f>4200*L75*L5/3.6/1000</f>
        <v>452.50333333333327</v>
      </c>
      <c r="O76" s="15">
        <f>4200*O75*O5/3.6/1000</f>
        <v>377.66555555555561</v>
      </c>
      <c r="R76" s="15">
        <f>4200*R75*R5/3.6/1000</f>
        <v>644.35777777777764</v>
      </c>
      <c r="U76" s="15">
        <f>4200*U75*U5/3.6/1000</f>
        <v>379.74999999999994</v>
      </c>
      <c r="X76" s="15">
        <f>4200*X75*X5/3.6/1000</f>
        <v>346.10722222222216</v>
      </c>
      <c r="AA76" s="15">
        <f>4200*AA75*AA5/3.6/1000</f>
        <v>350.93333333333334</v>
      </c>
      <c r="AD76" s="15">
        <f>4200*AD75*AD5/3.6/1000</f>
        <v>529.19999999999993</v>
      </c>
      <c r="AG76" s="15">
        <f>4200*AG75*AG5/3.6/1000</f>
        <v>399.81666666666672</v>
      </c>
      <c r="AJ76" s="15">
        <f>4200*AJ75*AJ5/3.6/1000</f>
        <v>324.70666666666671</v>
      </c>
      <c r="AM76" s="15">
        <f>4200*AM75*AM5/3.6/1000</f>
        <v>361.47222222222217</v>
      </c>
      <c r="AP76" s="15">
        <f>4200*AP75*AP5/3.6/1000</f>
        <v>361.84750000000008</v>
      </c>
    </row>
    <row r="77" spans="1:44" s="15" customFormat="1" ht="12" customHeight="1">
      <c r="A77" s="23"/>
      <c r="B77" s="15" t="s">
        <v>148</v>
      </c>
      <c r="C77" s="25">
        <f>C76/908.5</f>
        <v>0.35354430379746843</v>
      </c>
      <c r="F77" s="25">
        <f>F76/908.5</f>
        <v>0.30546933284412642</v>
      </c>
      <c r="I77" s="25">
        <f>I76/908.5</f>
        <v>0.3151862043661714</v>
      </c>
      <c r="L77" s="25">
        <f>L76/908.5</f>
        <v>0.49807741698770863</v>
      </c>
      <c r="O77" s="25">
        <f>O76/908.5</f>
        <v>0.4157023176175626</v>
      </c>
      <c r="R77" s="25">
        <f>R76/908.5</f>
        <v>0.70925457102672274</v>
      </c>
      <c r="U77" s="25">
        <f>U76/908.5</f>
        <v>0.41799669785360477</v>
      </c>
      <c r="X77" s="25">
        <f>X76/908.5</f>
        <v>0.38096557206628745</v>
      </c>
      <c r="AA77" s="25">
        <f>AA76/908.5</f>
        <v>0.3862777472023482</v>
      </c>
      <c r="AD77" s="25">
        <f>AD76/908.5</f>
        <v>0.58249862410566866</v>
      </c>
      <c r="AG77" s="25">
        <f>AG76/908.5</f>
        <v>0.44008438818565404</v>
      </c>
      <c r="AJ77" s="25">
        <f>AJ76/908.5</f>
        <v>0.35740964960557703</v>
      </c>
      <c r="AM77" s="25">
        <f>AM76/908.5</f>
        <v>0.39787806518681584</v>
      </c>
      <c r="AP77" s="25">
        <f>AP76/908.5</f>
        <v>0.39829113924050641</v>
      </c>
    </row>
    <row r="78" spans="1:44" s="15" customFormat="1" ht="12" customHeight="1">
      <c r="A78" s="23"/>
      <c r="B78" s="15" t="s">
        <v>149</v>
      </c>
      <c r="C78" s="15">
        <f>C76/C73</f>
        <v>8.5823647294589183</v>
      </c>
      <c r="F78" s="15">
        <f>F76/F73</f>
        <v>7.7174329501915695</v>
      </c>
      <c r="I78" s="15">
        <f>I76/I73</f>
        <v>9.0425263157894733</v>
      </c>
      <c r="L78" s="15">
        <f>L76/L73</f>
        <v>8.7592592592592577</v>
      </c>
      <c r="O78" s="15">
        <f>O76/O73</f>
        <v>7.2802998661311928</v>
      </c>
      <c r="R78" s="15">
        <f>R76/R73</f>
        <v>7.8804457127327066</v>
      </c>
      <c r="U78" s="15">
        <f>U76/U73</f>
        <v>8.2345500542103345</v>
      </c>
      <c r="X78" s="15">
        <f>X76/X73</f>
        <v>7.5956230187759077</v>
      </c>
      <c r="AA78" s="15">
        <f>AA76/AA73</f>
        <v>7.7708886920578681</v>
      </c>
      <c r="AD78" s="15">
        <f>AD76/AD73</f>
        <v>7.9963735267452405</v>
      </c>
      <c r="AG78" s="15">
        <f>AG76/AG73</f>
        <v>8.470692090395481</v>
      </c>
      <c r="AJ78" s="15">
        <f>AJ76/AJ73</f>
        <v>8.2727813163481958</v>
      </c>
      <c r="AM78" s="15">
        <f>AM76/AM73</f>
        <v>8.1966490299823622</v>
      </c>
      <c r="AP78" s="15">
        <f>AP76/AP73</f>
        <v>13.016097122302162</v>
      </c>
    </row>
    <row r="79" spans="1:44">
      <c r="C79">
        <v>30.4</v>
      </c>
      <c r="F79">
        <v>31.9</v>
      </c>
      <c r="I79">
        <v>23.6</v>
      </c>
    </row>
    <row r="80" spans="1:44">
      <c r="C80">
        <v>30.2</v>
      </c>
      <c r="F80">
        <v>29</v>
      </c>
      <c r="I80">
        <v>22.1</v>
      </c>
    </row>
    <row r="81" spans="1:11">
      <c r="C81">
        <v>32.6</v>
      </c>
      <c r="F81">
        <v>31.5</v>
      </c>
      <c r="I81">
        <v>22.6</v>
      </c>
    </row>
    <row r="82" spans="1:11">
      <c r="C82">
        <v>31.6</v>
      </c>
      <c r="F82">
        <v>23.9</v>
      </c>
      <c r="I82">
        <v>22.4</v>
      </c>
    </row>
    <row r="83" spans="1:11">
      <c r="C83">
        <v>28</v>
      </c>
      <c r="F83">
        <v>26.3</v>
      </c>
      <c r="I83">
        <v>22</v>
      </c>
    </row>
    <row r="84" spans="1:11">
      <c r="C84">
        <v>32.299999999999997</v>
      </c>
      <c r="I84">
        <v>22.2</v>
      </c>
    </row>
    <row r="85" spans="1:11">
      <c r="C85">
        <v>31</v>
      </c>
    </row>
    <row r="86" spans="1:11">
      <c r="C86">
        <v>27.2</v>
      </c>
    </row>
    <row r="87" spans="1:11" s="15" customFormat="1">
      <c r="A87" s="23" t="s">
        <v>145</v>
      </c>
      <c r="B87" s="15" t="s">
        <v>143</v>
      </c>
      <c r="C87" s="15">
        <f>AVERAGE(C79:E86)</f>
        <v>30.412499999999994</v>
      </c>
      <c r="F87" s="15">
        <f>AVERAGE(F79:H86)</f>
        <v>28.520000000000003</v>
      </c>
      <c r="I87" s="15">
        <f>AVERAGE(I79:K86)</f>
        <v>22.483333333333334</v>
      </c>
    </row>
    <row r="88" spans="1:11">
      <c r="A88" s="24"/>
      <c r="B88" s="2"/>
      <c r="C88" s="2">
        <f>C15-C14</f>
        <v>2</v>
      </c>
      <c r="D88" s="2">
        <f t="shared" ref="D88:K88" si="1">D15-D14</f>
        <v>2</v>
      </c>
      <c r="E88" s="2">
        <f t="shared" si="1"/>
        <v>1.6999999999999993</v>
      </c>
      <c r="F88" s="2">
        <f t="shared" si="1"/>
        <v>1.7999999999999998</v>
      </c>
      <c r="G88" s="2">
        <f t="shared" si="1"/>
        <v>3</v>
      </c>
      <c r="H88" s="2">
        <f t="shared" si="1"/>
        <v>1.7000000000000011</v>
      </c>
      <c r="I88" s="2">
        <f t="shared" si="1"/>
        <v>2.0999999999999996</v>
      </c>
      <c r="J88" s="2">
        <f t="shared" si="1"/>
        <v>1.8000000000000007</v>
      </c>
      <c r="K88" s="2">
        <f t="shared" si="1"/>
        <v>2.4000000000000004</v>
      </c>
    </row>
    <row r="89" spans="1:11" s="15" customFormat="1">
      <c r="A89" s="23"/>
      <c r="B89" s="15" t="s">
        <v>146</v>
      </c>
      <c r="C89" s="15">
        <f>AVERAGE(C88:E88)</f>
        <v>1.8999999999999997</v>
      </c>
      <c r="F89" s="15">
        <f>AVERAGE(F88:H88)</f>
        <v>2.166666666666667</v>
      </c>
      <c r="I89" s="15">
        <f>AVERAGE(I88:K88)</f>
        <v>2.1</v>
      </c>
    </row>
    <row r="90" spans="1:11" s="15" customFormat="1">
      <c r="A90" s="23"/>
      <c r="B90" s="15" t="s">
        <v>147</v>
      </c>
      <c r="C90" s="15">
        <f>4200*C89*C16/3.6/1000</f>
        <v>277.96999999999991</v>
      </c>
      <c r="F90" s="15">
        <f>4200*F89*F16/3.6/1000</f>
        <v>302.57500000000005</v>
      </c>
      <c r="I90" s="15">
        <f>4200*I89*I16/3.6/1000</f>
        <v>233.24</v>
      </c>
    </row>
    <row r="91" spans="1:11" s="15" customFormat="1">
      <c r="A91" s="23"/>
      <c r="B91" s="15" t="s">
        <v>148</v>
      </c>
      <c r="C91" s="25">
        <f>C90/908.5</f>
        <v>0.30596587782058327</v>
      </c>
      <c r="F91" s="25">
        <f>F90/908.5</f>
        <v>0.33304898183819487</v>
      </c>
      <c r="I91" s="25">
        <f>I90/908.5</f>
        <v>0.25673087506879472</v>
      </c>
    </row>
    <row r="92" spans="1:11" s="15" customFormat="1">
      <c r="A92" s="23"/>
      <c r="B92" s="15" t="s">
        <v>149</v>
      </c>
      <c r="C92" s="15">
        <f>C90/C87</f>
        <v>9.1399917796958476</v>
      </c>
      <c r="F92" s="15">
        <f>F90/F87</f>
        <v>10.609221598877982</v>
      </c>
      <c r="I92" s="15">
        <f>I90/I87</f>
        <v>10.373906597479614</v>
      </c>
    </row>
  </sheetData>
  <mergeCells count="12">
    <mergeCell ref="A62:A64"/>
    <mergeCell ref="A3:A13"/>
    <mergeCell ref="A14:A24"/>
    <mergeCell ref="A25:A29"/>
    <mergeCell ref="A30:A34"/>
    <mergeCell ref="A35:A39"/>
    <mergeCell ref="A40:A44"/>
    <mergeCell ref="A45:A49"/>
    <mergeCell ref="A50:A54"/>
    <mergeCell ref="A55:A56"/>
    <mergeCell ref="A57:A58"/>
    <mergeCell ref="A59:A6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C16" workbookViewId="0">
      <selection activeCell="W12" sqref="W12:Z19"/>
    </sheetView>
  </sheetViews>
  <sheetFormatPr defaultRowHeight="14.25"/>
  <cols>
    <col min="1" max="1" width="12.125" customWidth="1"/>
  </cols>
  <sheetData>
    <row r="1" spans="1:26">
      <c r="A1" s="6" t="s">
        <v>150</v>
      </c>
    </row>
    <row r="2" spans="1:26">
      <c r="A2" s="15" t="s">
        <v>143</v>
      </c>
      <c r="B2">
        <v>40.9</v>
      </c>
      <c r="C2">
        <v>45.133333333333333</v>
      </c>
      <c r="D2">
        <v>48.4</v>
      </c>
      <c r="E2">
        <v>43.5</v>
      </c>
      <c r="F2">
        <v>44.233333333333327</v>
      </c>
      <c r="G2">
        <v>45.475000000000001</v>
      </c>
      <c r="H2">
        <v>24.266666666666669</v>
      </c>
      <c r="I2">
        <v>49.3</v>
      </c>
      <c r="J2">
        <v>37.425000000000004</v>
      </c>
      <c r="K2">
        <v>35.96</v>
      </c>
      <c r="L2">
        <v>31.666666666666671</v>
      </c>
      <c r="M2">
        <v>51.660000000000004</v>
      </c>
      <c r="N2">
        <v>51.875</v>
      </c>
      <c r="O2">
        <v>81.766666666666666</v>
      </c>
      <c r="P2">
        <v>46.116666666666667</v>
      </c>
      <c r="Q2">
        <v>45.566666666666663</v>
      </c>
      <c r="R2">
        <v>45.160000000000004</v>
      </c>
      <c r="S2">
        <v>66.179999999999993</v>
      </c>
      <c r="T2">
        <v>47.2</v>
      </c>
      <c r="U2">
        <v>39.25</v>
      </c>
      <c r="V2">
        <v>44.1</v>
      </c>
      <c r="W2">
        <v>27.8</v>
      </c>
    </row>
    <row r="3" spans="1:26">
      <c r="A3" s="2"/>
      <c r="B3">
        <v>2.3000000000000007</v>
      </c>
      <c r="C3">
        <v>2.1999999999999993</v>
      </c>
      <c r="D3">
        <v>2.0999999999999996</v>
      </c>
      <c r="E3">
        <v>2.8</v>
      </c>
      <c r="F3">
        <v>2.8</v>
      </c>
      <c r="G3">
        <v>3.0999999999999996</v>
      </c>
      <c r="H3">
        <v>2.4000000000000004</v>
      </c>
      <c r="I3">
        <v>2.2000000000000002</v>
      </c>
      <c r="J3">
        <v>1.9000000000000004</v>
      </c>
      <c r="K3">
        <v>2</v>
      </c>
      <c r="L3">
        <v>2</v>
      </c>
      <c r="M3">
        <v>2</v>
      </c>
      <c r="N3">
        <v>1.7000000000000002</v>
      </c>
      <c r="O3">
        <v>2.6999999999999993</v>
      </c>
      <c r="P3">
        <v>2.0999999999999996</v>
      </c>
      <c r="Q3">
        <v>2</v>
      </c>
      <c r="R3">
        <v>2.0999999999999996</v>
      </c>
      <c r="S3">
        <v>2.5999999999999996</v>
      </c>
      <c r="T3">
        <v>2</v>
      </c>
      <c r="U3">
        <v>2.9999999999999991</v>
      </c>
      <c r="V3">
        <v>2.0999999999999996</v>
      </c>
      <c r="W3">
        <v>2.1000000000000005</v>
      </c>
    </row>
    <row r="4" spans="1:26">
      <c r="B4">
        <v>2.8</v>
      </c>
      <c r="C4">
        <v>2.5</v>
      </c>
      <c r="D4">
        <v>2.3999999999999995</v>
      </c>
      <c r="E4">
        <v>3.5</v>
      </c>
      <c r="F4">
        <v>3.5</v>
      </c>
      <c r="G4">
        <v>4</v>
      </c>
      <c r="H4">
        <v>3</v>
      </c>
      <c r="I4">
        <v>2.9000000000000004</v>
      </c>
      <c r="J4">
        <v>2.9000000000000004</v>
      </c>
      <c r="K4">
        <v>2.2999999999999998</v>
      </c>
      <c r="L4">
        <v>3.6000000000000005</v>
      </c>
      <c r="M4">
        <v>2.5</v>
      </c>
      <c r="N4">
        <v>2.3000000000000007</v>
      </c>
      <c r="O4">
        <v>3.1000000000000005</v>
      </c>
      <c r="P4">
        <v>2.8</v>
      </c>
      <c r="Q4">
        <v>2.0999999999999996</v>
      </c>
      <c r="R4">
        <v>2.3999999999999995</v>
      </c>
      <c r="S4">
        <v>3</v>
      </c>
      <c r="T4">
        <v>2.9000000000000004</v>
      </c>
      <c r="U4">
        <v>3.8</v>
      </c>
      <c r="V4">
        <v>2.4000000000000004</v>
      </c>
      <c r="W4">
        <v>2.8</v>
      </c>
    </row>
    <row r="5" spans="1:26">
      <c r="B5">
        <v>2.4000000000000004</v>
      </c>
      <c r="C5">
        <v>2.0999999999999996</v>
      </c>
      <c r="D5">
        <v>2.0999999999999996</v>
      </c>
      <c r="E5">
        <v>2.5999999999999996</v>
      </c>
      <c r="F5">
        <v>2.8000000000000007</v>
      </c>
      <c r="G5">
        <v>2.5</v>
      </c>
      <c r="H5">
        <v>2.5</v>
      </c>
      <c r="I5">
        <v>2.0999999999999996</v>
      </c>
      <c r="J5">
        <v>2.0999999999999996</v>
      </c>
      <c r="K5">
        <v>1.9000000000000004</v>
      </c>
      <c r="L5">
        <v>2.2000000000000002</v>
      </c>
      <c r="M5">
        <v>2.0999999999999996</v>
      </c>
      <c r="N5">
        <v>1.9000000000000004</v>
      </c>
      <c r="O5">
        <v>3.4000000000000004</v>
      </c>
      <c r="P5">
        <v>2.0999999999999996</v>
      </c>
      <c r="Q5">
        <v>2</v>
      </c>
      <c r="R5">
        <v>1.9000000000000004</v>
      </c>
      <c r="S5">
        <v>2.5</v>
      </c>
      <c r="T5">
        <v>2</v>
      </c>
      <c r="U5">
        <v>3</v>
      </c>
      <c r="V5">
        <v>2</v>
      </c>
      <c r="W5">
        <v>2</v>
      </c>
    </row>
    <row r="6" spans="1:26">
      <c r="A6" s="15" t="s">
        <v>146</v>
      </c>
      <c r="B6">
        <f>AVERAGE(B3:B5)</f>
        <v>2.5000000000000004</v>
      </c>
      <c r="C6">
        <f t="shared" ref="C6:I6" si="0">AVERAGE(C3:C5)</f>
        <v>2.2666666666666662</v>
      </c>
      <c r="D6">
        <f t="shared" si="0"/>
        <v>2.1999999999999997</v>
      </c>
      <c r="E6">
        <f t="shared" si="0"/>
        <v>2.9666666666666663</v>
      </c>
      <c r="F6">
        <f t="shared" si="0"/>
        <v>3.0333333333333337</v>
      </c>
      <c r="G6">
        <f t="shared" si="0"/>
        <v>3.1999999999999997</v>
      </c>
      <c r="H6">
        <f t="shared" si="0"/>
        <v>2.6333333333333333</v>
      </c>
      <c r="I6">
        <f t="shared" si="0"/>
        <v>2.4</v>
      </c>
      <c r="J6">
        <f t="shared" ref="J6" si="1">AVERAGE(J3:J5)</f>
        <v>2.3000000000000003</v>
      </c>
      <c r="K6">
        <f t="shared" ref="K6" si="2">AVERAGE(K3:K5)</f>
        <v>2.0666666666666669</v>
      </c>
      <c r="L6">
        <f t="shared" ref="L6" si="3">AVERAGE(L3:L5)</f>
        <v>2.6</v>
      </c>
      <c r="M6">
        <f t="shared" ref="M6" si="4">AVERAGE(M3:M5)</f>
        <v>2.1999999999999997</v>
      </c>
      <c r="N6">
        <f t="shared" ref="N6" si="5">AVERAGE(N3:N5)</f>
        <v>1.966666666666667</v>
      </c>
      <c r="O6">
        <f t="shared" ref="O6" si="6">AVERAGE(O3:O5)</f>
        <v>3.0666666666666664</v>
      </c>
      <c r="P6">
        <f t="shared" ref="P6" si="7">AVERAGE(P3:P5)</f>
        <v>2.333333333333333</v>
      </c>
      <c r="Q6">
        <f t="shared" ref="Q6" si="8">AVERAGE(Q3:Q5)</f>
        <v>2.0333333333333332</v>
      </c>
      <c r="R6">
        <f t="shared" ref="R6" si="9">AVERAGE(R3:R5)</f>
        <v>2.1333333333333333</v>
      </c>
      <c r="S6">
        <f t="shared" ref="S6" si="10">AVERAGE(S3:S5)</f>
        <v>2.6999999999999997</v>
      </c>
      <c r="T6">
        <f t="shared" ref="T6" si="11">AVERAGE(T3:T5)</f>
        <v>2.3000000000000003</v>
      </c>
      <c r="U6">
        <f t="shared" ref="U6" si="12">AVERAGE(U3:U5)</f>
        <v>3.2666666666666662</v>
      </c>
      <c r="V6">
        <f t="shared" ref="V6" si="13">AVERAGE(V3:V5)</f>
        <v>2.1666666666666665</v>
      </c>
      <c r="W6">
        <f t="shared" ref="W6" si="14">AVERAGE(W3:W5)</f>
        <v>2.3000000000000003</v>
      </c>
    </row>
    <row r="7" spans="1:26">
      <c r="A7" s="15" t="s">
        <v>67</v>
      </c>
      <c r="B7">
        <v>110.3</v>
      </c>
      <c r="C7">
        <v>133.5</v>
      </c>
      <c r="D7">
        <v>138.15</v>
      </c>
      <c r="E7">
        <v>98.4</v>
      </c>
      <c r="F7">
        <v>95.2</v>
      </c>
      <c r="G7">
        <v>97.4</v>
      </c>
      <c r="H7">
        <v>77.400000000000006</v>
      </c>
      <c r="I7">
        <v>140.4</v>
      </c>
      <c r="J7">
        <v>119.7</v>
      </c>
      <c r="K7">
        <v>115.1</v>
      </c>
      <c r="L7">
        <v>94.4</v>
      </c>
      <c r="M7">
        <v>176.3</v>
      </c>
      <c r="N7">
        <v>164.6</v>
      </c>
      <c r="O7">
        <v>180.1</v>
      </c>
      <c r="P7">
        <v>139.5</v>
      </c>
      <c r="Q7">
        <v>145.9</v>
      </c>
      <c r="R7">
        <v>141</v>
      </c>
      <c r="S7">
        <v>168</v>
      </c>
      <c r="T7">
        <v>149</v>
      </c>
      <c r="U7">
        <v>85.2</v>
      </c>
      <c r="V7">
        <v>143</v>
      </c>
      <c r="W7">
        <v>134.85</v>
      </c>
    </row>
    <row r="8" spans="1:26">
      <c r="A8" s="15" t="s">
        <v>147</v>
      </c>
      <c r="B8">
        <f>B6*4.2*B7/3.6</f>
        <v>321.70833333333337</v>
      </c>
      <c r="C8">
        <f t="shared" ref="C8:I8" si="15">C6*4.2*C7/3.6</f>
        <v>353.03333333333325</v>
      </c>
      <c r="D8">
        <f t="shared" si="15"/>
        <v>354.58499999999998</v>
      </c>
      <c r="E8">
        <f t="shared" si="15"/>
        <v>340.57333333333332</v>
      </c>
      <c r="F8">
        <f t="shared" si="15"/>
        <v>336.90222222222229</v>
      </c>
      <c r="G8">
        <f t="shared" si="15"/>
        <v>363.62666666666667</v>
      </c>
      <c r="H8">
        <f t="shared" si="15"/>
        <v>237.79000000000002</v>
      </c>
      <c r="I8">
        <f t="shared" si="15"/>
        <v>393.12</v>
      </c>
      <c r="J8">
        <f t="shared" ref="J8" si="16">J6*4.2*J7/3.6</f>
        <v>321.19500000000011</v>
      </c>
      <c r="K8">
        <f t="shared" ref="K8" si="17">K6*4.2*K7/3.6</f>
        <v>277.51888888888891</v>
      </c>
      <c r="L8">
        <f t="shared" ref="L8" si="18">L6*4.2*L7/3.6</f>
        <v>286.34666666666669</v>
      </c>
      <c r="M8">
        <f t="shared" ref="M8" si="19">M6*4.2*M7/3.6</f>
        <v>452.50333333333322</v>
      </c>
      <c r="N8">
        <f t="shared" ref="N8" si="20">N6*4.2*N7/3.6</f>
        <v>377.66555555555561</v>
      </c>
      <c r="O8">
        <f t="shared" ref="O8" si="21">O6*4.2*O7/3.6</f>
        <v>644.35777777777764</v>
      </c>
      <c r="P8">
        <f t="shared" ref="P8" si="22">P6*4.2*P7/3.6</f>
        <v>379.74999999999994</v>
      </c>
      <c r="Q8">
        <f t="shared" ref="Q8" si="23">Q6*4.2*Q7/3.6</f>
        <v>346.10722222222216</v>
      </c>
      <c r="R8">
        <f t="shared" ref="R8" si="24">R6*4.2*R7/3.6</f>
        <v>350.93333333333334</v>
      </c>
      <c r="S8">
        <f t="shared" ref="S8" si="25">S6*4.2*S7/3.6</f>
        <v>529.19999999999993</v>
      </c>
      <c r="T8">
        <f t="shared" ref="T8" si="26">T6*4.2*T7/3.6</f>
        <v>399.81666666666678</v>
      </c>
      <c r="U8">
        <f t="shared" ref="U8" si="27">U6*4.2*U7/3.6</f>
        <v>324.70666666666665</v>
      </c>
      <c r="V8">
        <f t="shared" ref="V8" si="28">V6*4.2*V7/3.6</f>
        <v>361.47222222222223</v>
      </c>
      <c r="W8">
        <f t="shared" ref="W8" si="29">W6*4.2*W7/3.6</f>
        <v>361.84750000000008</v>
      </c>
    </row>
    <row r="9" spans="1:26">
      <c r="A9" s="15" t="s">
        <v>148</v>
      </c>
      <c r="B9" s="7">
        <f>B8/908.5</f>
        <v>0.35410933773619524</v>
      </c>
      <c r="C9" s="7">
        <f t="shared" ref="C9:I9" si="30">C8/908.5</f>
        <v>0.38858924967895792</v>
      </c>
      <c r="D9" s="7">
        <f t="shared" si="30"/>
        <v>0.39029719317556411</v>
      </c>
      <c r="E9" s="7">
        <f t="shared" si="30"/>
        <v>0.37487433498440653</v>
      </c>
      <c r="F9" s="7">
        <f t="shared" si="30"/>
        <v>0.37083348621048134</v>
      </c>
      <c r="G9" s="7">
        <f t="shared" si="30"/>
        <v>0.40024949550541183</v>
      </c>
      <c r="H9" s="7">
        <f t="shared" si="30"/>
        <v>0.26173913043478264</v>
      </c>
      <c r="I9" s="7">
        <f t="shared" si="30"/>
        <v>0.43271326362135387</v>
      </c>
      <c r="J9" s="7">
        <f t="shared" ref="J9" si="31">J8/908.5</f>
        <v>0.35354430379746848</v>
      </c>
      <c r="K9" s="7">
        <f t="shared" ref="K9" si="32">K8/908.5</f>
        <v>0.30546933284412647</v>
      </c>
      <c r="L9" s="7">
        <f t="shared" ref="L9" si="33">L8/908.5</f>
        <v>0.3151862043661714</v>
      </c>
      <c r="M9" s="7">
        <f t="shared" ref="M9" si="34">M8/908.5</f>
        <v>0.49807741698770852</v>
      </c>
      <c r="N9" s="7">
        <f t="shared" ref="N9" si="35">N8/908.5</f>
        <v>0.4157023176175626</v>
      </c>
      <c r="O9" s="7">
        <f t="shared" ref="O9" si="36">O8/908.5</f>
        <v>0.70925457102672274</v>
      </c>
      <c r="P9" s="7">
        <f t="shared" ref="P9" si="37">P8/908.5</f>
        <v>0.41799669785360477</v>
      </c>
      <c r="Q9" s="7">
        <f t="shared" ref="Q9" si="38">Q8/908.5</f>
        <v>0.38096557206628745</v>
      </c>
      <c r="R9" s="7">
        <f t="shared" ref="R9" si="39">R8/908.5</f>
        <v>0.3862777472023482</v>
      </c>
      <c r="S9" s="7">
        <f t="shared" ref="S9" si="40">S8/908.5</f>
        <v>0.58249862410566866</v>
      </c>
      <c r="T9" s="7">
        <f t="shared" ref="T9" si="41">T8/908.5</f>
        <v>0.44008438818565415</v>
      </c>
      <c r="U9" s="7">
        <f t="shared" ref="U9" si="42">U8/908.5</f>
        <v>0.35740964960557692</v>
      </c>
      <c r="V9" s="7">
        <f t="shared" ref="V9" si="43">V8/908.5</f>
        <v>0.3978780651868159</v>
      </c>
      <c r="W9" s="7">
        <f t="shared" ref="W9" si="44">W8/908.5</f>
        <v>0.39829113924050641</v>
      </c>
    </row>
    <row r="10" spans="1:26">
      <c r="A10" s="15" t="s">
        <v>149</v>
      </c>
      <c r="B10">
        <f>B8/B2</f>
        <v>7.8657294213528948</v>
      </c>
      <c r="C10">
        <f t="shared" ref="C10:W10" si="45">C8/C2</f>
        <v>7.8220088626292448</v>
      </c>
      <c r="D10">
        <f t="shared" si="45"/>
        <v>7.3261363636363637</v>
      </c>
      <c r="E10">
        <f t="shared" si="45"/>
        <v>7.8292720306513406</v>
      </c>
      <c r="F10">
        <f t="shared" si="45"/>
        <v>7.61647827179101</v>
      </c>
      <c r="G10">
        <f t="shared" si="45"/>
        <v>7.9961883818948136</v>
      </c>
      <c r="H10">
        <f t="shared" si="45"/>
        <v>9.799038461538462</v>
      </c>
      <c r="I10">
        <f t="shared" si="45"/>
        <v>7.9740365111561875</v>
      </c>
      <c r="J10">
        <f t="shared" si="45"/>
        <v>8.58236472945892</v>
      </c>
      <c r="K10">
        <f t="shared" si="45"/>
        <v>7.7174329501915713</v>
      </c>
      <c r="L10">
        <f t="shared" si="45"/>
        <v>9.0425263157894733</v>
      </c>
      <c r="M10">
        <f t="shared" si="45"/>
        <v>8.759259259259256</v>
      </c>
      <c r="N10">
        <f t="shared" si="45"/>
        <v>7.2802998661311928</v>
      </c>
      <c r="O10">
        <f t="shared" si="45"/>
        <v>7.8804457127327066</v>
      </c>
      <c r="P10">
        <f t="shared" si="45"/>
        <v>8.2345500542103345</v>
      </c>
      <c r="Q10">
        <f t="shared" si="45"/>
        <v>7.5956230187759077</v>
      </c>
      <c r="R10">
        <f t="shared" si="45"/>
        <v>7.7708886920578681</v>
      </c>
      <c r="S10">
        <f t="shared" si="45"/>
        <v>7.9963735267452405</v>
      </c>
      <c r="T10">
        <f t="shared" si="45"/>
        <v>8.4706920903954828</v>
      </c>
      <c r="U10">
        <f t="shared" si="45"/>
        <v>8.272781316348194</v>
      </c>
      <c r="V10">
        <f t="shared" si="45"/>
        <v>8.196649029982364</v>
      </c>
      <c r="W10">
        <f t="shared" si="45"/>
        <v>13.016097122302162</v>
      </c>
    </row>
    <row r="11" spans="1:26">
      <c r="A11" s="2"/>
    </row>
    <row r="12" spans="1:26">
      <c r="A12" s="26" t="s">
        <v>152</v>
      </c>
      <c r="B12">
        <v>518</v>
      </c>
      <c r="J12">
        <v>516</v>
      </c>
      <c r="O12">
        <v>517</v>
      </c>
      <c r="W12">
        <v>518</v>
      </c>
      <c r="X12">
        <v>516</v>
      </c>
    </row>
    <row r="13" spans="1:26">
      <c r="A13" s="15" t="s">
        <v>143</v>
      </c>
      <c r="B13" s="2">
        <v>40.9</v>
      </c>
      <c r="C13" s="2">
        <v>45.133333333333333</v>
      </c>
      <c r="D13" s="2">
        <v>48.4</v>
      </c>
      <c r="E13" s="2">
        <v>43.5</v>
      </c>
      <c r="F13" s="2">
        <v>44.233333333333327</v>
      </c>
      <c r="G13" s="2">
        <v>45.475000000000001</v>
      </c>
      <c r="H13" s="2">
        <v>31.2</v>
      </c>
      <c r="I13" s="2">
        <v>49.3</v>
      </c>
      <c r="J13">
        <v>37.425000000000004</v>
      </c>
      <c r="K13">
        <v>35.96</v>
      </c>
      <c r="L13">
        <v>31.666666666666671</v>
      </c>
      <c r="M13">
        <v>51.660000000000004</v>
      </c>
      <c r="N13">
        <v>51.875</v>
      </c>
      <c r="O13">
        <v>81.766666666666666</v>
      </c>
      <c r="P13">
        <v>46.116666666666667</v>
      </c>
      <c r="Q13">
        <v>45.566666666666663</v>
      </c>
      <c r="R13">
        <v>45.160000000000004</v>
      </c>
      <c r="S13">
        <v>66.179999999999993</v>
      </c>
      <c r="T13">
        <v>47.2</v>
      </c>
      <c r="U13">
        <v>39.25</v>
      </c>
      <c r="V13">
        <v>44.1</v>
      </c>
      <c r="W13">
        <v>25.8</v>
      </c>
      <c r="X13" s="2">
        <v>30.412499999999994</v>
      </c>
      <c r="Y13" s="2">
        <v>28.520000000000003</v>
      </c>
      <c r="Z13" s="2">
        <v>22.483333333333334</v>
      </c>
    </row>
    <row r="14" spans="1:26">
      <c r="A14" s="2"/>
      <c r="B14">
        <v>2.3000000000000007</v>
      </c>
      <c r="C14">
        <v>2.1999999999999993</v>
      </c>
      <c r="D14">
        <v>2.0999999999999996</v>
      </c>
      <c r="E14">
        <v>2.8</v>
      </c>
      <c r="F14">
        <v>2.8</v>
      </c>
      <c r="G14">
        <v>3.0999999999999996</v>
      </c>
      <c r="H14">
        <v>2.4000000000000004</v>
      </c>
      <c r="I14">
        <v>2.2000000000000002</v>
      </c>
      <c r="J14">
        <v>1.9000000000000004</v>
      </c>
      <c r="K14">
        <v>2</v>
      </c>
      <c r="L14">
        <v>2</v>
      </c>
      <c r="M14">
        <v>2</v>
      </c>
      <c r="N14">
        <v>1.7000000000000002</v>
      </c>
      <c r="O14">
        <v>2.6999999999999993</v>
      </c>
      <c r="P14">
        <v>2.0999999999999996</v>
      </c>
      <c r="Q14">
        <v>2</v>
      </c>
      <c r="R14">
        <v>2.0999999999999996</v>
      </c>
      <c r="S14">
        <v>2.5999999999999996</v>
      </c>
      <c r="T14">
        <v>2</v>
      </c>
      <c r="U14">
        <v>2.9999999999999991</v>
      </c>
      <c r="V14">
        <v>2.0999999999999996</v>
      </c>
      <c r="W14">
        <v>2.3000000000000007</v>
      </c>
      <c r="X14" s="2">
        <v>2</v>
      </c>
      <c r="Y14" s="2">
        <v>1.7999999999999998</v>
      </c>
      <c r="Z14" s="2">
        <v>2.0999999999999996</v>
      </c>
    </row>
    <row r="15" spans="1:26">
      <c r="A15" s="15" t="s">
        <v>146</v>
      </c>
      <c r="B15">
        <f t="shared" ref="B15:W15" si="46">AVERAGE(B14:B14)</f>
        <v>2.3000000000000007</v>
      </c>
      <c r="C15">
        <f t="shared" si="46"/>
        <v>2.1999999999999993</v>
      </c>
      <c r="D15">
        <f t="shared" si="46"/>
        <v>2.0999999999999996</v>
      </c>
      <c r="E15">
        <f t="shared" si="46"/>
        <v>2.8</v>
      </c>
      <c r="F15">
        <f t="shared" si="46"/>
        <v>2.8</v>
      </c>
      <c r="G15">
        <f t="shared" si="46"/>
        <v>3.0999999999999996</v>
      </c>
      <c r="H15">
        <f t="shared" si="46"/>
        <v>2.4000000000000004</v>
      </c>
      <c r="I15">
        <f t="shared" si="46"/>
        <v>2.2000000000000002</v>
      </c>
      <c r="J15">
        <f t="shared" si="46"/>
        <v>1.9000000000000004</v>
      </c>
      <c r="K15">
        <f t="shared" si="46"/>
        <v>2</v>
      </c>
      <c r="L15">
        <f t="shared" si="46"/>
        <v>2</v>
      </c>
      <c r="M15">
        <f t="shared" si="46"/>
        <v>2</v>
      </c>
      <c r="N15">
        <f t="shared" si="46"/>
        <v>1.7000000000000002</v>
      </c>
      <c r="O15">
        <f t="shared" si="46"/>
        <v>2.6999999999999993</v>
      </c>
      <c r="P15">
        <f t="shared" si="46"/>
        <v>2.0999999999999996</v>
      </c>
      <c r="Q15">
        <f t="shared" si="46"/>
        <v>2</v>
      </c>
      <c r="R15">
        <f t="shared" si="46"/>
        <v>2.0999999999999996</v>
      </c>
      <c r="S15">
        <f t="shared" si="46"/>
        <v>2.5999999999999996</v>
      </c>
      <c r="T15">
        <f t="shared" si="46"/>
        <v>2</v>
      </c>
      <c r="U15">
        <f t="shared" si="46"/>
        <v>2.9999999999999991</v>
      </c>
      <c r="V15">
        <f t="shared" si="46"/>
        <v>2.0999999999999996</v>
      </c>
      <c r="W15">
        <f t="shared" si="46"/>
        <v>2.3000000000000007</v>
      </c>
      <c r="X15">
        <f t="shared" ref="X15:Z15" si="47">AVERAGE(X14:X14)</f>
        <v>2</v>
      </c>
      <c r="Y15">
        <f t="shared" si="47"/>
        <v>1.7999999999999998</v>
      </c>
      <c r="Z15">
        <f t="shared" si="47"/>
        <v>2.0999999999999996</v>
      </c>
    </row>
    <row r="16" spans="1:26">
      <c r="A16" s="15" t="s">
        <v>67</v>
      </c>
      <c r="B16">
        <v>110.3</v>
      </c>
      <c r="C16">
        <v>133.5</v>
      </c>
      <c r="D16">
        <v>138.15</v>
      </c>
      <c r="E16">
        <v>98.4</v>
      </c>
      <c r="F16">
        <v>95.2</v>
      </c>
      <c r="G16">
        <v>97.4</v>
      </c>
      <c r="H16">
        <v>77.400000000000006</v>
      </c>
      <c r="I16">
        <v>140.4</v>
      </c>
      <c r="J16">
        <v>119.7</v>
      </c>
      <c r="K16">
        <v>115.1</v>
      </c>
      <c r="L16">
        <v>94.4</v>
      </c>
      <c r="M16">
        <v>176.3</v>
      </c>
      <c r="N16">
        <v>164.6</v>
      </c>
      <c r="O16">
        <v>180.1</v>
      </c>
      <c r="P16">
        <v>139.5</v>
      </c>
      <c r="Q16">
        <v>145.9</v>
      </c>
      <c r="R16">
        <v>141</v>
      </c>
      <c r="S16">
        <v>168</v>
      </c>
      <c r="T16">
        <v>149</v>
      </c>
      <c r="U16">
        <v>85.2</v>
      </c>
      <c r="V16">
        <v>143</v>
      </c>
      <c r="W16">
        <v>80.8</v>
      </c>
      <c r="X16">
        <v>125.4</v>
      </c>
      <c r="Y16">
        <v>119.7</v>
      </c>
      <c r="Z16">
        <v>95.2</v>
      </c>
    </row>
    <row r="17" spans="1:26">
      <c r="A17" s="15" t="s">
        <v>147</v>
      </c>
      <c r="B17">
        <f>B15*4.2*B16/3.6</f>
        <v>295.97166666666675</v>
      </c>
      <c r="C17">
        <f t="shared" ref="C17" si="48">C15*4.2*C16/3.6</f>
        <v>342.64999999999986</v>
      </c>
      <c r="D17">
        <f t="shared" ref="D17" si="49">D15*4.2*D16/3.6</f>
        <v>338.46749999999997</v>
      </c>
      <c r="E17">
        <f t="shared" ref="E17" si="50">E15*4.2*E16/3.6</f>
        <v>321.44</v>
      </c>
      <c r="F17">
        <f t="shared" ref="F17" si="51">F15*4.2*F16/3.6</f>
        <v>310.98666666666662</v>
      </c>
      <c r="G17">
        <f t="shared" ref="G17" si="52">G15*4.2*G16/3.6</f>
        <v>352.26333333333338</v>
      </c>
      <c r="H17">
        <f t="shared" ref="H17" si="53">H15*4.2*H16/3.6</f>
        <v>216.72000000000006</v>
      </c>
      <c r="I17">
        <f t="shared" ref="I17" si="54">I15*4.2*I16/3.6</f>
        <v>360.36000000000007</v>
      </c>
      <c r="J17">
        <f t="shared" ref="J17" si="55">J15*4.2*J16/3.6</f>
        <v>265.33500000000004</v>
      </c>
      <c r="K17">
        <f t="shared" ref="K17" si="56">K15*4.2*K16/3.6</f>
        <v>268.56666666666666</v>
      </c>
      <c r="L17">
        <f t="shared" ref="L17" si="57">L15*4.2*L16/3.6</f>
        <v>220.26666666666668</v>
      </c>
      <c r="M17">
        <f t="shared" ref="M17" si="58">M15*4.2*M16/3.6</f>
        <v>411.36666666666667</v>
      </c>
      <c r="N17">
        <f t="shared" ref="N17" si="59">N15*4.2*N16/3.6</f>
        <v>326.45666666666671</v>
      </c>
      <c r="O17">
        <f t="shared" ref="O17" si="60">O15*4.2*O16/3.6</f>
        <v>567.31499999999983</v>
      </c>
      <c r="P17">
        <f t="shared" ref="P17" si="61">P15*4.2*P16/3.6</f>
        <v>341.77499999999998</v>
      </c>
      <c r="Q17">
        <f t="shared" ref="Q17" si="62">Q15*4.2*Q16/3.6</f>
        <v>340.43333333333339</v>
      </c>
      <c r="R17">
        <f t="shared" ref="R17" si="63">R15*4.2*R16/3.6</f>
        <v>345.45</v>
      </c>
      <c r="S17">
        <f t="shared" ref="S17" si="64">S15*4.2*S16/3.6</f>
        <v>509.59999999999991</v>
      </c>
      <c r="T17">
        <f t="shared" ref="T17" si="65">T15*4.2*T16/3.6</f>
        <v>347.66666666666669</v>
      </c>
      <c r="U17">
        <f t="shared" ref="U17" si="66">U15*4.2*U16/3.6</f>
        <v>298.19999999999993</v>
      </c>
      <c r="V17">
        <f t="shared" ref="V17:W17" si="67">V15*4.2*V16/3.6</f>
        <v>350.34999999999991</v>
      </c>
      <c r="W17">
        <f t="shared" si="67"/>
        <v>216.81333333333339</v>
      </c>
      <c r="X17">
        <f t="shared" ref="X17" si="68">X15*4.2*X16/3.6</f>
        <v>292.60000000000002</v>
      </c>
      <c r="Y17">
        <f t="shared" ref="Y17" si="69">Y15*4.2*Y16/3.6</f>
        <v>251.37</v>
      </c>
      <c r="Z17">
        <f t="shared" ref="Z17" si="70">Z15*4.2*Z16/3.6</f>
        <v>233.23999999999995</v>
      </c>
    </row>
    <row r="18" spans="1:26">
      <c r="A18" s="15" t="s">
        <v>148</v>
      </c>
      <c r="B18" s="7">
        <f>B17/908.5</f>
        <v>0.32578059071729965</v>
      </c>
      <c r="C18" s="7">
        <f t="shared" ref="C18" si="71">C17/908.5</f>
        <v>0.37716015410016496</v>
      </c>
      <c r="D18" s="7">
        <f t="shared" ref="D18" si="72">D17/908.5</f>
        <v>0.37255641166758391</v>
      </c>
      <c r="E18" s="7">
        <f t="shared" ref="E18" si="73">E17/908.5</f>
        <v>0.35381397908640616</v>
      </c>
      <c r="F18" s="7">
        <f t="shared" ref="F18" si="74">F17/908.5</f>
        <v>0.34230783342505955</v>
      </c>
      <c r="G18" s="7">
        <f t="shared" ref="G18" si="75">G17/908.5</f>
        <v>0.38774169877086778</v>
      </c>
      <c r="H18" s="7">
        <f t="shared" ref="H18" si="76">H17/908.5</f>
        <v>0.23854705558613104</v>
      </c>
      <c r="I18" s="7">
        <f t="shared" ref="I18" si="77">I17/908.5</f>
        <v>0.39665382498624113</v>
      </c>
      <c r="J18" s="7">
        <f t="shared" ref="J18" si="78">J17/908.5</f>
        <v>0.2920583379196478</v>
      </c>
      <c r="K18" s="7">
        <f t="shared" ref="K18" si="79">K17/908.5</f>
        <v>0.29561548339754173</v>
      </c>
      <c r="L18" s="7">
        <f t="shared" ref="L18" si="80">L17/908.5</f>
        <v>0.24245092643551644</v>
      </c>
      <c r="M18" s="7">
        <f t="shared" ref="M18" si="81">M17/908.5</f>
        <v>0.45279765180700787</v>
      </c>
      <c r="N18" s="7">
        <f t="shared" ref="N18" si="82">N17/908.5</f>
        <v>0.35933590166941848</v>
      </c>
      <c r="O18" s="7">
        <f t="shared" ref="O18" si="83">O17/908.5</f>
        <v>0.62445239405613628</v>
      </c>
      <c r="P18" s="7">
        <f t="shared" ref="P18" si="84">P17/908.5</f>
        <v>0.37619702806824434</v>
      </c>
      <c r="Q18" s="7">
        <f t="shared" ref="Q18" si="85">Q17/908.5</f>
        <v>0.37472023481929928</v>
      </c>
      <c r="R18" s="7">
        <f t="shared" ref="R18" si="86">R17/908.5</f>
        <v>0.38024215740231149</v>
      </c>
      <c r="S18" s="7">
        <f t="shared" ref="S18" si="87">S17/908.5</f>
        <v>0.56092460099064378</v>
      </c>
      <c r="T18" s="7">
        <f t="shared" ref="T18" si="88">T17/908.5</f>
        <v>0.38268207668317744</v>
      </c>
      <c r="U18" s="7">
        <f t="shared" ref="U18" si="89">U17/908.5</f>
        <v>0.32823335167859102</v>
      </c>
      <c r="V18" s="7">
        <f t="shared" ref="V18:W18" si="90">V17/908.5</f>
        <v>0.38563566318106757</v>
      </c>
      <c r="W18" s="7">
        <f t="shared" si="90"/>
        <v>0.23864978902953593</v>
      </c>
      <c r="X18" s="7">
        <f t="shared" ref="X18" si="91">X17/908.5</f>
        <v>0.3220693450742983</v>
      </c>
      <c r="Y18" s="7">
        <f t="shared" ref="Y18" si="92">Y17/908.5</f>
        <v>0.27668684645019265</v>
      </c>
      <c r="Z18" s="7">
        <f t="shared" ref="Z18" si="93">Z17/908.5</f>
        <v>0.25673087506879466</v>
      </c>
    </row>
    <row r="19" spans="1:26">
      <c r="A19" s="15" t="s">
        <v>149</v>
      </c>
      <c r="B19">
        <f t="shared" ref="B19:W19" si="94">B17/B13</f>
        <v>7.236471067644664</v>
      </c>
      <c r="C19">
        <f t="shared" si="94"/>
        <v>7.591949778434266</v>
      </c>
      <c r="D19">
        <f t="shared" si="94"/>
        <v>6.9931301652892559</v>
      </c>
      <c r="E19">
        <f t="shared" si="94"/>
        <v>7.389425287356322</v>
      </c>
      <c r="F19">
        <f t="shared" si="94"/>
        <v>7.0305953278070836</v>
      </c>
      <c r="G19">
        <f t="shared" si="94"/>
        <v>7.7463074949606021</v>
      </c>
      <c r="H19">
        <f t="shared" si="94"/>
        <v>6.9461538461538481</v>
      </c>
      <c r="I19">
        <f t="shared" si="94"/>
        <v>7.3095334685598399</v>
      </c>
      <c r="J19">
        <f t="shared" si="94"/>
        <v>7.0897795591182362</v>
      </c>
      <c r="K19">
        <f t="shared" si="94"/>
        <v>7.4684835001853909</v>
      </c>
      <c r="L19">
        <f t="shared" si="94"/>
        <v>6.9557894736842103</v>
      </c>
      <c r="M19">
        <f t="shared" si="94"/>
        <v>7.9629629629629628</v>
      </c>
      <c r="N19">
        <f t="shared" si="94"/>
        <v>6.2931405622489969</v>
      </c>
      <c r="O19">
        <f t="shared" si="94"/>
        <v>6.9382185079494478</v>
      </c>
      <c r="P19">
        <f t="shared" si="94"/>
        <v>7.4110950487893019</v>
      </c>
      <c r="Q19">
        <f t="shared" si="94"/>
        <v>7.471104608632043</v>
      </c>
      <c r="R19">
        <f t="shared" si="94"/>
        <v>7.6494685562444635</v>
      </c>
      <c r="S19">
        <f t="shared" si="94"/>
        <v>7.700211544273194</v>
      </c>
      <c r="T19">
        <f t="shared" si="94"/>
        <v>7.3658192090395476</v>
      </c>
      <c r="U19">
        <f t="shared" si="94"/>
        <v>7.5974522292993614</v>
      </c>
      <c r="V19">
        <f t="shared" si="94"/>
        <v>7.944444444444442</v>
      </c>
      <c r="W19">
        <f t="shared" si="94"/>
        <v>8.4036175710594332</v>
      </c>
      <c r="X19">
        <f t="shared" ref="X19:Z19" si="95">X17/X13</f>
        <v>9.6210439786272115</v>
      </c>
      <c r="Y19">
        <f t="shared" si="95"/>
        <v>8.8138148667601683</v>
      </c>
      <c r="Z19">
        <f t="shared" si="95"/>
        <v>10.373906597479612</v>
      </c>
    </row>
    <row r="20" spans="1:26">
      <c r="A20" s="2"/>
    </row>
    <row r="39" spans="1:13">
      <c r="A39" s="26" t="s">
        <v>153</v>
      </c>
    </row>
    <row r="40" spans="1:13">
      <c r="A40" s="15" t="s">
        <v>143</v>
      </c>
      <c r="B40">
        <v>37.425000000000004</v>
      </c>
      <c r="C40">
        <v>35.96</v>
      </c>
      <c r="D40">
        <v>31.666666666666671</v>
      </c>
      <c r="E40">
        <v>51.660000000000004</v>
      </c>
      <c r="F40" s="2">
        <v>45.133333333333333</v>
      </c>
      <c r="G40">
        <v>45.566666666666663</v>
      </c>
      <c r="H40">
        <v>45.160000000000004</v>
      </c>
      <c r="J40">
        <v>81.766666666666666</v>
      </c>
      <c r="K40" s="2">
        <v>31.2</v>
      </c>
    </row>
    <row r="41" spans="1:13">
      <c r="A41" s="2"/>
      <c r="B41">
        <v>1.9000000000000004</v>
      </c>
      <c r="C41">
        <v>2</v>
      </c>
      <c r="D41">
        <v>2</v>
      </c>
      <c r="E41">
        <v>2</v>
      </c>
      <c r="F41">
        <v>2.1999999999999993</v>
      </c>
      <c r="G41">
        <v>2</v>
      </c>
      <c r="H41">
        <v>2.0999999999999996</v>
      </c>
      <c r="J41">
        <v>2.6999999999999993</v>
      </c>
      <c r="K41">
        <v>2.4000000000000004</v>
      </c>
    </row>
    <row r="42" spans="1:13">
      <c r="A42" s="15" t="s">
        <v>146</v>
      </c>
      <c r="B42">
        <f t="shared" ref="B42:H42" si="96">AVERAGE(B41:B41)</f>
        <v>1.9000000000000004</v>
      </c>
      <c r="C42">
        <f t="shared" si="96"/>
        <v>2</v>
      </c>
      <c r="D42">
        <f t="shared" si="96"/>
        <v>2</v>
      </c>
      <c r="E42">
        <f t="shared" si="96"/>
        <v>2</v>
      </c>
      <c r="F42">
        <f t="shared" si="96"/>
        <v>2.1999999999999993</v>
      </c>
      <c r="G42">
        <f t="shared" si="96"/>
        <v>2</v>
      </c>
      <c r="H42">
        <f t="shared" si="96"/>
        <v>2.0999999999999996</v>
      </c>
      <c r="J42">
        <f>AVERAGE(J41:J41)</f>
        <v>2.6999999999999993</v>
      </c>
      <c r="K42">
        <f>AVERAGE(K41:K41)</f>
        <v>2.4000000000000004</v>
      </c>
    </row>
    <row r="43" spans="1:13">
      <c r="A43" s="15" t="s">
        <v>67</v>
      </c>
      <c r="B43">
        <v>119.7</v>
      </c>
      <c r="C43">
        <v>115.1</v>
      </c>
      <c r="D43">
        <v>94.4</v>
      </c>
      <c r="E43">
        <v>176.3</v>
      </c>
      <c r="F43">
        <v>133.5</v>
      </c>
      <c r="G43">
        <v>145.9</v>
      </c>
      <c r="H43">
        <v>141</v>
      </c>
      <c r="J43">
        <v>180.1</v>
      </c>
      <c r="K43">
        <v>77.400000000000006</v>
      </c>
    </row>
    <row r="44" spans="1:13">
      <c r="A44" s="15" t="s">
        <v>147</v>
      </c>
      <c r="B44">
        <f t="shared" ref="B44" si="97">B42*4.2*B43/3.6</f>
        <v>265.33500000000004</v>
      </c>
      <c r="C44">
        <f t="shared" ref="C44" si="98">C42*4.2*C43/3.6</f>
        <v>268.56666666666666</v>
      </c>
      <c r="D44">
        <f t="shared" ref="D44" si="99">D42*4.2*D43/3.6</f>
        <v>220.26666666666668</v>
      </c>
      <c r="E44">
        <f t="shared" ref="E44" si="100">E42*4.2*E43/3.6</f>
        <v>411.36666666666667</v>
      </c>
      <c r="F44">
        <f t="shared" ref="F44" si="101">F42*4.2*F43/3.6</f>
        <v>342.64999999999986</v>
      </c>
      <c r="G44">
        <f t="shared" ref="G44" si="102">G42*4.2*G43/3.6</f>
        <v>340.43333333333339</v>
      </c>
      <c r="H44">
        <f t="shared" ref="H44" si="103">H42*4.2*H43/3.6</f>
        <v>345.45</v>
      </c>
      <c r="J44">
        <f t="shared" ref="J44" si="104">J42*4.2*J43/3.6</f>
        <v>567.31499999999983</v>
      </c>
      <c r="K44">
        <f t="shared" ref="K44" si="105">K42*4.2*K43/3.6</f>
        <v>216.72000000000006</v>
      </c>
    </row>
    <row r="45" spans="1:13">
      <c r="A45" s="15" t="s">
        <v>148</v>
      </c>
      <c r="B45" s="7">
        <f t="shared" ref="B45" si="106">B44/908.5</f>
        <v>0.2920583379196478</v>
      </c>
      <c r="C45" s="7">
        <f t="shared" ref="C45" si="107">C44/908.5</f>
        <v>0.29561548339754173</v>
      </c>
      <c r="D45" s="7">
        <f t="shared" ref="D45" si="108">D44/908.5</f>
        <v>0.24245092643551644</v>
      </c>
      <c r="E45" s="7">
        <f t="shared" ref="E45" si="109">E44/908.5</f>
        <v>0.45279765180700787</v>
      </c>
      <c r="F45" s="7">
        <f t="shared" ref="F45" si="110">F44/908.5</f>
        <v>0.37716015410016496</v>
      </c>
      <c r="G45" s="7">
        <f t="shared" ref="G45" si="111">G44/908.5</f>
        <v>0.37472023481929928</v>
      </c>
      <c r="H45" s="7">
        <f t="shared" ref="H45" si="112">H44/908.5</f>
        <v>0.38024215740231149</v>
      </c>
      <c r="J45" s="7">
        <f t="shared" ref="J45" si="113">J44/908.5</f>
        <v>0.62445239405613628</v>
      </c>
      <c r="K45" s="7">
        <f t="shared" ref="K45" si="114">K44/908.5</f>
        <v>0.23854705558613104</v>
      </c>
    </row>
    <row r="46" spans="1:13">
      <c r="A46" s="15" t="s">
        <v>149</v>
      </c>
      <c r="B46">
        <f t="shared" ref="B46:H46" si="115">B44/B40</f>
        <v>7.0897795591182362</v>
      </c>
      <c r="C46">
        <f t="shared" si="115"/>
        <v>7.4684835001853909</v>
      </c>
      <c r="D46">
        <f t="shared" si="115"/>
        <v>6.9557894736842103</v>
      </c>
      <c r="E46">
        <f t="shared" si="115"/>
        <v>7.9629629629629628</v>
      </c>
      <c r="F46">
        <f t="shared" si="115"/>
        <v>7.591949778434266</v>
      </c>
      <c r="G46">
        <f t="shared" si="115"/>
        <v>7.471104608632043</v>
      </c>
      <c r="H46">
        <f t="shared" si="115"/>
        <v>7.6494685562444635</v>
      </c>
      <c r="J46">
        <f>J44/J40</f>
        <v>6.9382185079494478</v>
      </c>
      <c r="K46">
        <f>K44/K40</f>
        <v>6.9461538461538481</v>
      </c>
    </row>
    <row r="47" spans="1:13">
      <c r="A47" s="15" t="s">
        <v>151</v>
      </c>
      <c r="B47">
        <v>23.2</v>
      </c>
      <c r="C47">
        <v>23.4</v>
      </c>
      <c r="D47">
        <v>23.3</v>
      </c>
      <c r="E47">
        <v>23</v>
      </c>
      <c r="F47">
        <v>23.8</v>
      </c>
      <c r="G47">
        <v>23.9</v>
      </c>
      <c r="H47">
        <v>23.8</v>
      </c>
      <c r="J47">
        <v>26.6</v>
      </c>
      <c r="K47">
        <v>25.7</v>
      </c>
    </row>
    <row r="48" spans="1:13">
      <c r="A48" s="15" t="s">
        <v>143</v>
      </c>
      <c r="B48" s="2">
        <v>40.9</v>
      </c>
      <c r="C48" s="2">
        <v>48.4</v>
      </c>
      <c r="D48" s="2">
        <v>43.5</v>
      </c>
      <c r="E48" s="2">
        <v>44.233333333333327</v>
      </c>
      <c r="F48" s="2">
        <v>45.475000000000001</v>
      </c>
      <c r="G48" s="2">
        <v>49.3</v>
      </c>
      <c r="H48">
        <v>51.875</v>
      </c>
      <c r="I48">
        <v>46.116666666666667</v>
      </c>
      <c r="J48">
        <v>66.179999999999993</v>
      </c>
      <c r="K48">
        <v>47.2</v>
      </c>
      <c r="L48">
        <v>39.25</v>
      </c>
      <c r="M48">
        <v>44.1</v>
      </c>
    </row>
    <row r="49" spans="1:13">
      <c r="A49" s="2"/>
      <c r="B49">
        <v>2.3000000000000007</v>
      </c>
      <c r="C49">
        <v>2.0999999999999996</v>
      </c>
      <c r="D49">
        <v>2.8</v>
      </c>
      <c r="E49">
        <v>2.8</v>
      </c>
      <c r="F49">
        <v>3.0999999999999996</v>
      </c>
      <c r="G49">
        <v>2.2000000000000002</v>
      </c>
      <c r="H49">
        <v>1.7000000000000002</v>
      </c>
      <c r="I49">
        <v>2.0999999999999996</v>
      </c>
      <c r="J49">
        <v>2.5999999999999996</v>
      </c>
      <c r="K49">
        <v>2</v>
      </c>
      <c r="L49">
        <v>2.9999999999999991</v>
      </c>
      <c r="M49">
        <v>2.0999999999999996</v>
      </c>
    </row>
    <row r="50" spans="1:13">
      <c r="A50" s="15" t="s">
        <v>146</v>
      </c>
      <c r="B50">
        <f t="shared" ref="B50:M50" si="116">AVERAGE(B49:B49)</f>
        <v>2.3000000000000007</v>
      </c>
      <c r="C50">
        <f t="shared" si="116"/>
        <v>2.0999999999999996</v>
      </c>
      <c r="D50">
        <f t="shared" si="116"/>
        <v>2.8</v>
      </c>
      <c r="E50">
        <f t="shared" si="116"/>
        <v>2.8</v>
      </c>
      <c r="F50">
        <f t="shared" si="116"/>
        <v>3.0999999999999996</v>
      </c>
      <c r="G50">
        <f t="shared" si="116"/>
        <v>2.2000000000000002</v>
      </c>
      <c r="H50">
        <f t="shared" si="116"/>
        <v>1.7000000000000002</v>
      </c>
      <c r="I50">
        <f t="shared" si="116"/>
        <v>2.0999999999999996</v>
      </c>
      <c r="J50">
        <f t="shared" si="116"/>
        <v>2.5999999999999996</v>
      </c>
      <c r="K50">
        <f t="shared" si="116"/>
        <v>2</v>
      </c>
      <c r="L50">
        <f t="shared" si="116"/>
        <v>2.9999999999999991</v>
      </c>
      <c r="M50">
        <f t="shared" si="116"/>
        <v>2.0999999999999996</v>
      </c>
    </row>
    <row r="51" spans="1:13">
      <c r="A51" s="15" t="s">
        <v>67</v>
      </c>
      <c r="B51">
        <v>110.3</v>
      </c>
      <c r="C51">
        <v>138.15</v>
      </c>
      <c r="D51">
        <v>98.4</v>
      </c>
      <c r="E51">
        <v>95.2</v>
      </c>
      <c r="F51">
        <v>97.4</v>
      </c>
      <c r="G51">
        <v>140.4</v>
      </c>
      <c r="H51">
        <v>164.6</v>
      </c>
      <c r="I51">
        <v>139.5</v>
      </c>
      <c r="J51">
        <v>168</v>
      </c>
      <c r="K51">
        <v>149</v>
      </c>
      <c r="L51">
        <v>85.2</v>
      </c>
      <c r="M51">
        <v>143</v>
      </c>
    </row>
    <row r="52" spans="1:13">
      <c r="A52" s="15" t="s">
        <v>147</v>
      </c>
      <c r="B52">
        <f>B50*4.2*B51/3.6</f>
        <v>295.97166666666675</v>
      </c>
      <c r="C52">
        <f t="shared" ref="C52" si="117">C50*4.2*C51/3.6</f>
        <v>338.46749999999997</v>
      </c>
      <c r="D52">
        <f t="shared" ref="D52" si="118">D50*4.2*D51/3.6</f>
        <v>321.44</v>
      </c>
      <c r="E52">
        <f t="shared" ref="E52" si="119">E50*4.2*E51/3.6</f>
        <v>310.98666666666662</v>
      </c>
      <c r="F52">
        <f t="shared" ref="F52" si="120">F50*4.2*F51/3.6</f>
        <v>352.26333333333338</v>
      </c>
      <c r="G52">
        <f t="shared" ref="G52" si="121">G50*4.2*G51/3.6</f>
        <v>360.36000000000007</v>
      </c>
      <c r="H52">
        <f t="shared" ref="H52" si="122">H50*4.2*H51/3.6</f>
        <v>326.45666666666671</v>
      </c>
      <c r="I52">
        <f t="shared" ref="I52" si="123">I50*4.2*I51/3.6</f>
        <v>341.77499999999998</v>
      </c>
      <c r="J52">
        <f t="shared" ref="J52" si="124">J50*4.2*J51/3.6</f>
        <v>509.59999999999991</v>
      </c>
      <c r="K52">
        <f t="shared" ref="K52" si="125">K50*4.2*K51/3.6</f>
        <v>347.66666666666669</v>
      </c>
      <c r="L52">
        <f t="shared" ref="L52" si="126">L50*4.2*L51/3.6</f>
        <v>298.19999999999993</v>
      </c>
      <c r="M52">
        <f t="shared" ref="M52" si="127">M50*4.2*M51/3.6</f>
        <v>350.34999999999991</v>
      </c>
    </row>
    <row r="53" spans="1:13">
      <c r="A53" s="15" t="s">
        <v>148</v>
      </c>
      <c r="B53" s="7">
        <f>B52/908.5</f>
        <v>0.32578059071729965</v>
      </c>
      <c r="C53" s="7">
        <f t="shared" ref="C53" si="128">C52/908.5</f>
        <v>0.37255641166758391</v>
      </c>
      <c r="D53" s="7">
        <f t="shared" ref="D53" si="129">D52/908.5</f>
        <v>0.35381397908640616</v>
      </c>
      <c r="E53" s="7">
        <f t="shared" ref="E53" si="130">E52/908.5</f>
        <v>0.34230783342505955</v>
      </c>
      <c r="F53" s="7">
        <f t="shared" ref="F53" si="131">F52/908.5</f>
        <v>0.38774169877086778</v>
      </c>
      <c r="G53" s="7">
        <f t="shared" ref="G53" si="132">G52/908.5</f>
        <v>0.39665382498624113</v>
      </c>
      <c r="H53" s="7">
        <f t="shared" ref="H53" si="133">H52/908.5</f>
        <v>0.35933590166941848</v>
      </c>
      <c r="I53" s="7">
        <f t="shared" ref="I53" si="134">I52/908.5</f>
        <v>0.37619702806824434</v>
      </c>
      <c r="J53" s="7">
        <f t="shared" ref="J53" si="135">J52/908.5</f>
        <v>0.56092460099064378</v>
      </c>
      <c r="K53" s="7">
        <f t="shared" ref="K53" si="136">K52/908.5</f>
        <v>0.38268207668317744</v>
      </c>
      <c r="L53" s="7">
        <f t="shared" ref="L53" si="137">L52/908.5</f>
        <v>0.32823335167859102</v>
      </c>
      <c r="M53" s="7">
        <f t="shared" ref="M53" si="138">M52/908.5</f>
        <v>0.38563566318106757</v>
      </c>
    </row>
    <row r="54" spans="1:13">
      <c r="A54" s="15" t="s">
        <v>149</v>
      </c>
      <c r="B54">
        <f t="shared" ref="B54:M54" si="139">B52/B48</f>
        <v>7.236471067644664</v>
      </c>
      <c r="C54">
        <f t="shared" si="139"/>
        <v>6.9931301652892559</v>
      </c>
      <c r="D54">
        <f t="shared" si="139"/>
        <v>7.389425287356322</v>
      </c>
      <c r="E54">
        <f t="shared" si="139"/>
        <v>7.0305953278070836</v>
      </c>
      <c r="F54">
        <f t="shared" si="139"/>
        <v>7.7463074949606021</v>
      </c>
      <c r="G54">
        <f t="shared" si="139"/>
        <v>7.3095334685598399</v>
      </c>
      <c r="H54">
        <f t="shared" si="139"/>
        <v>6.2931405622489969</v>
      </c>
      <c r="I54">
        <f t="shared" si="139"/>
        <v>7.4110950487893019</v>
      </c>
      <c r="J54">
        <f t="shared" si="139"/>
        <v>7.700211544273194</v>
      </c>
      <c r="K54">
        <f t="shared" si="139"/>
        <v>7.3658192090395476</v>
      </c>
      <c r="L54">
        <f t="shared" si="139"/>
        <v>7.5974522292993614</v>
      </c>
      <c r="M54">
        <f t="shared" si="139"/>
        <v>7.944444444444442</v>
      </c>
    </row>
    <row r="55" spans="1:13">
      <c r="A55" s="15" t="s">
        <v>151</v>
      </c>
      <c r="B55">
        <v>24.4</v>
      </c>
      <c r="C55">
        <v>24.2</v>
      </c>
      <c r="D55">
        <v>24.1</v>
      </c>
      <c r="E55">
        <v>24.4</v>
      </c>
      <c r="F55">
        <v>24.4</v>
      </c>
      <c r="G55">
        <v>24.5</v>
      </c>
      <c r="H55">
        <v>24.4</v>
      </c>
      <c r="I55">
        <v>24.1</v>
      </c>
      <c r="J55">
        <v>24.5</v>
      </c>
      <c r="K55">
        <v>24.2</v>
      </c>
      <c r="L55">
        <v>24.2</v>
      </c>
      <c r="M55">
        <v>24.4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19" workbookViewId="0">
      <selection activeCell="I36" sqref="I36"/>
    </sheetView>
  </sheetViews>
  <sheetFormatPr defaultRowHeight="14.25"/>
  <cols>
    <col min="25" max="25" width="8.625" customWidth="1"/>
  </cols>
  <sheetData>
    <row r="1" spans="1:26">
      <c r="A1" s="6" t="s">
        <v>150</v>
      </c>
      <c r="B1">
        <v>518</v>
      </c>
      <c r="J1">
        <v>516</v>
      </c>
      <c r="O1">
        <v>517</v>
      </c>
    </row>
    <row r="2" spans="1:26">
      <c r="A2" s="15" t="s">
        <v>143</v>
      </c>
      <c r="B2">
        <v>40.9</v>
      </c>
      <c r="C2" s="33">
        <v>45.133333333333333</v>
      </c>
      <c r="D2" s="6">
        <v>48.4</v>
      </c>
      <c r="E2" s="34">
        <v>43.5</v>
      </c>
      <c r="F2" s="37">
        <v>44.233333333333327</v>
      </c>
      <c r="G2" s="28">
        <v>45.475000000000001</v>
      </c>
      <c r="H2" s="31"/>
      <c r="I2" s="2">
        <v>49.3</v>
      </c>
      <c r="J2" s="31"/>
      <c r="K2" s="36"/>
      <c r="L2" s="29"/>
      <c r="M2">
        <v>51.660000000000004</v>
      </c>
      <c r="N2">
        <v>51.875</v>
      </c>
      <c r="O2">
        <v>81.766666666666666</v>
      </c>
      <c r="P2">
        <v>46.116666666666667</v>
      </c>
      <c r="Q2">
        <v>45.566666666666663</v>
      </c>
      <c r="R2">
        <v>45.160000000000004</v>
      </c>
      <c r="S2">
        <v>66.179999999999993</v>
      </c>
      <c r="T2">
        <v>47.2</v>
      </c>
      <c r="U2" s="33">
        <v>39.25</v>
      </c>
      <c r="V2" s="33">
        <v>44.1</v>
      </c>
      <c r="W2">
        <v>27.8</v>
      </c>
    </row>
    <row r="3" spans="1:26">
      <c r="A3" s="2"/>
      <c r="B3">
        <v>2.3000000000000007</v>
      </c>
      <c r="C3" s="33">
        <v>2.1999999999999993</v>
      </c>
      <c r="D3" s="6">
        <v>2.0999999999999996</v>
      </c>
      <c r="E3" s="34">
        <v>2.8</v>
      </c>
      <c r="F3" s="37">
        <v>2.8</v>
      </c>
      <c r="G3" s="28">
        <v>3.0999999999999996</v>
      </c>
      <c r="H3" s="31"/>
      <c r="I3" s="2">
        <v>2.2000000000000002</v>
      </c>
      <c r="J3" s="31"/>
      <c r="K3" s="36"/>
      <c r="L3" s="29"/>
      <c r="M3">
        <v>2</v>
      </c>
      <c r="N3">
        <v>1.7000000000000002</v>
      </c>
      <c r="O3">
        <v>2.6999999999999993</v>
      </c>
      <c r="P3">
        <v>2.0999999999999996</v>
      </c>
      <c r="Q3">
        <v>2</v>
      </c>
      <c r="R3">
        <v>2.0999999999999996</v>
      </c>
      <c r="S3">
        <v>2.5999999999999996</v>
      </c>
      <c r="T3">
        <v>2</v>
      </c>
      <c r="U3" s="33">
        <v>2.9999999999999991</v>
      </c>
      <c r="V3" s="33">
        <v>2.0999999999999996</v>
      </c>
      <c r="W3">
        <v>2.1000000000000005</v>
      </c>
    </row>
    <row r="4" spans="1:26">
      <c r="A4" s="15" t="s">
        <v>146</v>
      </c>
      <c r="B4">
        <f t="shared" ref="B4:G4" si="0">AVERAGE(B3:B3)</f>
        <v>2.3000000000000007</v>
      </c>
      <c r="C4" s="33">
        <f t="shared" si="0"/>
        <v>2.1999999999999993</v>
      </c>
      <c r="D4" s="6">
        <f t="shared" si="0"/>
        <v>2.0999999999999996</v>
      </c>
      <c r="E4" s="34">
        <f t="shared" si="0"/>
        <v>2.8</v>
      </c>
      <c r="F4" s="37">
        <f t="shared" si="0"/>
        <v>2.8</v>
      </c>
      <c r="G4" s="28">
        <f t="shared" si="0"/>
        <v>3.0999999999999996</v>
      </c>
      <c r="H4" s="31"/>
      <c r="I4" s="2">
        <f>AVERAGE(I3:I3)</f>
        <v>2.2000000000000002</v>
      </c>
      <c r="J4" s="31"/>
      <c r="K4" s="36"/>
      <c r="L4" s="29"/>
      <c r="M4">
        <f t="shared" ref="M4:W4" si="1">AVERAGE(M3:M3)</f>
        <v>2</v>
      </c>
      <c r="N4">
        <f t="shared" si="1"/>
        <v>1.7000000000000002</v>
      </c>
      <c r="O4">
        <f t="shared" si="1"/>
        <v>2.6999999999999993</v>
      </c>
      <c r="P4">
        <f t="shared" si="1"/>
        <v>2.0999999999999996</v>
      </c>
      <c r="Q4">
        <f t="shared" si="1"/>
        <v>2</v>
      </c>
      <c r="R4">
        <f t="shared" si="1"/>
        <v>2.0999999999999996</v>
      </c>
      <c r="S4">
        <f t="shared" si="1"/>
        <v>2.5999999999999996</v>
      </c>
      <c r="T4">
        <f t="shared" si="1"/>
        <v>2</v>
      </c>
      <c r="U4" s="33">
        <f t="shared" si="1"/>
        <v>2.9999999999999991</v>
      </c>
      <c r="V4" s="33">
        <f t="shared" si="1"/>
        <v>2.0999999999999996</v>
      </c>
      <c r="W4">
        <f t="shared" si="1"/>
        <v>2.1000000000000005</v>
      </c>
    </row>
    <row r="5" spans="1:26">
      <c r="A5" s="15" t="s">
        <v>67</v>
      </c>
      <c r="B5">
        <v>110.3</v>
      </c>
      <c r="C5" s="33">
        <v>133.5</v>
      </c>
      <c r="D5" s="6">
        <v>138.15</v>
      </c>
      <c r="E5" s="34">
        <v>98.4</v>
      </c>
      <c r="F5" s="37">
        <v>95.2</v>
      </c>
      <c r="G5" s="28">
        <v>97.4</v>
      </c>
      <c r="H5" s="31">
        <f>H14+I14</f>
        <v>158.19999999999999</v>
      </c>
      <c r="I5" s="2">
        <v>140.4</v>
      </c>
      <c r="J5" s="39">
        <f>J14+K14</f>
        <v>245.10000000000002</v>
      </c>
      <c r="K5" s="36">
        <f>L14+M14</f>
        <v>234.8</v>
      </c>
      <c r="L5" s="29">
        <f>N14+O14</f>
        <v>189.60000000000002</v>
      </c>
      <c r="M5">
        <v>176.3</v>
      </c>
      <c r="N5">
        <v>164.6</v>
      </c>
      <c r="O5">
        <v>180.1</v>
      </c>
      <c r="P5">
        <v>139.5</v>
      </c>
      <c r="Q5">
        <v>145.9</v>
      </c>
      <c r="R5">
        <v>141</v>
      </c>
      <c r="S5">
        <v>168</v>
      </c>
      <c r="T5">
        <v>149</v>
      </c>
      <c r="U5" s="40">
        <v>85.2</v>
      </c>
      <c r="V5" s="33">
        <v>143</v>
      </c>
      <c r="W5">
        <v>134.85</v>
      </c>
      <c r="Y5" s="38">
        <f>MAX(B5:W5)</f>
        <v>245.10000000000002</v>
      </c>
      <c r="Z5">
        <f>MIN(B5:W5)</f>
        <v>85.2</v>
      </c>
    </row>
    <row r="6" spans="1:26">
      <c r="A6" s="15" t="s">
        <v>147</v>
      </c>
      <c r="B6">
        <f>B4*4.2*B5/3.6</f>
        <v>295.97166666666675</v>
      </c>
      <c r="C6" s="33">
        <f t="shared" ref="C6:W6" si="2">C4*4.2*C5/3.6</f>
        <v>342.64999999999986</v>
      </c>
      <c r="D6" s="6">
        <f t="shared" si="2"/>
        <v>338.46749999999997</v>
      </c>
      <c r="E6" s="34">
        <f t="shared" si="2"/>
        <v>321.44</v>
      </c>
      <c r="F6" s="37">
        <f t="shared" si="2"/>
        <v>310.98666666666662</v>
      </c>
      <c r="G6" s="28">
        <f t="shared" si="2"/>
        <v>352.26333333333338</v>
      </c>
      <c r="H6" s="31">
        <f>H15+I15</f>
        <v>433.53333333333342</v>
      </c>
      <c r="I6" s="2">
        <f t="shared" si="2"/>
        <v>360.36000000000007</v>
      </c>
      <c r="J6" s="31">
        <f>J15+K15</f>
        <v>557.93500000000006</v>
      </c>
      <c r="K6" s="36">
        <f>L15+M15</f>
        <v>519.93666666666672</v>
      </c>
      <c r="L6" s="29">
        <f>N15+O15</f>
        <v>453.50666666666666</v>
      </c>
      <c r="M6">
        <f t="shared" si="2"/>
        <v>411.36666666666667</v>
      </c>
      <c r="N6">
        <f t="shared" si="2"/>
        <v>326.45666666666671</v>
      </c>
      <c r="O6">
        <f t="shared" si="2"/>
        <v>567.31499999999983</v>
      </c>
      <c r="P6">
        <f t="shared" si="2"/>
        <v>341.77499999999998</v>
      </c>
      <c r="Q6">
        <f t="shared" si="2"/>
        <v>340.43333333333339</v>
      </c>
      <c r="R6">
        <f t="shared" si="2"/>
        <v>345.45</v>
      </c>
      <c r="S6">
        <f t="shared" si="2"/>
        <v>509.59999999999991</v>
      </c>
      <c r="T6">
        <f t="shared" si="2"/>
        <v>347.66666666666669</v>
      </c>
      <c r="U6" s="33">
        <f t="shared" si="2"/>
        <v>298.19999999999993</v>
      </c>
      <c r="V6" s="33">
        <f t="shared" si="2"/>
        <v>350.34999999999991</v>
      </c>
      <c r="W6">
        <f t="shared" si="2"/>
        <v>330.38250000000005</v>
      </c>
      <c r="Y6" s="38"/>
    </row>
    <row r="7" spans="1:26">
      <c r="A7" s="15" t="s">
        <v>148</v>
      </c>
      <c r="B7" s="7">
        <f>B6/1850</f>
        <v>0.15998468468468474</v>
      </c>
      <c r="C7" s="32">
        <f t="shared" ref="C7:W7" si="3">C6/1850</f>
        <v>0.18521621621621615</v>
      </c>
      <c r="D7" s="35">
        <f t="shared" si="3"/>
        <v>0.18295540540540539</v>
      </c>
      <c r="E7" s="35">
        <f t="shared" si="3"/>
        <v>0.17375135135135136</v>
      </c>
      <c r="F7" s="32">
        <f t="shared" si="3"/>
        <v>0.16810090090090088</v>
      </c>
      <c r="G7" s="7">
        <f t="shared" si="3"/>
        <v>0.19041261261261264</v>
      </c>
      <c r="H7" s="32">
        <f t="shared" si="3"/>
        <v>0.23434234234234239</v>
      </c>
      <c r="I7" s="27">
        <f t="shared" si="3"/>
        <v>0.19478918918918922</v>
      </c>
      <c r="J7" s="32">
        <f t="shared" si="3"/>
        <v>0.3015864864864865</v>
      </c>
      <c r="K7" s="35">
        <f t="shared" si="3"/>
        <v>0.28104684684684689</v>
      </c>
      <c r="L7" s="7">
        <f t="shared" si="3"/>
        <v>0.24513873873873873</v>
      </c>
      <c r="M7" s="7">
        <f t="shared" si="3"/>
        <v>0.22236036036036036</v>
      </c>
      <c r="N7" s="7">
        <f t="shared" si="3"/>
        <v>0.17646306306306309</v>
      </c>
      <c r="O7" s="7">
        <f t="shared" si="3"/>
        <v>0.30665675675675669</v>
      </c>
      <c r="P7" s="7">
        <f t="shared" si="3"/>
        <v>0.18474324324324323</v>
      </c>
      <c r="Q7" s="7">
        <f t="shared" si="3"/>
        <v>0.18401801801801804</v>
      </c>
      <c r="R7" s="7">
        <f t="shared" si="3"/>
        <v>0.18672972972972973</v>
      </c>
      <c r="S7" s="7">
        <f t="shared" si="3"/>
        <v>0.27545945945945943</v>
      </c>
      <c r="T7" s="7">
        <f t="shared" si="3"/>
        <v>0.18792792792792795</v>
      </c>
      <c r="U7" s="32">
        <f t="shared" si="3"/>
        <v>0.16118918918918915</v>
      </c>
      <c r="V7" s="32">
        <f t="shared" si="3"/>
        <v>0.18937837837837834</v>
      </c>
      <c r="W7" s="7">
        <f t="shared" si="3"/>
        <v>0.17858513513513516</v>
      </c>
      <c r="Y7" s="7">
        <f>MAX(B7:W7)</f>
        <v>0.30665675675675669</v>
      </c>
    </row>
    <row r="8" spans="1:26">
      <c r="A8" s="15" t="s">
        <v>92</v>
      </c>
      <c r="B8">
        <f>-0.0002*B5^2+0.0423*B5+29.606</f>
        <v>31.838472000000003</v>
      </c>
      <c r="C8" s="33">
        <f>-0.00005*C5^2+0.0212*C5+29.606</f>
        <v>31.545087500000001</v>
      </c>
      <c r="D8" s="6">
        <f>-0.00002*D5^2+0.0141*D5+29.606</f>
        <v>31.172206550000002</v>
      </c>
      <c r="E8" s="6">
        <f>-0.00002*E5^2+0.0141*E5+29.606</f>
        <v>30.799788800000002</v>
      </c>
      <c r="F8" s="33">
        <f>-0.00005*F5^2+0.0212*F5+29.606</f>
        <v>31.171088000000001</v>
      </c>
      <c r="G8">
        <f>-0.0002*G5^2+0.0423*G5+29.606</f>
        <v>31.828668</v>
      </c>
      <c r="H8" s="33">
        <f>-0.00005*H5^2+0.0212*H5+29.606</f>
        <v>31.708478000000003</v>
      </c>
      <c r="I8">
        <f>-0.0002*I5^2+0.0423*I5+29.606</f>
        <v>31.602488000000001</v>
      </c>
      <c r="J8" s="33">
        <f>-0.00005*J5^2+0.0212*J5+29.606</f>
        <v>31.798419500000001</v>
      </c>
      <c r="K8" s="6">
        <f>-0.00002*K5^2+0.0141*K5+29.606</f>
        <v>31.814059200000003</v>
      </c>
      <c r="L8">
        <f>-0.0002*L5^2+0.0423*L5+29.606</f>
        <v>30.436447999999999</v>
      </c>
      <c r="M8">
        <f t="shared" ref="M8:T8" si="4">-0.0002*M5^2+0.0423*M5+29.606</f>
        <v>30.847152000000001</v>
      </c>
      <c r="N8">
        <f t="shared" si="4"/>
        <v>31.149948000000002</v>
      </c>
      <c r="O8">
        <f t="shared" si="4"/>
        <v>30.737028000000002</v>
      </c>
      <c r="P8">
        <f t="shared" si="4"/>
        <v>31.614800000000002</v>
      </c>
      <c r="Q8">
        <f t="shared" si="4"/>
        <v>31.520208</v>
      </c>
      <c r="R8">
        <f t="shared" si="4"/>
        <v>31.594100000000001</v>
      </c>
      <c r="S8">
        <f t="shared" si="4"/>
        <v>31.067600000000002</v>
      </c>
      <c r="T8">
        <f t="shared" si="4"/>
        <v>31.468500000000002</v>
      </c>
      <c r="U8" s="33">
        <f>-0.00005*U5^2+0.0212*U5+29.606</f>
        <v>31.049288000000001</v>
      </c>
      <c r="V8" s="33">
        <f>-0.00005*V5^2+0.0212*V5+29.606</f>
        <v>31.61515</v>
      </c>
      <c r="W8">
        <f t="shared" ref="W8" si="5">-0.0002*W5^2+0.0423*W5+29.606</f>
        <v>31.673250500000002</v>
      </c>
    </row>
    <row r="9" spans="1:26">
      <c r="A9" s="15" t="s">
        <v>66</v>
      </c>
      <c r="B9">
        <f>B8/B5/B5</f>
        <v>2.6169847502361078E-3</v>
      </c>
      <c r="C9">
        <f t="shared" ref="C9:W9" si="6">C8/C5/C5</f>
        <v>1.7699834476567213E-3</v>
      </c>
      <c r="D9">
        <f t="shared" si="6"/>
        <v>1.6332992654472279E-3</v>
      </c>
      <c r="E9">
        <f t="shared" si="6"/>
        <v>3.1809551193072907E-3</v>
      </c>
      <c r="F9">
        <f t="shared" si="6"/>
        <v>3.4393633924157895E-3</v>
      </c>
      <c r="G9">
        <f t="shared" si="6"/>
        <v>3.3550620022009619E-3</v>
      </c>
      <c r="H9">
        <f t="shared" si="6"/>
        <v>1.2669586418638256E-3</v>
      </c>
      <c r="I9">
        <f t="shared" si="6"/>
        <v>1.603197620149187E-3</v>
      </c>
      <c r="J9">
        <f t="shared" si="6"/>
        <v>5.2932074119906426E-4</v>
      </c>
      <c r="K9">
        <f t="shared" si="6"/>
        <v>5.7706256221540524E-4</v>
      </c>
      <c r="L9">
        <f t="shared" si="6"/>
        <v>8.4667610247645482E-4</v>
      </c>
      <c r="M9">
        <f t="shared" si="6"/>
        <v>9.9245414261579725E-4</v>
      </c>
      <c r="N9">
        <f t="shared" si="6"/>
        <v>1.149734767003923E-3</v>
      </c>
      <c r="O9">
        <f t="shared" si="6"/>
        <v>9.4762049956206092E-4</v>
      </c>
      <c r="P9">
        <f t="shared" si="6"/>
        <v>1.6245834457419613E-3</v>
      </c>
      <c r="Q9">
        <f t="shared" si="6"/>
        <v>1.4807389176677952E-3</v>
      </c>
      <c r="R9">
        <f t="shared" si="6"/>
        <v>1.5891605050047785E-3</v>
      </c>
      <c r="S9">
        <f t="shared" si="6"/>
        <v>1.1007511337868482E-3</v>
      </c>
      <c r="T9">
        <f t="shared" si="6"/>
        <v>1.4174361515247062E-3</v>
      </c>
      <c r="U9">
        <f t="shared" si="6"/>
        <v>4.2773270294694616E-3</v>
      </c>
      <c r="V9">
        <f t="shared" si="6"/>
        <v>1.546048706538217E-3</v>
      </c>
      <c r="W9">
        <f t="shared" si="6"/>
        <v>1.7417697110276061E-3</v>
      </c>
      <c r="Y9" s="41">
        <f>MAX(B9:W9)</f>
        <v>4.2773270294694616E-3</v>
      </c>
      <c r="Z9">
        <f>MIN(B9:W9)</f>
        <v>5.2932074119906426E-4</v>
      </c>
    </row>
    <row r="10" spans="1:26">
      <c r="A10" s="15" t="s">
        <v>158</v>
      </c>
      <c r="B10">
        <f>1/B9</f>
        <v>382.11915446193512</v>
      </c>
      <c r="C10">
        <f t="shared" ref="C10:W10" si="7">1/C9</f>
        <v>564.9770348552687</v>
      </c>
      <c r="D10">
        <f t="shared" si="7"/>
        <v>612.25766836194668</v>
      </c>
      <c r="E10">
        <f t="shared" si="7"/>
        <v>314.37098685559818</v>
      </c>
      <c r="F10">
        <f t="shared" si="7"/>
        <v>290.75148098776663</v>
      </c>
      <c r="G10">
        <f t="shared" si="7"/>
        <v>298.05708488963472</v>
      </c>
      <c r="H10">
        <f t="shared" si="7"/>
        <v>789.29174714724536</v>
      </c>
      <c r="I10">
        <f t="shared" si="7"/>
        <v>623.75342093318727</v>
      </c>
      <c r="J10">
        <f t="shared" si="7"/>
        <v>1889.2137076183928</v>
      </c>
      <c r="K10">
        <f t="shared" si="7"/>
        <v>1732.9143588190723</v>
      </c>
      <c r="L10">
        <f t="shared" si="7"/>
        <v>1181.0891993704392</v>
      </c>
      <c r="M10">
        <f t="shared" si="7"/>
        <v>1007.6032302755211</v>
      </c>
      <c r="N10">
        <f t="shared" si="7"/>
        <v>869.76581790762521</v>
      </c>
      <c r="O10">
        <f t="shared" si="7"/>
        <v>1055.2747650163183</v>
      </c>
      <c r="P10">
        <f t="shared" si="7"/>
        <v>615.54240419044243</v>
      </c>
      <c r="Q10">
        <f t="shared" si="7"/>
        <v>675.33850030431279</v>
      </c>
      <c r="R10">
        <f t="shared" si="7"/>
        <v>629.26305860904404</v>
      </c>
      <c r="S10">
        <f t="shared" si="7"/>
        <v>908.47056097027121</v>
      </c>
      <c r="T10">
        <f t="shared" si="7"/>
        <v>705.49914994359438</v>
      </c>
      <c r="U10">
        <f t="shared" si="7"/>
        <v>233.7908682479289</v>
      </c>
      <c r="V10">
        <f t="shared" si="7"/>
        <v>646.81015272741081</v>
      </c>
      <c r="W10">
        <f t="shared" si="7"/>
        <v>574.12871154477807</v>
      </c>
    </row>
    <row r="11" spans="1:26">
      <c r="H11" s="29">
        <v>24.266666666666669</v>
      </c>
      <c r="I11" s="29">
        <v>25.8</v>
      </c>
      <c r="J11" s="29">
        <v>37.425000000000004</v>
      </c>
      <c r="K11" s="29">
        <v>30.412499999999994</v>
      </c>
      <c r="L11" s="29">
        <v>35.96</v>
      </c>
      <c r="M11" s="29">
        <v>28.520000000000003</v>
      </c>
      <c r="N11" s="29">
        <v>31.666666666666671</v>
      </c>
      <c r="O11" s="29">
        <v>22.483333333333334</v>
      </c>
    </row>
    <row r="12" spans="1:26">
      <c r="B12" s="28" t="s">
        <v>154</v>
      </c>
      <c r="H12" s="29">
        <v>2.4000000000000004</v>
      </c>
      <c r="I12" s="29">
        <v>2.3000000000000007</v>
      </c>
      <c r="J12" s="29">
        <v>1.9000000000000004</v>
      </c>
      <c r="K12" s="29">
        <v>2</v>
      </c>
      <c r="L12" s="29">
        <v>2</v>
      </c>
      <c r="M12" s="29">
        <v>1.7999999999999998</v>
      </c>
      <c r="N12" s="29">
        <v>2</v>
      </c>
      <c r="O12" s="29">
        <v>2.0999999999999996</v>
      </c>
    </row>
    <row r="13" spans="1:26">
      <c r="B13" s="29" t="s">
        <v>107</v>
      </c>
      <c r="H13" s="29">
        <f t="shared" ref="H13:O13" si="8">AVERAGE(H12:H12)</f>
        <v>2.4000000000000004</v>
      </c>
      <c r="I13" s="29">
        <f t="shared" si="8"/>
        <v>2.3000000000000007</v>
      </c>
      <c r="J13" s="29">
        <f t="shared" si="8"/>
        <v>1.9000000000000004</v>
      </c>
      <c r="K13" s="29">
        <f t="shared" si="8"/>
        <v>2</v>
      </c>
      <c r="L13" s="29">
        <f t="shared" si="8"/>
        <v>2</v>
      </c>
      <c r="M13" s="29">
        <f t="shared" si="8"/>
        <v>1.7999999999999998</v>
      </c>
      <c r="N13" s="29">
        <f t="shared" si="8"/>
        <v>2</v>
      </c>
      <c r="O13" s="29">
        <f t="shared" si="8"/>
        <v>2.0999999999999996</v>
      </c>
    </row>
    <row r="14" spans="1:26">
      <c r="B14" s="20" t="s">
        <v>155</v>
      </c>
      <c r="H14" s="29">
        <v>77.400000000000006</v>
      </c>
      <c r="I14" s="29">
        <v>80.8</v>
      </c>
      <c r="J14" s="29">
        <v>119.7</v>
      </c>
      <c r="K14" s="29">
        <v>125.4</v>
      </c>
      <c r="L14" s="29">
        <v>115.1</v>
      </c>
      <c r="M14" s="29">
        <v>119.7</v>
      </c>
      <c r="N14" s="29">
        <v>94.4</v>
      </c>
      <c r="O14" s="29">
        <v>95.2</v>
      </c>
    </row>
    <row r="15" spans="1:26">
      <c r="B15" s="33" t="s">
        <v>156</v>
      </c>
      <c r="H15" s="29">
        <f t="shared" ref="H15:O15" si="9">H13*4.2*H14/3.6</f>
        <v>216.72000000000006</v>
      </c>
      <c r="I15" s="29">
        <f t="shared" si="9"/>
        <v>216.81333333333339</v>
      </c>
      <c r="J15" s="29">
        <f t="shared" si="9"/>
        <v>265.33500000000004</v>
      </c>
      <c r="K15" s="29">
        <f t="shared" si="9"/>
        <v>292.60000000000002</v>
      </c>
      <c r="L15" s="29">
        <f t="shared" si="9"/>
        <v>268.56666666666666</v>
      </c>
      <c r="M15" s="29">
        <f t="shared" si="9"/>
        <v>251.37</v>
      </c>
      <c r="N15" s="29">
        <f t="shared" si="9"/>
        <v>220.26666666666668</v>
      </c>
      <c r="O15" s="29">
        <f t="shared" si="9"/>
        <v>233.23999999999995</v>
      </c>
    </row>
    <row r="16" spans="1:26">
      <c r="B16" s="6" t="s">
        <v>157</v>
      </c>
      <c r="H16" s="30">
        <f t="shared" ref="H16:O16" si="10">H15/908.5</f>
        <v>0.23854705558613104</v>
      </c>
      <c r="I16" s="30">
        <f t="shared" si="10"/>
        <v>0.23864978902953593</v>
      </c>
      <c r="J16" s="30">
        <f t="shared" si="10"/>
        <v>0.2920583379196478</v>
      </c>
      <c r="K16" s="30">
        <f t="shared" si="10"/>
        <v>0.3220693450742983</v>
      </c>
      <c r="L16" s="30">
        <f t="shared" si="10"/>
        <v>0.29561548339754173</v>
      </c>
      <c r="M16" s="30">
        <f t="shared" si="10"/>
        <v>0.27668684645019265</v>
      </c>
      <c r="N16" s="30">
        <f t="shared" si="10"/>
        <v>0.24245092643551644</v>
      </c>
      <c r="O16" s="30">
        <f t="shared" si="10"/>
        <v>0.25673087506879466</v>
      </c>
    </row>
    <row r="17" spans="8:15">
      <c r="H17" s="29"/>
      <c r="I17" s="29"/>
      <c r="J17" s="29"/>
      <c r="K17" s="29"/>
      <c r="L17" s="29"/>
      <c r="M17" s="29"/>
      <c r="N17" s="29"/>
      <c r="O17" s="29"/>
    </row>
    <row r="37" spans="1:7">
      <c r="A37">
        <v>0</v>
      </c>
      <c r="B37">
        <v>50</v>
      </c>
      <c r="C37">
        <v>100</v>
      </c>
      <c r="D37">
        <v>150</v>
      </c>
      <c r="E37">
        <v>200</v>
      </c>
      <c r="F37">
        <v>250</v>
      </c>
      <c r="G37">
        <v>300</v>
      </c>
    </row>
    <row r="38" spans="1:7">
      <c r="A38">
        <f>A37^2*$Y$9</f>
        <v>0</v>
      </c>
      <c r="B38">
        <f t="shared" ref="B38:G38" si="11">B37^2*$Y$9</f>
        <v>10.693317573673655</v>
      </c>
      <c r="C38">
        <f t="shared" si="11"/>
        <v>42.773270294694619</v>
      </c>
      <c r="D38">
        <f t="shared" si="11"/>
        <v>96.239858163062891</v>
      </c>
      <c r="E38">
        <f t="shared" si="11"/>
        <v>171.09308117877848</v>
      </c>
      <c r="F38">
        <f t="shared" si="11"/>
        <v>267.33293934184132</v>
      </c>
      <c r="G38">
        <f t="shared" si="11"/>
        <v>384.95943265225156</v>
      </c>
    </row>
    <row r="39" spans="1:7">
      <c r="A39">
        <f>A37^2*$Z$9</f>
        <v>0</v>
      </c>
      <c r="B39">
        <f t="shared" ref="B39:G39" si="12">B37^2*$Z$9</f>
        <v>1.3233018529976606</v>
      </c>
      <c r="C39">
        <f t="shared" si="12"/>
        <v>5.2932074119906423</v>
      </c>
      <c r="D39">
        <f t="shared" si="12"/>
        <v>11.909716676978945</v>
      </c>
      <c r="E39">
        <f t="shared" si="12"/>
        <v>21.172829647962569</v>
      </c>
      <c r="F39">
        <f t="shared" si="12"/>
        <v>33.082546324941518</v>
      </c>
      <c r="G39">
        <f t="shared" si="12"/>
        <v>47.638866707915781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4" zoomScaleNormal="100" workbookViewId="0">
      <selection activeCell="C56" sqref="C56"/>
    </sheetView>
  </sheetViews>
  <sheetFormatPr defaultRowHeight="14.25"/>
  <cols>
    <col min="1" max="1" width="11.875" customWidth="1"/>
    <col min="4" max="4" width="10.125" customWidth="1"/>
  </cols>
  <sheetData>
    <row r="1" spans="1:5">
      <c r="A1" t="s">
        <v>59</v>
      </c>
      <c r="B1" t="s">
        <v>60</v>
      </c>
    </row>
    <row r="2" spans="1:5">
      <c r="A2" t="s">
        <v>61</v>
      </c>
      <c r="B2">
        <v>0.76</v>
      </c>
      <c r="C2">
        <v>0.72</v>
      </c>
    </row>
    <row r="3" spans="1:5">
      <c r="A3" t="s">
        <v>62</v>
      </c>
      <c r="B3">
        <v>1.06</v>
      </c>
      <c r="C3">
        <v>1.02</v>
      </c>
    </row>
    <row r="4" spans="1:5">
      <c r="A4" t="s">
        <v>63</v>
      </c>
      <c r="B4">
        <f>B3-B2</f>
        <v>0.30000000000000004</v>
      </c>
      <c r="C4">
        <f>C3-C2</f>
        <v>0.30000000000000004</v>
      </c>
    </row>
    <row r="5" spans="1:5">
      <c r="A5" t="s">
        <v>64</v>
      </c>
      <c r="B5" s="10">
        <f>AVERAGE(B4:C4)/9.807*1000</f>
        <v>30.590394616090549</v>
      </c>
      <c r="C5">
        <f>-0.00005*C6^2 + 0.0212*C6 + 29.606</f>
        <v>31.798419500000001</v>
      </c>
    </row>
    <row r="6" spans="1:5">
      <c r="A6" t="s">
        <v>65</v>
      </c>
      <c r="B6" s="6">
        <v>370.95</v>
      </c>
      <c r="C6">
        <f>D6+E6</f>
        <v>245.10000000000002</v>
      </c>
      <c r="D6">
        <v>119.7</v>
      </c>
      <c r="E6">
        <v>125.4</v>
      </c>
    </row>
    <row r="7" spans="1:5">
      <c r="A7" t="s">
        <v>66</v>
      </c>
      <c r="B7">
        <f>B5/B6/B6</f>
        <v>2.2230760945235949E-4</v>
      </c>
      <c r="C7">
        <f>C5/C6/C6</f>
        <v>5.2932074119906426E-4</v>
      </c>
    </row>
    <row r="8" spans="1:5">
      <c r="A8" t="s">
        <v>91</v>
      </c>
      <c r="B8" s="2">
        <v>213</v>
      </c>
    </row>
    <row r="10" spans="1:5">
      <c r="A10" t="s">
        <v>67</v>
      </c>
      <c r="B10" t="s">
        <v>68</v>
      </c>
      <c r="C10" t="s">
        <v>69</v>
      </c>
      <c r="D10" t="s">
        <v>70</v>
      </c>
      <c r="E10" t="s">
        <v>73</v>
      </c>
    </row>
    <row r="11" spans="1:5">
      <c r="A11">
        <v>0</v>
      </c>
      <c r="B11">
        <f>-0.00005*A11^2 + 0.0212*A11 + 29.606</f>
        <v>29.606000000000002</v>
      </c>
      <c r="C11">
        <f>A11^2*$C$7</f>
        <v>0</v>
      </c>
      <c r="D11" s="5">
        <f t="shared" ref="D11:D23" si="0">-0.000005*A11^2 + 0.0042*A11 - 0.0201</f>
        <v>-2.01E-2</v>
      </c>
      <c r="E11" s="5">
        <f>-0.000005*A11^2 + 0.0044*A11 - 0.0282</f>
        <v>-2.8199999999999999E-2</v>
      </c>
    </row>
    <row r="12" spans="1:5">
      <c r="A12">
        <v>50</v>
      </c>
      <c r="B12">
        <f t="shared" ref="B12:B23" si="1">-0.00005*A12^2 + 0.0212*A12 + 29.606</f>
        <v>30.541</v>
      </c>
      <c r="C12">
        <f t="shared" ref="C12:C23" si="2">A12^2*$C$7</f>
        <v>1.3233018529976606</v>
      </c>
      <c r="D12" s="5">
        <f t="shared" si="0"/>
        <v>0.17739999999999997</v>
      </c>
      <c r="E12" s="5">
        <f t="shared" ref="E12:E23" si="3">-0.000005*A12^2 + 0.0044*A12 - 0.0282</f>
        <v>0.17929999999999999</v>
      </c>
    </row>
    <row r="13" spans="1:5">
      <c r="A13">
        <v>100</v>
      </c>
      <c r="B13">
        <f t="shared" si="1"/>
        <v>31.226000000000003</v>
      </c>
      <c r="C13">
        <f t="shared" si="2"/>
        <v>5.2932074119906423</v>
      </c>
      <c r="D13" s="5">
        <f t="shared" si="0"/>
        <v>0.34989999999999999</v>
      </c>
      <c r="E13" s="5">
        <f t="shared" si="3"/>
        <v>0.36180000000000001</v>
      </c>
    </row>
    <row r="14" spans="1:5">
      <c r="A14">
        <v>150</v>
      </c>
      <c r="B14">
        <f t="shared" si="1"/>
        <v>31.661000000000001</v>
      </c>
      <c r="C14">
        <f t="shared" si="2"/>
        <v>11.909716676978945</v>
      </c>
      <c r="D14" s="5">
        <f t="shared" si="0"/>
        <v>0.49739999999999995</v>
      </c>
      <c r="E14" s="5">
        <f t="shared" si="3"/>
        <v>0.51929999999999998</v>
      </c>
    </row>
    <row r="15" spans="1:5">
      <c r="A15">
        <v>200</v>
      </c>
      <c r="B15">
        <f t="shared" si="1"/>
        <v>31.846000000000004</v>
      </c>
      <c r="C15">
        <f t="shared" si="2"/>
        <v>21.172829647962569</v>
      </c>
      <c r="D15" s="5">
        <f t="shared" si="0"/>
        <v>0.6198999999999999</v>
      </c>
      <c r="E15" s="5">
        <f t="shared" si="3"/>
        <v>0.65179999999999993</v>
      </c>
    </row>
    <row r="16" spans="1:5">
      <c r="A16">
        <v>250</v>
      </c>
      <c r="B16">
        <f t="shared" si="1"/>
        <v>31.781000000000002</v>
      </c>
      <c r="C16">
        <f t="shared" si="2"/>
        <v>33.082546324941518</v>
      </c>
      <c r="D16" s="5">
        <f t="shared" si="0"/>
        <v>0.71740000000000004</v>
      </c>
      <c r="E16" s="5">
        <f t="shared" si="3"/>
        <v>0.75930000000000009</v>
      </c>
    </row>
    <row r="17" spans="1:5">
      <c r="A17">
        <v>300</v>
      </c>
      <c r="B17">
        <f t="shared" si="1"/>
        <v>31.466000000000001</v>
      </c>
      <c r="C17">
        <f t="shared" si="2"/>
        <v>47.638866707915781</v>
      </c>
      <c r="D17" s="5">
        <f t="shared" si="0"/>
        <v>0.78990000000000005</v>
      </c>
      <c r="E17" s="5">
        <f t="shared" si="3"/>
        <v>0.8418000000000001</v>
      </c>
    </row>
    <row r="18" spans="1:5">
      <c r="A18">
        <v>350</v>
      </c>
      <c r="B18">
        <f t="shared" si="1"/>
        <v>30.901000000000003</v>
      </c>
      <c r="C18">
        <f t="shared" si="2"/>
        <v>64.841790796885377</v>
      </c>
      <c r="D18" s="5">
        <f t="shared" si="0"/>
        <v>0.83739999999999992</v>
      </c>
      <c r="E18" s="5">
        <f t="shared" si="3"/>
        <v>0.89929999999999999</v>
      </c>
    </row>
    <row r="19" spans="1:5">
      <c r="A19">
        <v>400</v>
      </c>
      <c r="B19">
        <f t="shared" si="1"/>
        <v>30.086000000000002</v>
      </c>
      <c r="C19">
        <f t="shared" si="2"/>
        <v>84.691318591850276</v>
      </c>
      <c r="D19" s="5">
        <f t="shared" si="0"/>
        <v>0.85989999999999989</v>
      </c>
      <c r="E19" s="5">
        <f t="shared" si="3"/>
        <v>0.93179999999999996</v>
      </c>
    </row>
    <row r="20" spans="1:5">
      <c r="A20">
        <v>450</v>
      </c>
      <c r="B20">
        <f t="shared" si="1"/>
        <v>29.021000000000001</v>
      </c>
      <c r="C20">
        <f t="shared" si="2"/>
        <v>107.18745009281051</v>
      </c>
      <c r="D20" s="5">
        <f t="shared" si="0"/>
        <v>0.85739999999999972</v>
      </c>
      <c r="E20" s="5">
        <f t="shared" si="3"/>
        <v>0.93930000000000002</v>
      </c>
    </row>
    <row r="21" spans="1:5">
      <c r="A21">
        <v>500</v>
      </c>
      <c r="B21">
        <f t="shared" si="1"/>
        <v>27.706000000000003</v>
      </c>
      <c r="C21">
        <f t="shared" si="2"/>
        <v>132.33018529976607</v>
      </c>
      <c r="D21" s="5">
        <f t="shared" si="0"/>
        <v>0.82990000000000008</v>
      </c>
      <c r="E21" s="5">
        <f t="shared" si="3"/>
        <v>0.92180000000000017</v>
      </c>
    </row>
    <row r="22" spans="1:5">
      <c r="A22">
        <v>550</v>
      </c>
      <c r="B22">
        <f t="shared" si="1"/>
        <v>26.141000000000002</v>
      </c>
      <c r="C22">
        <f t="shared" si="2"/>
        <v>160.11952421271695</v>
      </c>
      <c r="D22" s="5">
        <f t="shared" si="0"/>
        <v>0.77739999999999987</v>
      </c>
      <c r="E22" s="5">
        <f t="shared" si="3"/>
        <v>0.87929999999999975</v>
      </c>
    </row>
    <row r="23" spans="1:5">
      <c r="A23">
        <v>600</v>
      </c>
      <c r="B23">
        <f t="shared" si="1"/>
        <v>24.326000000000001</v>
      </c>
      <c r="C23">
        <f t="shared" si="2"/>
        <v>190.55546683166313</v>
      </c>
      <c r="D23" s="5">
        <f t="shared" si="0"/>
        <v>0.69989999999999997</v>
      </c>
      <c r="E23" s="5">
        <f t="shared" si="3"/>
        <v>0.81180000000000008</v>
      </c>
    </row>
    <row r="24" spans="1:5">
      <c r="A24" t="s">
        <v>71</v>
      </c>
      <c r="D24" s="4"/>
    </row>
    <row r="25" spans="1:5">
      <c r="A25">
        <v>245.10000000000002</v>
      </c>
      <c r="B25">
        <v>31.798419500000001</v>
      </c>
      <c r="D25" s="4"/>
    </row>
    <row r="26" spans="1:5">
      <c r="A26" t="s">
        <v>72</v>
      </c>
    </row>
    <row r="27" spans="1:5">
      <c r="A27">
        <v>360</v>
      </c>
      <c r="B27">
        <f>-0.00005*A27^2 + 0.0212*A27 + 29.606</f>
        <v>30.758000000000003</v>
      </c>
    </row>
    <row r="30" spans="1:5">
      <c r="A30" t="s">
        <v>96</v>
      </c>
      <c r="B30" t="s">
        <v>97</v>
      </c>
    </row>
    <row r="31" spans="1:5">
      <c r="A31" t="s">
        <v>99</v>
      </c>
      <c r="B31">
        <v>180.1</v>
      </c>
    </row>
    <row r="32" spans="1:5">
      <c r="A32" t="s">
        <v>100</v>
      </c>
      <c r="B32">
        <f>-0.0002*B31^2 + 0.0423*B31 + 29.606</f>
        <v>30.737028000000002</v>
      </c>
    </row>
    <row r="33" spans="1:4">
      <c r="A33" t="s">
        <v>101</v>
      </c>
      <c r="B33">
        <f>B32/B31/B31</f>
        <v>9.4762049956206092E-4</v>
      </c>
    </row>
    <row r="34" spans="1:4">
      <c r="A34" t="s">
        <v>91</v>
      </c>
      <c r="B34">
        <v>282</v>
      </c>
    </row>
    <row r="36" spans="1:4">
      <c r="A36" t="s">
        <v>67</v>
      </c>
      <c r="B36" t="s">
        <v>68</v>
      </c>
      <c r="C36" t="s">
        <v>69</v>
      </c>
      <c r="D36" t="s">
        <v>70</v>
      </c>
    </row>
    <row r="37" spans="1:4">
      <c r="A37">
        <v>0</v>
      </c>
      <c r="B37">
        <f>-0.0002*A37^2 + 0.0423*A37 + 29.606</f>
        <v>29.606000000000002</v>
      </c>
      <c r="C37">
        <f>A37^2*$B$33</f>
        <v>0</v>
      </c>
      <c r="D37" s="5">
        <f>-0.00002*A37^2+0.0088*A37-0.0282</f>
        <v>-2.8199999999999999E-2</v>
      </c>
    </row>
    <row r="38" spans="1:4">
      <c r="A38">
        <v>50</v>
      </c>
      <c r="B38">
        <f t="shared" ref="B38:B51" si="4">-0.0002*A38^2 + 0.0423*A38 + 29.606</f>
        <v>31.221</v>
      </c>
      <c r="C38">
        <f t="shared" ref="C38:C49" si="5">A38^2*$B$33</f>
        <v>2.3690512489051523</v>
      </c>
      <c r="D38" s="5">
        <f t="shared" ref="D38:D49" si="6">-0.00002*A38^2+0.0088*A38-0.0282</f>
        <v>0.36180000000000001</v>
      </c>
    </row>
    <row r="39" spans="1:4">
      <c r="A39">
        <v>100</v>
      </c>
      <c r="B39">
        <f t="shared" si="4"/>
        <v>31.836000000000002</v>
      </c>
      <c r="C39">
        <f t="shared" si="5"/>
        <v>9.4762049956206091</v>
      </c>
      <c r="D39" s="5">
        <f t="shared" si="6"/>
        <v>0.65179999999999993</v>
      </c>
    </row>
    <row r="40" spans="1:4">
      <c r="A40">
        <v>150</v>
      </c>
      <c r="B40">
        <f t="shared" si="4"/>
        <v>31.451000000000001</v>
      </c>
      <c r="C40">
        <f t="shared" si="5"/>
        <v>21.32146124014637</v>
      </c>
      <c r="D40" s="5">
        <f t="shared" si="6"/>
        <v>0.8418000000000001</v>
      </c>
    </row>
    <row r="41" spans="1:4">
      <c r="A41">
        <v>200</v>
      </c>
      <c r="B41">
        <f t="shared" si="4"/>
        <v>30.066000000000003</v>
      </c>
      <c r="C41">
        <f t="shared" si="5"/>
        <v>37.904819982482437</v>
      </c>
      <c r="D41" s="5">
        <f t="shared" si="6"/>
        <v>0.93179999999999996</v>
      </c>
    </row>
    <row r="42" spans="1:4">
      <c r="A42">
        <v>250</v>
      </c>
      <c r="B42">
        <f t="shared" si="4"/>
        <v>27.681000000000001</v>
      </c>
      <c r="C42">
        <f t="shared" si="5"/>
        <v>59.226281222628806</v>
      </c>
      <c r="D42" s="5">
        <f t="shared" si="6"/>
        <v>0.92180000000000017</v>
      </c>
    </row>
    <row r="43" spans="1:4">
      <c r="A43">
        <v>300</v>
      </c>
      <c r="B43">
        <f t="shared" si="4"/>
        <v>24.295999999999999</v>
      </c>
      <c r="C43">
        <f t="shared" si="5"/>
        <v>85.285844960585479</v>
      </c>
      <c r="D43" s="5">
        <f t="shared" si="6"/>
        <v>0.81180000000000008</v>
      </c>
    </row>
    <row r="44" spans="1:4">
      <c r="A44">
        <v>350</v>
      </c>
      <c r="B44">
        <f t="shared" si="4"/>
        <v>19.911000000000001</v>
      </c>
      <c r="C44">
        <f t="shared" si="5"/>
        <v>116.08351119635246</v>
      </c>
      <c r="D44" s="5">
        <f t="shared" si="6"/>
        <v>0.60179999999999989</v>
      </c>
    </row>
    <row r="45" spans="1:4">
      <c r="A45">
        <v>400</v>
      </c>
      <c r="B45">
        <f t="shared" si="4"/>
        <v>14.526</v>
      </c>
      <c r="C45">
        <f t="shared" si="5"/>
        <v>151.61927992992975</v>
      </c>
      <c r="D45" s="5">
        <f t="shared" si="6"/>
        <v>0.29179999999999984</v>
      </c>
    </row>
    <row r="46" spans="1:4">
      <c r="A46">
        <v>450</v>
      </c>
      <c r="B46">
        <f t="shared" si="4"/>
        <v>8.1410000000000018</v>
      </c>
      <c r="C46">
        <f t="shared" si="5"/>
        <v>191.89315116131735</v>
      </c>
      <c r="D46" s="5">
        <f t="shared" si="6"/>
        <v>-0.1182000000000003</v>
      </c>
    </row>
    <row r="47" spans="1:4">
      <c r="A47">
        <v>500</v>
      </c>
      <c r="B47">
        <f t="shared" si="4"/>
        <v>0.75600000000000023</v>
      </c>
      <c r="C47">
        <f t="shared" si="5"/>
        <v>236.90512489051522</v>
      </c>
      <c r="D47" s="5">
        <f t="shared" si="6"/>
        <v>-0.62819999999999965</v>
      </c>
    </row>
    <row r="48" spans="1:4">
      <c r="A48">
        <v>550</v>
      </c>
      <c r="B48">
        <f t="shared" si="4"/>
        <v>-7.6289999999999978</v>
      </c>
      <c r="C48">
        <f t="shared" si="5"/>
        <v>286.6552011175234</v>
      </c>
      <c r="D48" s="5">
        <f t="shared" si="6"/>
        <v>-1.2382000000000009</v>
      </c>
    </row>
    <row r="49" spans="1:4">
      <c r="A49">
        <v>600</v>
      </c>
      <c r="B49">
        <f t="shared" si="4"/>
        <v>-17.014000000000003</v>
      </c>
      <c r="C49">
        <f t="shared" si="5"/>
        <v>341.14337984234191</v>
      </c>
      <c r="D49" s="5">
        <f t="shared" si="6"/>
        <v>-1.9481999999999999</v>
      </c>
    </row>
    <row r="50" spans="1:4">
      <c r="A50" t="s">
        <v>72</v>
      </c>
    </row>
    <row r="51" spans="1:4">
      <c r="A51">
        <v>180</v>
      </c>
      <c r="B51">
        <f t="shared" si="4"/>
        <v>30.740000000000002</v>
      </c>
    </row>
    <row r="52" spans="1:4">
      <c r="A52" t="s">
        <v>71</v>
      </c>
    </row>
    <row r="53" spans="1:4">
      <c r="A53">
        <v>180.1</v>
      </c>
      <c r="B53">
        <v>30.737028000000002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9" sqref="C19"/>
    </sheetView>
  </sheetViews>
  <sheetFormatPr defaultRowHeight="14.25"/>
  <cols>
    <col min="2" max="2" width="14" customWidth="1"/>
  </cols>
  <sheetData>
    <row r="1" spans="1:6">
      <c r="A1" t="s">
        <v>59</v>
      </c>
      <c r="B1" t="s">
        <v>60</v>
      </c>
    </row>
    <row r="2" spans="1:6">
      <c r="A2" t="s">
        <v>74</v>
      </c>
      <c r="B2" t="s">
        <v>8</v>
      </c>
      <c r="C2">
        <v>7</v>
      </c>
      <c r="D2" s="6">
        <v>6</v>
      </c>
      <c r="E2">
        <v>7.4</v>
      </c>
      <c r="F2">
        <f>AVERAGE(C2,E2)</f>
        <v>7.2</v>
      </c>
    </row>
    <row r="3" spans="1:6">
      <c r="B3" t="s">
        <v>9</v>
      </c>
      <c r="C3">
        <v>8.9</v>
      </c>
      <c r="D3" s="6">
        <v>8.9</v>
      </c>
      <c r="E3">
        <v>9.5</v>
      </c>
      <c r="F3">
        <f t="shared" ref="F3:F4" si="0">AVERAGE(C3,E3)</f>
        <v>9.1999999999999993</v>
      </c>
    </row>
    <row r="4" spans="1:6">
      <c r="B4" t="s">
        <v>76</v>
      </c>
      <c r="C4">
        <f>C3-C2</f>
        <v>1.9000000000000004</v>
      </c>
      <c r="D4" s="6">
        <f t="shared" ref="D4:E4" si="1">D3-D2</f>
        <v>2.9000000000000004</v>
      </c>
      <c r="E4">
        <f t="shared" si="1"/>
        <v>2.0999999999999996</v>
      </c>
      <c r="F4">
        <f t="shared" si="0"/>
        <v>2</v>
      </c>
    </row>
    <row r="5" spans="1:6">
      <c r="B5" t="s">
        <v>11</v>
      </c>
      <c r="C5">
        <v>119.7</v>
      </c>
    </row>
    <row r="6" spans="1:6">
      <c r="B6" t="s">
        <v>1</v>
      </c>
      <c r="C6">
        <v>25.1</v>
      </c>
      <c r="D6">
        <v>25</v>
      </c>
    </row>
    <row r="7" spans="1:6">
      <c r="B7" t="s">
        <v>2</v>
      </c>
      <c r="C7">
        <v>23.2</v>
      </c>
      <c r="D7">
        <v>23.7</v>
      </c>
    </row>
    <row r="8" spans="1:6">
      <c r="B8" t="s">
        <v>77</v>
      </c>
      <c r="C8">
        <f>C4*4.19*C5/3.6</f>
        <v>264.70325000000008</v>
      </c>
    </row>
    <row r="9" spans="1:6">
      <c r="B9" t="s">
        <v>78</v>
      </c>
      <c r="C9">
        <v>908.5</v>
      </c>
    </row>
    <row r="10" spans="1:6">
      <c r="B10" t="s">
        <v>79</v>
      </c>
      <c r="C10" s="7">
        <f>C8/C9</f>
        <v>0.29136296092460107</v>
      </c>
    </row>
    <row r="11" spans="1:6">
      <c r="A11" t="s">
        <v>75</v>
      </c>
      <c r="B11" t="s">
        <v>8</v>
      </c>
      <c r="C11">
        <v>7.1</v>
      </c>
      <c r="D11">
        <v>7</v>
      </c>
      <c r="E11">
        <v>7.5</v>
      </c>
      <c r="F11">
        <f>AVERAGE(C11:E11)</f>
        <v>7.2</v>
      </c>
    </row>
    <row r="12" spans="1:6">
      <c r="B12" t="s">
        <v>9</v>
      </c>
      <c r="C12">
        <v>9.1</v>
      </c>
      <c r="D12">
        <v>9</v>
      </c>
      <c r="E12">
        <v>9.1999999999999993</v>
      </c>
      <c r="F12">
        <f t="shared" ref="F12:F13" si="2">AVERAGE(C12:E12)</f>
        <v>9.1</v>
      </c>
    </row>
    <row r="13" spans="1:6">
      <c r="B13" t="s">
        <v>76</v>
      </c>
      <c r="C13">
        <f>C12-C11</f>
        <v>2</v>
      </c>
      <c r="D13">
        <f t="shared" ref="D13" si="3">D12-D11</f>
        <v>2</v>
      </c>
      <c r="E13">
        <f t="shared" ref="E13" si="4">E12-E11</f>
        <v>1.6999999999999993</v>
      </c>
      <c r="F13">
        <f t="shared" si="2"/>
        <v>1.8999999999999997</v>
      </c>
    </row>
    <row r="14" spans="1:6">
      <c r="B14" t="s">
        <v>11</v>
      </c>
      <c r="C14">
        <v>125.4</v>
      </c>
    </row>
    <row r="15" spans="1:6">
      <c r="B15" t="s">
        <v>1</v>
      </c>
      <c r="C15">
        <v>25.2</v>
      </c>
      <c r="D15">
        <v>24.5</v>
      </c>
    </row>
    <row r="16" spans="1:6">
      <c r="B16" t="s">
        <v>2</v>
      </c>
      <c r="C16">
        <v>23.8</v>
      </c>
      <c r="D16">
        <v>23</v>
      </c>
    </row>
    <row r="17" spans="2:3">
      <c r="B17" t="s">
        <v>77</v>
      </c>
      <c r="C17">
        <f>C13*4.19*C14/3.6</f>
        <v>291.90333333333336</v>
      </c>
    </row>
    <row r="18" spans="2:3">
      <c r="B18" t="s">
        <v>78</v>
      </c>
      <c r="C18">
        <v>908.5</v>
      </c>
    </row>
    <row r="19" spans="2:3">
      <c r="B19" t="s">
        <v>79</v>
      </c>
      <c r="C19" s="7">
        <f>C17/C18</f>
        <v>0.3213025133003119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F28" workbookViewId="0">
      <selection activeCell="B11" sqref="B11:G11"/>
    </sheetView>
  </sheetViews>
  <sheetFormatPr defaultRowHeight="14.25"/>
  <cols>
    <col min="1" max="1" width="12.125" customWidth="1"/>
  </cols>
  <sheetData>
    <row r="1" spans="1:12">
      <c r="A1" t="s">
        <v>59</v>
      </c>
      <c r="B1" t="s">
        <v>80</v>
      </c>
      <c r="I1" s="6"/>
      <c r="J1" s="6">
        <v>94.4</v>
      </c>
      <c r="K1" s="6">
        <v>119.7</v>
      </c>
      <c r="L1" s="6">
        <v>115.1</v>
      </c>
    </row>
    <row r="2" spans="1:12">
      <c r="A2" t="s">
        <v>81</v>
      </c>
      <c r="B2">
        <v>1</v>
      </c>
      <c r="C2" s="46">
        <v>2</v>
      </c>
      <c r="D2" s="46"/>
      <c r="E2" s="46">
        <v>3</v>
      </c>
      <c r="F2" s="46"/>
      <c r="G2" s="46"/>
      <c r="I2" s="6"/>
      <c r="J2" s="6">
        <v>95.2</v>
      </c>
      <c r="K2" s="6">
        <v>125.4</v>
      </c>
      <c r="L2" s="6">
        <v>119.7</v>
      </c>
    </row>
    <row r="3" spans="1:12">
      <c r="A3" t="s">
        <v>61</v>
      </c>
      <c r="B3">
        <v>0.71</v>
      </c>
      <c r="C3">
        <v>0.76</v>
      </c>
      <c r="D3">
        <v>0.72</v>
      </c>
      <c r="E3">
        <v>0.77</v>
      </c>
      <c r="F3">
        <v>0.72</v>
      </c>
      <c r="G3">
        <v>0.71</v>
      </c>
      <c r="I3" s="6" t="s">
        <v>82</v>
      </c>
      <c r="J3" s="9">
        <f>J1+J2</f>
        <v>189.60000000000002</v>
      </c>
      <c r="K3" s="9">
        <f t="shared" ref="K3:L3" si="0">K1+K2</f>
        <v>245.10000000000002</v>
      </c>
      <c r="L3" s="9">
        <f t="shared" si="0"/>
        <v>234.8</v>
      </c>
    </row>
    <row r="4" spans="1:12">
      <c r="A4" t="s">
        <v>62</v>
      </c>
      <c r="B4">
        <v>0.97</v>
      </c>
      <c r="C4">
        <v>1.06</v>
      </c>
      <c r="D4">
        <v>1.02</v>
      </c>
      <c r="E4">
        <v>1.06</v>
      </c>
      <c r="F4">
        <v>1</v>
      </c>
      <c r="G4">
        <v>1.06</v>
      </c>
      <c r="I4" s="6" t="s">
        <v>92</v>
      </c>
      <c r="J4" s="9">
        <f>-0.0002*J3^2+0.0423*J3+29.606</f>
        <v>30.436447999999999</v>
      </c>
      <c r="K4" s="9">
        <f>-0.00005*K3^2 + 0.0212*K3 + 29.606</f>
        <v>31.798419500000001</v>
      </c>
      <c r="L4" s="9">
        <f>-0.00002*L3^2 + 0.0141*L3 + 29.606</f>
        <v>31.814059200000003</v>
      </c>
    </row>
    <row r="5" spans="1:12">
      <c r="A5" t="s">
        <v>63</v>
      </c>
      <c r="B5">
        <f t="shared" ref="B5:G5" si="1">B4-B3</f>
        <v>0.26</v>
      </c>
      <c r="C5">
        <f t="shared" si="1"/>
        <v>0.30000000000000004</v>
      </c>
      <c r="D5">
        <f t="shared" si="1"/>
        <v>0.30000000000000004</v>
      </c>
      <c r="E5">
        <f t="shared" si="1"/>
        <v>0.29000000000000004</v>
      </c>
      <c r="F5">
        <f t="shared" si="1"/>
        <v>0.28000000000000003</v>
      </c>
      <c r="G5" s="6">
        <f t="shared" si="1"/>
        <v>0.35000000000000009</v>
      </c>
      <c r="I5" s="9" t="s">
        <v>93</v>
      </c>
      <c r="J5" s="9">
        <f>J4/J3/J3</f>
        <v>8.4667610247645482E-4</v>
      </c>
      <c r="K5" s="9">
        <f t="shared" ref="K5:L5" si="2">K4/K3/K3</f>
        <v>5.2932074119906426E-4</v>
      </c>
      <c r="L5" s="9">
        <f t="shared" si="2"/>
        <v>5.7706256221540524E-4</v>
      </c>
    </row>
    <row r="6" spans="1:12">
      <c r="A6" t="s">
        <v>64</v>
      </c>
      <c r="B6" s="3">
        <f>B5*1000/9.807</f>
        <v>26.511675333945139</v>
      </c>
      <c r="C6" s="3">
        <f>AVERAGE(C5:D5)/9.807*1000</f>
        <v>30.590394616090549</v>
      </c>
      <c r="D6" s="3"/>
      <c r="E6" s="3">
        <f>AVERAGE(E5:F5)/9.807*1000</f>
        <v>29.060874885286022</v>
      </c>
      <c r="I6" s="9" t="s">
        <v>98</v>
      </c>
      <c r="J6">
        <v>1</v>
      </c>
      <c r="K6">
        <v>2</v>
      </c>
      <c r="L6">
        <v>3</v>
      </c>
    </row>
    <row r="7" spans="1:12">
      <c r="A7" t="s">
        <v>65</v>
      </c>
      <c r="B7" s="8">
        <v>269</v>
      </c>
      <c r="C7">
        <v>370.95</v>
      </c>
      <c r="E7">
        <v>555.12300000000005</v>
      </c>
    </row>
    <row r="8" spans="1:12">
      <c r="A8" t="s">
        <v>66</v>
      </c>
      <c r="B8">
        <f>B6/B7/B7</f>
        <v>3.6638072074660571E-4</v>
      </c>
      <c r="C8">
        <f>C6/C7/C7</f>
        <v>2.2230760945235949E-4</v>
      </c>
      <c r="E8">
        <f>E6/E7/E7</f>
        <v>9.4304027691452535E-5</v>
      </c>
    </row>
    <row r="10" spans="1:12">
      <c r="A10" t="s">
        <v>95</v>
      </c>
    </row>
    <row r="11" spans="1:12">
      <c r="A11" t="s">
        <v>83</v>
      </c>
      <c r="B11" t="s">
        <v>84</v>
      </c>
      <c r="C11" t="s">
        <v>85</v>
      </c>
      <c r="D11" t="s">
        <v>86</v>
      </c>
      <c r="E11">
        <v>1</v>
      </c>
      <c r="F11">
        <v>2</v>
      </c>
      <c r="G11">
        <v>3</v>
      </c>
    </row>
    <row r="12" spans="1:12">
      <c r="A12">
        <v>0</v>
      </c>
      <c r="B12">
        <f>-0.0002*A12^2+0.0423*A12+29.606</f>
        <v>29.606000000000002</v>
      </c>
      <c r="C12">
        <f>-0.00005*A12^2 + 0.0212*A12 + 29.606</f>
        <v>29.606000000000002</v>
      </c>
      <c r="D12">
        <f>-0.00002*A12^2 + 0.0141*A12 + 29.606</f>
        <v>29.606000000000002</v>
      </c>
      <c r="E12">
        <f>$B$8*A12^2</f>
        <v>0</v>
      </c>
      <c r="F12">
        <f>$C$8*A12^2</f>
        <v>0</v>
      </c>
      <c r="G12">
        <f>$E$8*A12^2</f>
        <v>0</v>
      </c>
    </row>
    <row r="13" spans="1:12">
      <c r="A13">
        <v>50</v>
      </c>
      <c r="B13">
        <f t="shared" ref="B13:B18" si="3">-0.0002*A13^2+0.0423*A13+29.606</f>
        <v>31.221</v>
      </c>
      <c r="C13">
        <f t="shared" ref="C13:C24" si="4">-0.00005*A13^2 + 0.0212*A13 + 29.606</f>
        <v>30.541</v>
      </c>
      <c r="D13">
        <f t="shared" ref="D13:D29" si="5">-0.00002*A13^2 + 0.0141*A13 + 29.606</f>
        <v>30.261000000000003</v>
      </c>
      <c r="E13">
        <f t="shared" ref="E13:E18" si="6">$B$8*A13^2</f>
        <v>0.91595180186651426</v>
      </c>
      <c r="F13">
        <f t="shared" ref="F13:F20" si="7">$C$8*A13^2</f>
        <v>0.55576902363089875</v>
      </c>
      <c r="G13">
        <f t="shared" ref="G13:G24" si="8">$E$8*A13^2</f>
        <v>0.23576006922863132</v>
      </c>
    </row>
    <row r="14" spans="1:12">
      <c r="A14">
        <v>100</v>
      </c>
      <c r="B14">
        <f t="shared" si="3"/>
        <v>31.836000000000002</v>
      </c>
      <c r="C14">
        <f t="shared" si="4"/>
        <v>31.226000000000003</v>
      </c>
      <c r="D14">
        <f t="shared" si="5"/>
        <v>30.816000000000003</v>
      </c>
      <c r="E14">
        <f t="shared" si="6"/>
        <v>3.663807207466057</v>
      </c>
      <c r="F14">
        <f t="shared" si="7"/>
        <v>2.223076094523595</v>
      </c>
      <c r="G14">
        <f t="shared" si="8"/>
        <v>0.9430402769145253</v>
      </c>
    </row>
    <row r="15" spans="1:12">
      <c r="A15">
        <v>150</v>
      </c>
      <c r="B15">
        <f t="shared" si="3"/>
        <v>31.451000000000001</v>
      </c>
      <c r="C15">
        <f t="shared" si="4"/>
        <v>31.661000000000001</v>
      </c>
      <c r="D15">
        <f t="shared" si="5"/>
        <v>31.271000000000001</v>
      </c>
      <c r="E15">
        <f t="shared" si="6"/>
        <v>8.2435662167986283</v>
      </c>
      <c r="F15">
        <f t="shared" si="7"/>
        <v>5.0019212126780888</v>
      </c>
      <c r="G15">
        <f t="shared" si="8"/>
        <v>2.1218406230576821</v>
      </c>
    </row>
    <row r="16" spans="1:12">
      <c r="A16">
        <v>200</v>
      </c>
      <c r="B16">
        <f t="shared" si="3"/>
        <v>30.066000000000003</v>
      </c>
      <c r="C16">
        <f t="shared" si="4"/>
        <v>31.846000000000004</v>
      </c>
      <c r="D16">
        <f t="shared" si="5"/>
        <v>31.626000000000001</v>
      </c>
      <c r="E16">
        <f t="shared" si="6"/>
        <v>14.655228829864228</v>
      </c>
      <c r="F16">
        <f t="shared" si="7"/>
        <v>8.89230437809438</v>
      </c>
      <c r="G16">
        <f t="shared" si="8"/>
        <v>3.7721611076581012</v>
      </c>
    </row>
    <row r="17" spans="1:7">
      <c r="A17">
        <v>250</v>
      </c>
      <c r="B17">
        <f t="shared" si="3"/>
        <v>27.681000000000001</v>
      </c>
      <c r="C17">
        <f t="shared" si="4"/>
        <v>31.781000000000002</v>
      </c>
      <c r="D17">
        <f t="shared" si="5"/>
        <v>31.881</v>
      </c>
      <c r="E17">
        <f t="shared" si="6"/>
        <v>22.898795046662858</v>
      </c>
      <c r="F17">
        <f t="shared" si="7"/>
        <v>13.894225590772468</v>
      </c>
      <c r="G17">
        <f t="shared" si="8"/>
        <v>5.8940017307157833</v>
      </c>
    </row>
    <row r="18" spans="1:7">
      <c r="A18">
        <v>300</v>
      </c>
      <c r="B18">
        <f t="shared" si="3"/>
        <v>24.295999999999999</v>
      </c>
      <c r="C18">
        <f t="shared" si="4"/>
        <v>31.466000000000001</v>
      </c>
      <c r="D18">
        <f t="shared" si="5"/>
        <v>32.036000000000001</v>
      </c>
      <c r="E18">
        <f t="shared" si="6"/>
        <v>32.974264867194513</v>
      </c>
      <c r="F18">
        <f t="shared" si="7"/>
        <v>20.007684850712355</v>
      </c>
      <c r="G18">
        <f t="shared" si="8"/>
        <v>8.4873624922307283</v>
      </c>
    </row>
    <row r="19" spans="1:7">
      <c r="A19">
        <v>350</v>
      </c>
      <c r="C19">
        <f t="shared" si="4"/>
        <v>30.901000000000003</v>
      </c>
      <c r="D19">
        <f t="shared" si="5"/>
        <v>32.091000000000001</v>
      </c>
      <c r="F19">
        <f t="shared" si="7"/>
        <v>27.232682157914038</v>
      </c>
      <c r="G19">
        <f t="shared" si="8"/>
        <v>11.552243392202936</v>
      </c>
    </row>
    <row r="20" spans="1:7">
      <c r="A20">
        <v>400</v>
      </c>
      <c r="C20">
        <f t="shared" si="4"/>
        <v>30.086000000000002</v>
      </c>
      <c r="D20">
        <f t="shared" si="5"/>
        <v>32.045999999999999</v>
      </c>
      <c r="F20">
        <f t="shared" si="7"/>
        <v>35.56921751237752</v>
      </c>
      <c r="G20">
        <f t="shared" si="8"/>
        <v>15.088644430632405</v>
      </c>
    </row>
    <row r="21" spans="1:7">
      <c r="A21">
        <v>450</v>
      </c>
      <c r="C21">
        <f t="shared" si="4"/>
        <v>29.021000000000001</v>
      </c>
      <c r="D21">
        <f t="shared" si="5"/>
        <v>31.901</v>
      </c>
      <c r="G21">
        <f t="shared" si="8"/>
        <v>19.096565607519139</v>
      </c>
    </row>
    <row r="22" spans="1:7">
      <c r="A22">
        <v>500</v>
      </c>
      <c r="C22">
        <f t="shared" si="4"/>
        <v>27.706000000000003</v>
      </c>
      <c r="D22">
        <f t="shared" si="5"/>
        <v>31.656000000000002</v>
      </c>
      <c r="G22">
        <f t="shared" si="8"/>
        <v>23.576006922863133</v>
      </c>
    </row>
    <row r="23" spans="1:7">
      <c r="A23">
        <v>550</v>
      </c>
      <c r="C23">
        <f t="shared" si="4"/>
        <v>26.141000000000002</v>
      </c>
      <c r="D23">
        <f t="shared" si="5"/>
        <v>31.311</v>
      </c>
      <c r="G23">
        <f t="shared" si="8"/>
        <v>28.526968376664392</v>
      </c>
    </row>
    <row r="24" spans="1:7">
      <c r="A24">
        <v>600</v>
      </c>
      <c r="C24">
        <f t="shared" si="4"/>
        <v>24.326000000000001</v>
      </c>
      <c r="D24">
        <f t="shared" si="5"/>
        <v>30.866</v>
      </c>
      <c r="G24">
        <f t="shared" si="8"/>
        <v>33.949449968922913</v>
      </c>
    </row>
    <row r="25" spans="1:7">
      <c r="A25">
        <v>650</v>
      </c>
      <c r="D25">
        <f t="shared" si="5"/>
        <v>30.320999999999998</v>
      </c>
    </row>
    <row r="26" spans="1:7">
      <c r="A26">
        <v>700</v>
      </c>
      <c r="D26">
        <f t="shared" si="5"/>
        <v>29.676000000000002</v>
      </c>
    </row>
    <row r="27" spans="1:7">
      <c r="A27">
        <v>750</v>
      </c>
      <c r="D27">
        <f t="shared" si="5"/>
        <v>28.930999999999997</v>
      </c>
    </row>
    <row r="28" spans="1:7">
      <c r="A28">
        <v>800</v>
      </c>
      <c r="D28">
        <f t="shared" si="5"/>
        <v>28.085999999999999</v>
      </c>
    </row>
    <row r="29" spans="1:7">
      <c r="A29">
        <v>850</v>
      </c>
      <c r="D29">
        <f t="shared" si="5"/>
        <v>27.140999999999998</v>
      </c>
    </row>
    <row r="30" spans="1:7">
      <c r="A30">
        <v>900</v>
      </c>
    </row>
    <row r="31" spans="1:7">
      <c r="A31" s="6" t="s">
        <v>94</v>
      </c>
    </row>
    <row r="32" spans="1:7">
      <c r="A32" s="6">
        <f>A12</f>
        <v>0</v>
      </c>
      <c r="B32" s="6">
        <f t="shared" ref="B32:D32" si="9">B12</f>
        <v>29.606000000000002</v>
      </c>
      <c r="C32" s="6">
        <f t="shared" si="9"/>
        <v>29.606000000000002</v>
      </c>
      <c r="D32" s="6">
        <f t="shared" si="9"/>
        <v>29.606000000000002</v>
      </c>
      <c r="E32" s="6">
        <f>$A32*$A32*J$5</f>
        <v>0</v>
      </c>
      <c r="F32" s="6">
        <f t="shared" ref="F32:G32" si="10">$A32*$A32*K$5</f>
        <v>0</v>
      </c>
      <c r="G32" s="6">
        <f t="shared" si="10"/>
        <v>0</v>
      </c>
    </row>
    <row r="33" spans="1:7">
      <c r="A33" s="6">
        <f t="shared" ref="A33:D33" si="11">A13</f>
        <v>50</v>
      </c>
      <c r="B33" s="6">
        <f t="shared" si="11"/>
        <v>31.221</v>
      </c>
      <c r="C33" s="6">
        <f t="shared" si="11"/>
        <v>30.541</v>
      </c>
      <c r="D33" s="6">
        <f t="shared" si="11"/>
        <v>30.261000000000003</v>
      </c>
      <c r="E33" s="6">
        <f t="shared" ref="E33:E36" si="12">$A33*$A33*J$5</f>
        <v>2.1166902561911369</v>
      </c>
      <c r="F33" s="6">
        <f t="shared" ref="F33:F37" si="13">$A33*$A33*K$5</f>
        <v>1.3233018529976606</v>
      </c>
      <c r="G33" s="6">
        <f t="shared" ref="G33:G37" si="14">$A33*$A33*L$5</f>
        <v>1.4426564055385132</v>
      </c>
    </row>
    <row r="34" spans="1:7">
      <c r="A34" s="6">
        <f t="shared" ref="A34:D34" si="15">A14</f>
        <v>100</v>
      </c>
      <c r="B34" s="6">
        <f t="shared" si="15"/>
        <v>31.836000000000002</v>
      </c>
      <c r="C34" s="6">
        <f t="shared" si="15"/>
        <v>31.226000000000003</v>
      </c>
      <c r="D34" s="6">
        <f t="shared" si="15"/>
        <v>30.816000000000003</v>
      </c>
      <c r="E34" s="6">
        <f t="shared" si="12"/>
        <v>8.4667610247645477</v>
      </c>
      <c r="F34" s="6">
        <f t="shared" si="13"/>
        <v>5.2932074119906423</v>
      </c>
      <c r="G34" s="6">
        <f t="shared" si="14"/>
        <v>5.7706256221540526</v>
      </c>
    </row>
    <row r="35" spans="1:7">
      <c r="A35" s="6">
        <f t="shared" ref="A35:D35" si="16">A15</f>
        <v>150</v>
      </c>
      <c r="B35" s="6">
        <f t="shared" si="16"/>
        <v>31.451000000000001</v>
      </c>
      <c r="C35" s="6">
        <f t="shared" si="16"/>
        <v>31.661000000000001</v>
      </c>
      <c r="D35" s="6">
        <f t="shared" si="16"/>
        <v>31.271000000000001</v>
      </c>
      <c r="E35" s="6">
        <f t="shared" si="12"/>
        <v>19.050212305720233</v>
      </c>
      <c r="F35" s="6">
        <f t="shared" si="13"/>
        <v>11.909716676978945</v>
      </c>
      <c r="G35" s="6">
        <f t="shared" si="14"/>
        <v>12.983907649846618</v>
      </c>
    </row>
    <row r="36" spans="1:7">
      <c r="A36" s="6">
        <f t="shared" ref="A36:D36" si="17">A16</f>
        <v>200</v>
      </c>
      <c r="B36" s="6">
        <f t="shared" si="17"/>
        <v>30.066000000000003</v>
      </c>
      <c r="C36" s="6">
        <f t="shared" si="17"/>
        <v>31.846000000000004</v>
      </c>
      <c r="D36" s="6">
        <f t="shared" si="17"/>
        <v>31.626000000000001</v>
      </c>
      <c r="E36" s="6">
        <f t="shared" si="12"/>
        <v>33.867044099058191</v>
      </c>
      <c r="F36" s="6">
        <f t="shared" si="13"/>
        <v>21.172829647962569</v>
      </c>
      <c r="G36" s="6">
        <f t="shared" si="14"/>
        <v>23.08250248861621</v>
      </c>
    </row>
    <row r="37" spans="1:7">
      <c r="A37" s="6">
        <f t="shared" ref="A37:D37" si="18">A17</f>
        <v>250</v>
      </c>
      <c r="B37" s="6">
        <f t="shared" si="18"/>
        <v>27.681000000000001</v>
      </c>
      <c r="C37" s="6">
        <f t="shared" si="18"/>
        <v>31.781000000000002</v>
      </c>
      <c r="D37" s="6">
        <f t="shared" si="18"/>
        <v>31.881</v>
      </c>
      <c r="E37" s="6"/>
      <c r="F37" s="6">
        <f t="shared" si="13"/>
        <v>33.082546324941518</v>
      </c>
      <c r="G37" s="6">
        <f t="shared" si="14"/>
        <v>36.066410138462828</v>
      </c>
    </row>
    <row r="38" spans="1:7">
      <c r="A38" s="6">
        <f t="shared" ref="A38:D38" si="19">A18</f>
        <v>300</v>
      </c>
      <c r="B38" s="6">
        <f t="shared" si="19"/>
        <v>24.295999999999999</v>
      </c>
      <c r="C38" s="6">
        <f t="shared" si="19"/>
        <v>31.466000000000001</v>
      </c>
      <c r="D38" s="6">
        <f t="shared" si="19"/>
        <v>32.036000000000001</v>
      </c>
    </row>
    <row r="39" spans="1:7">
      <c r="A39" s="6">
        <f t="shared" ref="A39:D39" si="20">A19</f>
        <v>350</v>
      </c>
      <c r="B39" s="6"/>
      <c r="C39" s="6">
        <f t="shared" si="20"/>
        <v>30.901000000000003</v>
      </c>
      <c r="D39" s="6">
        <f t="shared" si="20"/>
        <v>32.091000000000001</v>
      </c>
    </row>
    <row r="40" spans="1:7">
      <c r="A40" s="6">
        <f t="shared" ref="A40:D40" si="21">A20</f>
        <v>400</v>
      </c>
      <c r="B40" s="6"/>
      <c r="C40" s="6">
        <f t="shared" si="21"/>
        <v>30.086000000000002</v>
      </c>
      <c r="D40" s="6">
        <f t="shared" si="21"/>
        <v>32.045999999999999</v>
      </c>
    </row>
    <row r="41" spans="1:7">
      <c r="A41" s="6">
        <f t="shared" ref="A41:D41" si="22">A21</f>
        <v>450</v>
      </c>
      <c r="B41" s="6"/>
      <c r="C41" s="6">
        <f t="shared" si="22"/>
        <v>29.021000000000001</v>
      </c>
      <c r="D41" s="6">
        <f t="shared" si="22"/>
        <v>31.901</v>
      </c>
    </row>
    <row r="42" spans="1:7">
      <c r="A42" s="6">
        <f t="shared" ref="A42:D42" si="23">A22</f>
        <v>500</v>
      </c>
      <c r="B42" s="6"/>
      <c r="C42" s="6">
        <f t="shared" si="23"/>
        <v>27.706000000000003</v>
      </c>
      <c r="D42" s="6">
        <f t="shared" si="23"/>
        <v>31.656000000000002</v>
      </c>
    </row>
    <row r="43" spans="1:7">
      <c r="A43" s="6">
        <f t="shared" ref="A43:D43" si="24">A23</f>
        <v>550</v>
      </c>
      <c r="B43" s="6"/>
      <c r="C43" s="6">
        <f t="shared" si="24"/>
        <v>26.141000000000002</v>
      </c>
      <c r="D43" s="6">
        <f t="shared" si="24"/>
        <v>31.311</v>
      </c>
    </row>
    <row r="44" spans="1:7">
      <c r="A44" s="6">
        <f t="shared" ref="A44:D44" si="25">A24</f>
        <v>600</v>
      </c>
      <c r="B44" s="6"/>
      <c r="C44" s="6">
        <f t="shared" si="25"/>
        <v>24.326000000000001</v>
      </c>
      <c r="D44" s="6">
        <f t="shared" si="25"/>
        <v>30.866</v>
      </c>
    </row>
    <row r="45" spans="1:7">
      <c r="A45" s="6">
        <f t="shared" ref="A45:D45" si="26">A25</f>
        <v>650</v>
      </c>
      <c r="B45" s="6"/>
      <c r="C45" s="6"/>
      <c r="D45" s="6">
        <f t="shared" si="26"/>
        <v>30.320999999999998</v>
      </c>
    </row>
    <row r="46" spans="1:7">
      <c r="A46" s="6">
        <f t="shared" ref="A46:D46" si="27">A26</f>
        <v>700</v>
      </c>
      <c r="B46" s="6"/>
      <c r="C46" s="6"/>
      <c r="D46" s="6">
        <f t="shared" si="27"/>
        <v>29.676000000000002</v>
      </c>
    </row>
    <row r="47" spans="1:7">
      <c r="A47" s="6">
        <f t="shared" ref="A47:D47" si="28">A27</f>
        <v>750</v>
      </c>
      <c r="B47" s="6"/>
      <c r="C47" s="6"/>
      <c r="D47" s="6">
        <f t="shared" si="28"/>
        <v>28.930999999999997</v>
      </c>
    </row>
    <row r="48" spans="1:7">
      <c r="A48" s="6">
        <f t="shared" ref="A48:D48" si="29">A28</f>
        <v>800</v>
      </c>
      <c r="B48" s="6"/>
      <c r="C48" s="6"/>
      <c r="D48" s="6">
        <f t="shared" si="29"/>
        <v>28.085999999999999</v>
      </c>
    </row>
    <row r="49" spans="1:7">
      <c r="A49" s="6">
        <f t="shared" ref="A49:D49" si="30">A29</f>
        <v>850</v>
      </c>
      <c r="B49" s="6"/>
      <c r="C49" s="6"/>
      <c r="D49" s="6">
        <f t="shared" si="30"/>
        <v>27.140999999999998</v>
      </c>
    </row>
    <row r="50" spans="1:7">
      <c r="A50" s="6">
        <f t="shared" ref="A50" si="31">A30</f>
        <v>900</v>
      </c>
      <c r="B50" s="6"/>
      <c r="C50" s="6"/>
      <c r="D50" s="6"/>
      <c r="E50" s="6"/>
      <c r="F50" s="6"/>
      <c r="G50" s="6"/>
    </row>
  </sheetData>
  <mergeCells count="2">
    <mergeCell ref="C2:D2"/>
    <mergeCell ref="E2:G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3" workbookViewId="0">
      <selection activeCell="I2" sqref="I2:K3"/>
    </sheetView>
  </sheetViews>
  <sheetFormatPr defaultRowHeight="14.25"/>
  <sheetData>
    <row r="1" spans="1:11">
      <c r="A1" t="s">
        <v>108</v>
      </c>
      <c r="I1" s="6" t="s">
        <v>109</v>
      </c>
    </row>
    <row r="2" spans="1:11">
      <c r="A2" t="s">
        <v>102</v>
      </c>
      <c r="B2" t="s">
        <v>104</v>
      </c>
      <c r="I2" s="6" t="s">
        <v>102</v>
      </c>
      <c r="J2" s="9" t="s">
        <v>110</v>
      </c>
      <c r="K2" s="9"/>
    </row>
    <row r="3" spans="1:11">
      <c r="A3" t="s">
        <v>103</v>
      </c>
      <c r="B3">
        <v>1</v>
      </c>
      <c r="C3">
        <v>2</v>
      </c>
      <c r="I3" s="9" t="s">
        <v>111</v>
      </c>
      <c r="J3" s="9">
        <v>1</v>
      </c>
      <c r="K3" s="9">
        <v>2</v>
      </c>
    </row>
    <row r="4" spans="1:11">
      <c r="B4">
        <v>94.4</v>
      </c>
    </row>
    <row r="5" spans="1:11">
      <c r="B5">
        <v>95.2</v>
      </c>
    </row>
    <row r="6" spans="1:11">
      <c r="A6" t="s">
        <v>67</v>
      </c>
      <c r="B6">
        <f>B5+B4</f>
        <v>189.60000000000002</v>
      </c>
      <c r="C6">
        <f>'1617数据'!L5</f>
        <v>176.3</v>
      </c>
    </row>
    <row r="7" spans="1:11">
      <c r="A7" t="s">
        <v>92</v>
      </c>
      <c r="B7">
        <f>-0.0002*B6^2 + 0.0423*B6 + 29.606</f>
        <v>30.436447999999999</v>
      </c>
      <c r="C7">
        <f>-0.0002*C6^2 + 0.0423*C6 + 29.606</f>
        <v>30.847152000000001</v>
      </c>
    </row>
    <row r="8" spans="1:11">
      <c r="A8" t="s">
        <v>66</v>
      </c>
      <c r="B8">
        <f>B7/B6/B6</f>
        <v>8.4667610247645482E-4</v>
      </c>
      <c r="C8">
        <f>C7/C6/C6</f>
        <v>9.9245414261579725E-4</v>
      </c>
    </row>
    <row r="10" spans="1:11">
      <c r="A10" t="s">
        <v>67</v>
      </c>
      <c r="B10" t="s">
        <v>105</v>
      </c>
      <c r="C10" t="s">
        <v>106</v>
      </c>
      <c r="D10" t="s">
        <v>107</v>
      </c>
    </row>
    <row r="11" spans="1:11">
      <c r="A11">
        <v>0</v>
      </c>
      <c r="B11">
        <f>-0.0002*A11^2 + 0.0423*A11 + 29.606</f>
        <v>29.606000000000002</v>
      </c>
      <c r="C11">
        <f>A11^2*B$8</f>
        <v>0</v>
      </c>
      <c r="D11">
        <f>A11^2*C$8</f>
        <v>0</v>
      </c>
    </row>
    <row r="12" spans="1:11">
      <c r="A12">
        <v>50</v>
      </c>
      <c r="B12">
        <f t="shared" ref="B12:B17" si="0">-0.0002*A12^2 + 0.0423*A12 + 29.606</f>
        <v>31.221</v>
      </c>
      <c r="C12">
        <f t="shared" ref="C12:C16" si="1">A12^2*B$8</f>
        <v>2.1166902561911369</v>
      </c>
      <c r="D12">
        <f t="shared" ref="D12:D15" si="2">A12^2*C$8</f>
        <v>2.4811353565394931</v>
      </c>
    </row>
    <row r="13" spans="1:11">
      <c r="A13">
        <v>100</v>
      </c>
      <c r="B13">
        <f t="shared" si="0"/>
        <v>31.836000000000002</v>
      </c>
      <c r="C13">
        <f t="shared" si="1"/>
        <v>8.4667610247645477</v>
      </c>
      <c r="D13">
        <f t="shared" si="2"/>
        <v>9.9245414261579725</v>
      </c>
    </row>
    <row r="14" spans="1:11">
      <c r="A14">
        <v>150</v>
      </c>
      <c r="B14">
        <f t="shared" si="0"/>
        <v>31.451000000000001</v>
      </c>
      <c r="C14">
        <f t="shared" si="1"/>
        <v>19.050212305720233</v>
      </c>
      <c r="D14">
        <f t="shared" si="2"/>
        <v>22.330218208855438</v>
      </c>
    </row>
    <row r="15" spans="1:11">
      <c r="A15">
        <v>200</v>
      </c>
      <c r="B15">
        <f t="shared" si="0"/>
        <v>30.066000000000003</v>
      </c>
      <c r="C15">
        <f t="shared" si="1"/>
        <v>33.867044099058191</v>
      </c>
      <c r="D15">
        <f t="shared" si="2"/>
        <v>39.69816570463189</v>
      </c>
    </row>
    <row r="16" spans="1:11">
      <c r="A16">
        <v>250</v>
      </c>
      <c r="B16">
        <f t="shared" si="0"/>
        <v>27.681000000000001</v>
      </c>
      <c r="C16">
        <f t="shared" si="1"/>
        <v>52.917256404778428</v>
      </c>
    </row>
    <row r="17" spans="1:2">
      <c r="A17">
        <v>300</v>
      </c>
      <c r="B17">
        <f t="shared" si="0"/>
        <v>24.295999999999999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2"/>
  <sheetViews>
    <sheetView topLeftCell="B1" zoomScale="40" zoomScaleNormal="40" workbookViewId="0">
      <pane ySplit="1" topLeftCell="A2" activePane="bottomLeft" state="frozen"/>
      <selection pane="bottomLeft" activeCell="W44" sqref="W44"/>
    </sheetView>
  </sheetViews>
  <sheetFormatPr defaultRowHeight="14.25"/>
  <cols>
    <col min="1" max="1" width="4.625" style="11" customWidth="1"/>
    <col min="2" max="2" width="13.625" customWidth="1"/>
    <col min="6" max="6" width="10.75" customWidth="1"/>
  </cols>
  <sheetData>
    <row r="1" spans="1:42">
      <c r="C1" s="1" t="s">
        <v>115</v>
      </c>
      <c r="F1" s="1" t="s">
        <v>116</v>
      </c>
      <c r="I1" s="1" t="s">
        <v>117</v>
      </c>
      <c r="L1" s="19" t="s">
        <v>118</v>
      </c>
      <c r="O1" s="19" t="s">
        <v>119</v>
      </c>
      <c r="R1" s="19" t="s">
        <v>120</v>
      </c>
      <c r="U1" s="17" t="s">
        <v>121</v>
      </c>
      <c r="X1" s="1" t="s">
        <v>122</v>
      </c>
      <c r="AA1" s="17" t="s">
        <v>123</v>
      </c>
      <c r="AD1" s="19" t="s">
        <v>126</v>
      </c>
      <c r="AE1" s="2"/>
      <c r="AG1" s="17" t="s">
        <v>127</v>
      </c>
      <c r="AH1" s="19"/>
      <c r="AJ1" s="17" t="s">
        <v>128</v>
      </c>
      <c r="AK1" s="19"/>
      <c r="AM1" s="2"/>
      <c r="AN1" s="2"/>
      <c r="AO1" s="2"/>
      <c r="AP1" s="2"/>
    </row>
    <row r="2" spans="1:42">
      <c r="C2" s="2"/>
      <c r="D2" t="s">
        <v>30</v>
      </c>
      <c r="E2" t="s">
        <v>31</v>
      </c>
      <c r="F2" s="2"/>
      <c r="G2" t="s">
        <v>30</v>
      </c>
      <c r="H2" t="s">
        <v>31</v>
      </c>
      <c r="I2" s="2"/>
      <c r="J2" t="s">
        <v>30</v>
      </c>
      <c r="K2" t="s">
        <v>31</v>
      </c>
      <c r="L2" s="2"/>
      <c r="M2" t="s">
        <v>30</v>
      </c>
      <c r="N2" t="s">
        <v>31</v>
      </c>
      <c r="P2" t="s">
        <v>30</v>
      </c>
      <c r="Q2" t="s">
        <v>31</v>
      </c>
      <c r="S2" t="s">
        <v>30</v>
      </c>
      <c r="T2" t="s">
        <v>31</v>
      </c>
      <c r="V2" t="s">
        <v>30</v>
      </c>
      <c r="W2" t="s">
        <v>31</v>
      </c>
      <c r="Y2" t="s">
        <v>30</v>
      </c>
      <c r="Z2" t="s">
        <v>31</v>
      </c>
      <c r="AB2" t="s">
        <v>30</v>
      </c>
      <c r="AC2" t="s">
        <v>31</v>
      </c>
      <c r="AE2" t="s">
        <v>30</v>
      </c>
      <c r="AF2" t="s">
        <v>31</v>
      </c>
      <c r="AH2" t="s">
        <v>30</v>
      </c>
      <c r="AI2" t="s">
        <v>31</v>
      </c>
      <c r="AK2" t="s">
        <v>30</v>
      </c>
      <c r="AL2" t="s">
        <v>31</v>
      </c>
    </row>
    <row r="3" spans="1:42" s="12" customFormat="1">
      <c r="A3" s="43" t="s">
        <v>7</v>
      </c>
      <c r="B3" s="12" t="s">
        <v>8</v>
      </c>
      <c r="C3" s="12">
        <v>7.1</v>
      </c>
      <c r="D3" s="12">
        <v>6.2</v>
      </c>
      <c r="E3" s="12">
        <v>7.4</v>
      </c>
      <c r="F3" s="12">
        <v>6.9</v>
      </c>
      <c r="G3" s="12">
        <v>6.5</v>
      </c>
      <c r="H3" s="12">
        <v>7.4</v>
      </c>
      <c r="I3" s="12">
        <v>6.9</v>
      </c>
      <c r="J3" s="12">
        <v>6.8</v>
      </c>
      <c r="K3" s="12">
        <v>7.4</v>
      </c>
      <c r="L3" s="12">
        <v>7.2</v>
      </c>
      <c r="M3" s="12">
        <v>6.5</v>
      </c>
      <c r="N3" s="12">
        <v>7.5</v>
      </c>
      <c r="O3" s="12">
        <v>7.2</v>
      </c>
      <c r="P3" s="12">
        <v>6.5</v>
      </c>
      <c r="Q3" s="12">
        <v>7.5</v>
      </c>
      <c r="R3" s="12">
        <v>7.1</v>
      </c>
      <c r="S3" s="12">
        <v>6.5</v>
      </c>
      <c r="T3" s="12">
        <v>7.5</v>
      </c>
      <c r="U3" s="18"/>
      <c r="V3" s="18"/>
      <c r="W3" s="18"/>
      <c r="X3" s="12">
        <v>7.1</v>
      </c>
      <c r="Y3" s="12">
        <v>6.5</v>
      </c>
      <c r="Z3" s="12">
        <v>7.6</v>
      </c>
      <c r="AD3" s="12">
        <v>7.2</v>
      </c>
      <c r="AE3" s="12">
        <v>6.1</v>
      </c>
      <c r="AF3" s="12">
        <v>7.5</v>
      </c>
    </row>
    <row r="4" spans="1:42" s="12" customFormat="1">
      <c r="A4" s="43"/>
      <c r="B4" s="12" t="s">
        <v>9</v>
      </c>
      <c r="C4" s="12">
        <v>9.4</v>
      </c>
      <c r="D4" s="12">
        <v>9</v>
      </c>
      <c r="E4" s="12">
        <v>9.8000000000000007</v>
      </c>
      <c r="F4" s="12">
        <v>9.1</v>
      </c>
      <c r="G4" s="12">
        <v>9</v>
      </c>
      <c r="H4" s="12">
        <v>9.5</v>
      </c>
      <c r="I4" s="12">
        <v>9</v>
      </c>
      <c r="J4" s="12">
        <v>9.1999999999999993</v>
      </c>
      <c r="K4" s="12">
        <v>9.5</v>
      </c>
      <c r="L4" s="12">
        <v>10</v>
      </c>
      <c r="M4" s="12">
        <v>10</v>
      </c>
      <c r="N4" s="12">
        <v>10.1</v>
      </c>
      <c r="O4" s="12">
        <v>10</v>
      </c>
      <c r="P4" s="12">
        <v>10</v>
      </c>
      <c r="Q4" s="12">
        <v>10.3</v>
      </c>
      <c r="R4" s="12">
        <v>10.199999999999999</v>
      </c>
      <c r="S4" s="12">
        <v>10.5</v>
      </c>
      <c r="T4" s="12">
        <v>10</v>
      </c>
      <c r="U4" s="18"/>
      <c r="V4" s="18"/>
      <c r="W4" s="18"/>
      <c r="X4" s="12">
        <v>9.5</v>
      </c>
      <c r="Y4" s="12">
        <v>9.5</v>
      </c>
      <c r="Z4" s="12">
        <v>10.1</v>
      </c>
      <c r="AD4" s="12">
        <v>9.4</v>
      </c>
      <c r="AE4" s="12">
        <v>9</v>
      </c>
      <c r="AF4" s="12">
        <v>9.6</v>
      </c>
    </row>
    <row r="5" spans="1:42" s="12" customFormat="1">
      <c r="A5" s="43"/>
      <c r="B5" s="12" t="s">
        <v>11</v>
      </c>
      <c r="C5" s="12">
        <v>110.3</v>
      </c>
      <c r="F5" s="12">
        <v>133.5</v>
      </c>
      <c r="I5" s="12">
        <v>138.15</v>
      </c>
      <c r="L5" s="12">
        <v>98.4</v>
      </c>
      <c r="O5" s="12">
        <v>95.2</v>
      </c>
      <c r="R5" s="12">
        <v>97.4</v>
      </c>
      <c r="U5" s="12">
        <v>71.7</v>
      </c>
      <c r="X5" s="12">
        <v>77.400000000000006</v>
      </c>
      <c r="AA5" s="12">
        <v>75.099999999999994</v>
      </c>
      <c r="AD5" s="12">
        <v>140.4</v>
      </c>
      <c r="AG5" s="12">
        <v>137</v>
      </c>
      <c r="AJ5" s="12">
        <v>138.5</v>
      </c>
    </row>
    <row r="6" spans="1:42" s="12" customFormat="1">
      <c r="A6" s="43"/>
      <c r="B6" s="12" t="s">
        <v>13</v>
      </c>
      <c r="C6" s="12">
        <v>0.99</v>
      </c>
      <c r="F6" s="12">
        <v>1</v>
      </c>
      <c r="I6" s="12">
        <v>0.99</v>
      </c>
      <c r="L6" s="12">
        <v>0.86</v>
      </c>
      <c r="O6" s="12">
        <v>0.83</v>
      </c>
      <c r="R6" s="12">
        <v>0.85</v>
      </c>
      <c r="U6" s="12">
        <v>0.97</v>
      </c>
      <c r="X6" s="12">
        <v>1.03</v>
      </c>
      <c r="AA6" s="12">
        <v>1.03</v>
      </c>
      <c r="AD6" s="12">
        <v>0.95</v>
      </c>
      <c r="AG6" s="12">
        <v>0.96</v>
      </c>
      <c r="AJ6" s="12">
        <v>0.95</v>
      </c>
    </row>
    <row r="7" spans="1:42" s="12" customFormat="1">
      <c r="A7" s="43"/>
      <c r="B7" s="12" t="s">
        <v>15</v>
      </c>
      <c r="C7" s="12">
        <v>1.05</v>
      </c>
      <c r="F7" s="12">
        <v>1.06</v>
      </c>
      <c r="I7" s="12">
        <v>1.06</v>
      </c>
      <c r="L7" s="12">
        <v>0.9</v>
      </c>
      <c r="O7" s="12">
        <v>0.87</v>
      </c>
      <c r="R7" s="12">
        <v>0.89</v>
      </c>
      <c r="U7" s="12">
        <v>1.01</v>
      </c>
      <c r="X7" s="12">
        <v>1.06</v>
      </c>
      <c r="AA7" s="12">
        <v>1.06</v>
      </c>
      <c r="AD7" s="12">
        <v>1.02</v>
      </c>
      <c r="AG7" s="12">
        <v>1.02</v>
      </c>
      <c r="AJ7" s="12">
        <v>1.02</v>
      </c>
    </row>
    <row r="8" spans="1:42" s="12" customFormat="1">
      <c r="A8" s="43"/>
      <c r="B8" s="12" t="s">
        <v>1</v>
      </c>
      <c r="C8" s="12">
        <v>25.7</v>
      </c>
      <c r="D8" s="12">
        <v>26</v>
      </c>
      <c r="F8" s="12">
        <v>25.2</v>
      </c>
      <c r="G8" s="12">
        <v>25.9</v>
      </c>
      <c r="I8" s="12">
        <v>25.6</v>
      </c>
      <c r="J8" s="12">
        <v>26.2</v>
      </c>
      <c r="L8" s="12">
        <v>25.4</v>
      </c>
      <c r="M8" s="12">
        <v>26</v>
      </c>
      <c r="O8" s="12">
        <v>25.7</v>
      </c>
      <c r="P8" s="12">
        <v>26</v>
      </c>
      <c r="R8" s="12">
        <v>25.8</v>
      </c>
      <c r="S8" s="12">
        <v>26</v>
      </c>
      <c r="X8" s="12">
        <v>26.8</v>
      </c>
      <c r="Y8" s="12">
        <v>27</v>
      </c>
      <c r="AD8" s="12">
        <v>26.1</v>
      </c>
      <c r="AE8" s="12">
        <v>26.1</v>
      </c>
    </row>
    <row r="9" spans="1:42" s="12" customFormat="1">
      <c r="A9" s="43"/>
      <c r="B9" s="12" t="s">
        <v>2</v>
      </c>
      <c r="C9" s="12">
        <v>24.4</v>
      </c>
      <c r="D9" s="12">
        <v>24.5</v>
      </c>
      <c r="F9" s="12">
        <v>23.8</v>
      </c>
      <c r="G9" s="12">
        <v>23.8</v>
      </c>
      <c r="I9" s="12">
        <v>24.2</v>
      </c>
      <c r="J9" s="12">
        <v>24</v>
      </c>
      <c r="L9" s="12">
        <v>24.1</v>
      </c>
      <c r="M9" s="12">
        <v>24</v>
      </c>
      <c r="O9" s="12">
        <v>24.4</v>
      </c>
      <c r="P9" s="12">
        <v>24.2</v>
      </c>
      <c r="R9" s="12">
        <v>24.4</v>
      </c>
      <c r="S9" s="12">
        <v>24.5</v>
      </c>
      <c r="X9" s="12">
        <v>25.7</v>
      </c>
      <c r="Y9" s="12">
        <v>26</v>
      </c>
      <c r="AD9" s="12">
        <v>24.5</v>
      </c>
      <c r="AE9" s="12">
        <v>24.5</v>
      </c>
    </row>
    <row r="10" spans="1:42" s="12" customFormat="1">
      <c r="A10" s="43"/>
      <c r="B10" s="12" t="s">
        <v>3</v>
      </c>
      <c r="C10" s="12">
        <v>0.78</v>
      </c>
      <c r="F10" s="12">
        <v>0.78</v>
      </c>
      <c r="I10" s="12">
        <v>0.77</v>
      </c>
      <c r="L10" s="12">
        <v>0.78</v>
      </c>
      <c r="O10" s="12">
        <v>0.78</v>
      </c>
      <c r="R10" s="12">
        <v>0.78</v>
      </c>
      <c r="U10" s="12">
        <v>0.79</v>
      </c>
      <c r="X10" s="12">
        <v>0.81</v>
      </c>
      <c r="AA10" s="12">
        <v>0.8</v>
      </c>
      <c r="AD10" s="12">
        <v>0.78</v>
      </c>
      <c r="AG10" s="12">
        <v>0.78</v>
      </c>
      <c r="AJ10" s="12">
        <v>0.78</v>
      </c>
    </row>
    <row r="11" spans="1:42" s="12" customFormat="1">
      <c r="A11" s="43"/>
      <c r="B11" s="12" t="s">
        <v>5</v>
      </c>
      <c r="C11" s="12">
        <v>0.94</v>
      </c>
      <c r="F11" s="12">
        <v>0.93</v>
      </c>
      <c r="I11" s="12">
        <v>0.94</v>
      </c>
      <c r="L11" s="12">
        <v>0.94</v>
      </c>
      <c r="O11" s="12">
        <v>0.93</v>
      </c>
      <c r="R11" s="12">
        <v>0.94</v>
      </c>
      <c r="U11" s="12">
        <v>0.87</v>
      </c>
      <c r="X11" s="12">
        <v>0.94</v>
      </c>
      <c r="AA11" s="12">
        <v>0.95</v>
      </c>
      <c r="AD11" s="12">
        <v>0.94</v>
      </c>
      <c r="AG11" s="12">
        <v>0.94</v>
      </c>
      <c r="AJ11" s="12">
        <v>0.94</v>
      </c>
    </row>
    <row r="12" spans="1:42" s="12" customFormat="1">
      <c r="A12" s="43"/>
      <c r="B12" s="12" t="s">
        <v>10</v>
      </c>
    </row>
    <row r="13" spans="1:42" s="12" customFormat="1">
      <c r="A13" s="43"/>
      <c r="B13" s="12" t="s">
        <v>17</v>
      </c>
      <c r="C13" s="12" t="s">
        <v>32</v>
      </c>
      <c r="F13" s="12" t="s">
        <v>32</v>
      </c>
      <c r="I13" s="12" t="s">
        <v>34</v>
      </c>
      <c r="L13" s="12" t="s">
        <v>43</v>
      </c>
      <c r="O13" s="12" t="s">
        <v>43</v>
      </c>
      <c r="R13" s="12" t="s">
        <v>43</v>
      </c>
      <c r="U13" s="12" t="s">
        <v>43</v>
      </c>
      <c r="X13" s="12" t="s">
        <v>43</v>
      </c>
      <c r="AA13" s="12" t="s">
        <v>43</v>
      </c>
      <c r="AD13" s="12" t="s">
        <v>43</v>
      </c>
      <c r="AG13" s="12" t="s">
        <v>43</v>
      </c>
      <c r="AJ13" s="12" t="s">
        <v>43</v>
      </c>
    </row>
    <row r="14" spans="1:42" s="12" customFormat="1">
      <c r="A14" s="43" t="s">
        <v>18</v>
      </c>
      <c r="B14" s="12" t="s">
        <v>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8"/>
      <c r="X14" s="12">
        <v>7.1</v>
      </c>
      <c r="Y14" s="12">
        <v>6.7</v>
      </c>
      <c r="Z14" s="12">
        <v>7.6</v>
      </c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42" s="12" customFormat="1">
      <c r="A15" s="43"/>
      <c r="B15" s="12" t="s">
        <v>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8"/>
      <c r="X15" s="12">
        <v>9.4</v>
      </c>
      <c r="Y15" s="12">
        <v>9</v>
      </c>
      <c r="Z15" s="12">
        <v>9.8000000000000007</v>
      </c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42" s="12" customFormat="1">
      <c r="A16" s="43"/>
      <c r="B16" s="12" t="s">
        <v>11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>
        <v>75.3</v>
      </c>
      <c r="X16" s="12">
        <v>80.8</v>
      </c>
      <c r="AA16" s="12">
        <v>78.5</v>
      </c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s="12" customFormat="1">
      <c r="A17" s="43"/>
      <c r="B17" s="12" t="s">
        <v>13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>
        <v>1</v>
      </c>
      <c r="X17" s="12">
        <v>1.05</v>
      </c>
      <c r="AA17" s="12">
        <v>1.05</v>
      </c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s="12" customFormat="1">
      <c r="A18" s="43"/>
      <c r="B18" s="12" t="s">
        <v>15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>
        <v>1</v>
      </c>
      <c r="X18" s="12">
        <v>1.03</v>
      </c>
      <c r="AA18" s="12">
        <v>1.03</v>
      </c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s="12" customFormat="1">
      <c r="A19" s="43"/>
      <c r="B19" s="12" t="s">
        <v>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X19" s="12">
        <v>26.9</v>
      </c>
      <c r="Y19" s="12">
        <v>26.3</v>
      </c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s="12" customFormat="1">
      <c r="A20" s="43"/>
      <c r="B20" s="12" t="s">
        <v>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X20" s="12">
        <v>25.9</v>
      </c>
      <c r="Y20" s="12">
        <v>25.5</v>
      </c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s="12" customFormat="1">
      <c r="A21" s="43"/>
      <c r="B21" s="12" t="s">
        <v>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>
        <v>0.82</v>
      </c>
      <c r="X21" s="12">
        <v>0.84</v>
      </c>
      <c r="AA21" s="12">
        <v>0.83</v>
      </c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s="12" customFormat="1">
      <c r="A22" s="43"/>
      <c r="B22" s="12" t="s">
        <v>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>
        <v>0.84</v>
      </c>
      <c r="X22" s="12">
        <v>0.9</v>
      </c>
      <c r="AA22" s="12">
        <v>0.9</v>
      </c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s="12" customFormat="1">
      <c r="A23" s="43"/>
      <c r="B23" s="12" t="s">
        <v>10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s="12" customFormat="1">
      <c r="A24" s="43"/>
      <c r="B24" s="12" t="s">
        <v>17</v>
      </c>
      <c r="C24" s="15" t="s">
        <v>44</v>
      </c>
      <c r="D24" s="15"/>
      <c r="E24" s="15"/>
      <c r="F24" s="15" t="s">
        <v>112</v>
      </c>
      <c r="G24" s="15"/>
      <c r="H24" s="15"/>
      <c r="I24" s="15" t="s">
        <v>113</v>
      </c>
      <c r="J24" s="15"/>
      <c r="K24" s="15"/>
      <c r="L24" s="15" t="s">
        <v>37</v>
      </c>
      <c r="M24" s="15"/>
      <c r="N24" s="15"/>
      <c r="O24" s="15" t="s">
        <v>44</v>
      </c>
      <c r="P24" s="15"/>
      <c r="Q24" s="15"/>
      <c r="R24" s="15" t="s">
        <v>44</v>
      </c>
      <c r="S24" s="15"/>
      <c r="T24" s="15"/>
      <c r="U24" s="12" t="s">
        <v>43</v>
      </c>
      <c r="X24" s="12" t="s">
        <v>43</v>
      </c>
      <c r="AA24" s="12" t="s">
        <v>43</v>
      </c>
      <c r="AD24" s="15" t="s">
        <v>44</v>
      </c>
      <c r="AE24" s="15"/>
      <c r="AF24" s="15"/>
      <c r="AG24" s="15" t="s">
        <v>44</v>
      </c>
      <c r="AH24" s="15"/>
      <c r="AI24" s="15"/>
      <c r="AJ24" s="15" t="s">
        <v>44</v>
      </c>
      <c r="AK24" s="15"/>
      <c r="AL24" s="15"/>
    </row>
    <row r="25" spans="1:38" s="14" customFormat="1">
      <c r="A25" s="44" t="s">
        <v>19</v>
      </c>
      <c r="B25" s="14" t="s">
        <v>10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38" s="14" customFormat="1">
      <c r="A26" s="44"/>
      <c r="B26" s="14" t="s">
        <v>12</v>
      </c>
      <c r="C26" s="16">
        <v>0.76</v>
      </c>
      <c r="D26" s="16"/>
      <c r="E26" s="16"/>
      <c r="F26" s="16">
        <v>0.77</v>
      </c>
      <c r="G26" s="16"/>
      <c r="H26" s="16"/>
      <c r="I26" s="16">
        <v>0.77</v>
      </c>
      <c r="J26" s="16"/>
      <c r="K26" s="16"/>
      <c r="L26" s="16">
        <v>0.78</v>
      </c>
      <c r="M26" s="16"/>
      <c r="N26" s="16"/>
      <c r="O26" s="16">
        <v>0.79</v>
      </c>
      <c r="P26" s="16"/>
      <c r="Q26" s="16"/>
      <c r="R26" s="14">
        <v>0.77</v>
      </c>
      <c r="U26" s="14">
        <v>0.76</v>
      </c>
      <c r="X26" s="14">
        <v>0.77</v>
      </c>
      <c r="AA26" s="14">
        <v>0.78</v>
      </c>
      <c r="AD26" s="14">
        <v>0.76</v>
      </c>
      <c r="AG26" s="14">
        <v>0.77</v>
      </c>
      <c r="AJ26" s="14">
        <v>0.77</v>
      </c>
    </row>
    <row r="27" spans="1:38" s="14" customFormat="1">
      <c r="A27" s="44"/>
      <c r="B27" s="14" t="s">
        <v>14</v>
      </c>
      <c r="C27" s="16">
        <v>1.06</v>
      </c>
      <c r="D27" s="16"/>
      <c r="E27" s="16"/>
      <c r="F27" s="16">
        <v>1.08</v>
      </c>
      <c r="G27" s="16"/>
      <c r="H27" s="16"/>
      <c r="I27" s="16">
        <v>1.07</v>
      </c>
      <c r="J27" s="16"/>
      <c r="K27" s="16"/>
      <c r="L27" s="16">
        <v>0.92</v>
      </c>
      <c r="M27" s="16"/>
      <c r="N27" s="16"/>
      <c r="O27" s="16">
        <v>0.9</v>
      </c>
      <c r="P27" s="16"/>
      <c r="Q27" s="16"/>
      <c r="R27" s="14">
        <v>0.92</v>
      </c>
      <c r="U27" s="14">
        <v>1.04</v>
      </c>
      <c r="X27" s="14">
        <v>1.07</v>
      </c>
      <c r="AA27" s="14">
        <v>1.07</v>
      </c>
      <c r="AD27" s="14">
        <v>0.94</v>
      </c>
      <c r="AG27" s="14">
        <v>1.05</v>
      </c>
      <c r="AJ27" s="14">
        <v>1.05</v>
      </c>
    </row>
    <row r="28" spans="1:38" s="14" customFormat="1">
      <c r="A28" s="44"/>
      <c r="B28" s="14" t="s">
        <v>16</v>
      </c>
      <c r="C28" s="16">
        <v>8.6</v>
      </c>
      <c r="D28" s="16"/>
      <c r="E28" s="16"/>
      <c r="F28" s="16">
        <v>8.1999999999999993</v>
      </c>
      <c r="G28" s="16"/>
      <c r="H28" s="16"/>
      <c r="I28" s="16">
        <v>8.1999999999999993</v>
      </c>
      <c r="J28" s="16"/>
      <c r="K28" s="16"/>
      <c r="L28" s="16">
        <v>9</v>
      </c>
      <c r="M28" s="16"/>
      <c r="N28" s="16"/>
      <c r="O28" s="16">
        <v>9.1</v>
      </c>
      <c r="P28" s="16"/>
      <c r="Q28" s="16"/>
      <c r="R28" s="14">
        <v>9.4</v>
      </c>
      <c r="X28" s="14">
        <v>8.5</v>
      </c>
      <c r="AD28" s="14">
        <v>8.1</v>
      </c>
    </row>
    <row r="29" spans="1:38" s="14" customFormat="1">
      <c r="A29" s="44"/>
      <c r="B29" s="14" t="s">
        <v>17</v>
      </c>
      <c r="C29" s="16" t="s">
        <v>32</v>
      </c>
      <c r="D29" s="16"/>
      <c r="E29" s="16"/>
      <c r="F29" s="16" t="s">
        <v>34</v>
      </c>
      <c r="G29" s="16"/>
      <c r="H29" s="16"/>
      <c r="I29" s="16" t="s">
        <v>44</v>
      </c>
      <c r="J29" s="16"/>
      <c r="K29" s="16"/>
      <c r="L29" s="16" t="s">
        <v>44</v>
      </c>
      <c r="M29" s="16"/>
      <c r="N29" s="16"/>
      <c r="O29" s="16" t="s">
        <v>34</v>
      </c>
      <c r="P29" s="16"/>
      <c r="Q29" s="16"/>
      <c r="R29" s="14" t="s">
        <v>43</v>
      </c>
      <c r="U29" s="14" t="s">
        <v>43</v>
      </c>
      <c r="X29" s="14" t="s">
        <v>43</v>
      </c>
      <c r="AA29" s="14" t="s">
        <v>43</v>
      </c>
      <c r="AD29" s="14" t="s">
        <v>43</v>
      </c>
      <c r="AG29" s="14" t="s">
        <v>43</v>
      </c>
      <c r="AJ29" s="14" t="s">
        <v>43</v>
      </c>
    </row>
    <row r="30" spans="1:38" s="14" customFormat="1">
      <c r="A30" s="44" t="s">
        <v>25</v>
      </c>
      <c r="B30" s="14" t="s">
        <v>10</v>
      </c>
      <c r="R30" s="15"/>
      <c r="S30" s="15"/>
      <c r="T30" s="15"/>
      <c r="U30" s="15"/>
      <c r="V30" s="15"/>
      <c r="W30" s="15"/>
      <c r="AD30" s="15"/>
      <c r="AE30" s="15"/>
      <c r="AF30" s="15"/>
    </row>
    <row r="31" spans="1:38" s="14" customFormat="1">
      <c r="A31" s="44"/>
      <c r="B31" s="14" t="s">
        <v>12</v>
      </c>
      <c r="C31" s="15"/>
      <c r="D31" s="15"/>
      <c r="E31" s="15"/>
      <c r="F31" s="14">
        <v>0.73</v>
      </c>
      <c r="I31" s="14">
        <v>0.74</v>
      </c>
      <c r="L31" s="14">
        <v>0.74</v>
      </c>
      <c r="O31" s="14">
        <v>0.73</v>
      </c>
      <c r="R31" s="15"/>
      <c r="S31" s="15"/>
      <c r="T31" s="15"/>
      <c r="U31" s="15"/>
      <c r="V31" s="15"/>
      <c r="W31" s="15"/>
      <c r="X31" s="14">
        <v>0.74</v>
      </c>
      <c r="AA31" s="14">
        <v>0.74</v>
      </c>
      <c r="AD31" s="15"/>
      <c r="AE31" s="15"/>
      <c r="AF31" s="15"/>
      <c r="AG31" s="14">
        <v>0.73</v>
      </c>
      <c r="AJ31" s="14">
        <v>0.74</v>
      </c>
    </row>
    <row r="32" spans="1:38" s="14" customFormat="1">
      <c r="A32" s="44"/>
      <c r="B32" s="14" t="s">
        <v>14</v>
      </c>
      <c r="C32" s="15"/>
      <c r="D32" s="15"/>
      <c r="E32" s="15"/>
      <c r="F32" s="14">
        <v>1.05</v>
      </c>
      <c r="I32" s="14">
        <v>1.06</v>
      </c>
      <c r="L32" s="14">
        <v>0.89</v>
      </c>
      <c r="O32" s="14">
        <v>0.86</v>
      </c>
      <c r="R32" s="15"/>
      <c r="S32" s="15"/>
      <c r="T32" s="15"/>
      <c r="U32" s="15"/>
      <c r="V32" s="15"/>
      <c r="W32" s="15"/>
      <c r="X32" s="14">
        <v>1.05</v>
      </c>
      <c r="AA32" s="14">
        <v>1.05</v>
      </c>
      <c r="AD32" s="15"/>
      <c r="AE32" s="15"/>
      <c r="AF32" s="15"/>
      <c r="AG32" s="14">
        <v>1.02</v>
      </c>
      <c r="AJ32" s="14">
        <v>1.01</v>
      </c>
    </row>
    <row r="33" spans="1:36" s="14" customFormat="1">
      <c r="A33" s="44"/>
      <c r="B33" s="14" t="s">
        <v>16</v>
      </c>
      <c r="C33" s="15"/>
      <c r="D33" s="15"/>
      <c r="E33" s="15"/>
      <c r="F33" s="14">
        <v>8.1999999999999993</v>
      </c>
      <c r="I33" s="14">
        <v>8.1999999999999993</v>
      </c>
      <c r="L33" s="14">
        <v>9</v>
      </c>
      <c r="O33" s="14">
        <v>9</v>
      </c>
      <c r="R33" s="15"/>
      <c r="S33" s="15"/>
      <c r="T33" s="15"/>
      <c r="U33" s="15"/>
      <c r="V33" s="15"/>
      <c r="W33" s="15"/>
      <c r="X33" s="14">
        <v>8</v>
      </c>
      <c r="AD33" s="15"/>
      <c r="AE33" s="15"/>
      <c r="AF33" s="15"/>
    </row>
    <row r="34" spans="1:36" s="14" customFormat="1">
      <c r="A34" s="44"/>
      <c r="B34" s="14" t="s">
        <v>17</v>
      </c>
      <c r="C34" s="15" t="s">
        <v>33</v>
      </c>
      <c r="D34" s="15"/>
      <c r="E34" s="15"/>
      <c r="F34" s="14" t="s">
        <v>34</v>
      </c>
      <c r="I34" s="14" t="s">
        <v>36</v>
      </c>
      <c r="L34" s="14" t="s">
        <v>36</v>
      </c>
      <c r="O34" s="14" t="s">
        <v>34</v>
      </c>
      <c r="R34" s="15" t="s">
        <v>44</v>
      </c>
      <c r="S34" s="15"/>
      <c r="T34" s="15"/>
      <c r="U34" s="15" t="s">
        <v>44</v>
      </c>
      <c r="V34" s="15"/>
      <c r="W34" s="15"/>
      <c r="X34" s="14" t="s">
        <v>124</v>
      </c>
      <c r="AA34" s="14" t="s">
        <v>43</v>
      </c>
      <c r="AD34" s="15" t="s">
        <v>44</v>
      </c>
      <c r="AE34" s="15"/>
      <c r="AF34" s="15"/>
      <c r="AG34" s="14" t="s">
        <v>43</v>
      </c>
      <c r="AJ34" s="14" t="s">
        <v>43</v>
      </c>
    </row>
    <row r="35" spans="1:36" s="14" customFormat="1">
      <c r="A35" s="44" t="s">
        <v>29</v>
      </c>
      <c r="B35" s="14" t="s">
        <v>10</v>
      </c>
      <c r="C35" s="15"/>
      <c r="D35" s="15"/>
      <c r="E35" s="15"/>
      <c r="F35" s="15"/>
      <c r="G35" s="15"/>
      <c r="H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D35" s="15"/>
      <c r="AE35" s="15"/>
      <c r="AF35" s="15"/>
      <c r="AG35" s="15"/>
      <c r="AH35" s="15"/>
      <c r="AI35" s="15"/>
    </row>
    <row r="36" spans="1:36" s="14" customFormat="1">
      <c r="A36" s="44"/>
      <c r="B36" s="14" t="s">
        <v>12</v>
      </c>
      <c r="C36" s="15"/>
      <c r="D36" s="15"/>
      <c r="E36" s="15"/>
      <c r="F36" s="15"/>
      <c r="G36" s="15"/>
      <c r="H36" s="15"/>
      <c r="I36" s="14">
        <v>0.76</v>
      </c>
      <c r="L36" s="14">
        <v>0.76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4">
        <v>0.76</v>
      </c>
      <c r="AD36" s="15"/>
      <c r="AE36" s="15"/>
      <c r="AF36" s="15"/>
      <c r="AG36" s="15"/>
      <c r="AH36" s="15"/>
      <c r="AI36" s="15"/>
      <c r="AJ36" s="14">
        <v>0.75</v>
      </c>
    </row>
    <row r="37" spans="1:36" s="14" customFormat="1">
      <c r="A37" s="44"/>
      <c r="B37" s="14" t="s">
        <v>14</v>
      </c>
      <c r="C37" s="15"/>
      <c r="D37" s="15"/>
      <c r="E37" s="15"/>
      <c r="F37" s="15"/>
      <c r="G37" s="15"/>
      <c r="H37" s="15"/>
      <c r="I37" s="14">
        <v>1.06</v>
      </c>
      <c r="L37" s="14">
        <v>0.91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4">
        <v>1.06</v>
      </c>
      <c r="AD37" s="15"/>
      <c r="AE37" s="15"/>
      <c r="AF37" s="15"/>
      <c r="AG37" s="15"/>
      <c r="AH37" s="15"/>
      <c r="AI37" s="15"/>
      <c r="AJ37" s="14">
        <v>1.04</v>
      </c>
    </row>
    <row r="38" spans="1:36" s="14" customFormat="1">
      <c r="A38" s="44"/>
      <c r="B38" s="14" t="s">
        <v>16</v>
      </c>
      <c r="C38" s="15"/>
      <c r="D38" s="15"/>
      <c r="E38" s="15"/>
      <c r="F38" s="15"/>
      <c r="G38" s="15"/>
      <c r="H38" s="15"/>
      <c r="I38" s="14" t="s">
        <v>114</v>
      </c>
      <c r="L38" s="14" t="s">
        <v>114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D38" s="15"/>
      <c r="AE38" s="15"/>
      <c r="AF38" s="15"/>
      <c r="AG38" s="15"/>
      <c r="AH38" s="15"/>
      <c r="AI38" s="15"/>
    </row>
    <row r="39" spans="1:36" s="14" customFormat="1">
      <c r="A39" s="44"/>
      <c r="B39" s="14" t="s">
        <v>17</v>
      </c>
      <c r="C39" s="15" t="s">
        <v>44</v>
      </c>
      <c r="D39" s="15"/>
      <c r="E39" s="15"/>
      <c r="F39" s="15" t="s">
        <v>112</v>
      </c>
      <c r="G39" s="15"/>
      <c r="H39" s="15"/>
      <c r="I39" s="14" t="s">
        <v>44</v>
      </c>
      <c r="L39" s="14" t="s">
        <v>44</v>
      </c>
      <c r="O39" s="15" t="s">
        <v>46</v>
      </c>
      <c r="P39" s="15"/>
      <c r="Q39" s="15"/>
      <c r="R39" s="15" t="s">
        <v>44</v>
      </c>
      <c r="S39" s="15"/>
      <c r="T39" s="15"/>
      <c r="U39" s="15" t="s">
        <v>44</v>
      </c>
      <c r="V39" s="15"/>
      <c r="W39" s="15"/>
      <c r="X39" s="15" t="s">
        <v>44</v>
      </c>
      <c r="Y39" s="15"/>
      <c r="Z39" s="15"/>
      <c r="AA39" s="14" t="s">
        <v>43</v>
      </c>
      <c r="AD39" s="15" t="s">
        <v>46</v>
      </c>
      <c r="AE39" s="15"/>
      <c r="AF39" s="15"/>
      <c r="AG39" s="15" t="s">
        <v>44</v>
      </c>
      <c r="AH39" s="15"/>
      <c r="AI39" s="15"/>
      <c r="AJ39" s="14" t="s">
        <v>43</v>
      </c>
    </row>
    <row r="40" spans="1:36" s="13" customFormat="1">
      <c r="A40" s="45" t="s">
        <v>0</v>
      </c>
      <c r="B40" s="13" t="s">
        <v>10</v>
      </c>
    </row>
    <row r="41" spans="1:36" s="13" customFormat="1">
      <c r="A41" s="45"/>
      <c r="B41" s="13" t="s">
        <v>12</v>
      </c>
      <c r="C41" s="13">
        <v>0.64</v>
      </c>
      <c r="F41" s="13">
        <v>0.64</v>
      </c>
      <c r="I41" s="13">
        <v>0.64</v>
      </c>
      <c r="L41" s="13">
        <v>0.64</v>
      </c>
      <c r="O41" s="13">
        <v>0.64</v>
      </c>
      <c r="R41" s="13">
        <v>0.64</v>
      </c>
      <c r="U41" s="13">
        <v>0.62</v>
      </c>
      <c r="X41" s="13">
        <v>0.61</v>
      </c>
      <c r="AA41" s="13">
        <v>0.62</v>
      </c>
      <c r="AD41" s="13">
        <v>0.64</v>
      </c>
      <c r="AG41" s="13">
        <v>0.64</v>
      </c>
      <c r="AJ41" s="13">
        <v>0.64</v>
      </c>
    </row>
    <row r="42" spans="1:36" s="13" customFormat="1">
      <c r="A42" s="45"/>
      <c r="B42" s="13" t="s">
        <v>14</v>
      </c>
      <c r="C42" s="13">
        <v>0.85</v>
      </c>
      <c r="F42" s="13">
        <v>0.85</v>
      </c>
      <c r="I42" s="13">
        <v>0.85</v>
      </c>
      <c r="L42" s="13">
        <v>0.85</v>
      </c>
      <c r="O42" s="13">
        <v>0.85</v>
      </c>
      <c r="R42" s="13">
        <v>0.85</v>
      </c>
      <c r="U42" s="13">
        <v>0.79</v>
      </c>
      <c r="X42" s="13">
        <v>0.85</v>
      </c>
      <c r="AA42" s="13">
        <v>0.85</v>
      </c>
      <c r="AD42" s="13">
        <v>0.86</v>
      </c>
      <c r="AG42" s="13">
        <v>0.85</v>
      </c>
      <c r="AJ42" s="13">
        <v>0.85</v>
      </c>
    </row>
    <row r="43" spans="1:36" s="13" customFormat="1">
      <c r="A43" s="45"/>
      <c r="B43" s="13" t="s">
        <v>16</v>
      </c>
      <c r="C43" s="13">
        <v>23.9</v>
      </c>
      <c r="F43" s="13">
        <v>23.5</v>
      </c>
      <c r="I43" s="13">
        <v>23.8</v>
      </c>
      <c r="L43" s="13">
        <v>23.2</v>
      </c>
      <c r="O43" s="13">
        <v>23.9</v>
      </c>
      <c r="R43" s="13">
        <v>24</v>
      </c>
      <c r="X43" s="13">
        <v>25.2</v>
      </c>
      <c r="AD43" s="13">
        <v>24</v>
      </c>
    </row>
    <row r="44" spans="1:36" s="13" customFormat="1">
      <c r="A44" s="45"/>
      <c r="B44" s="13" t="s">
        <v>17</v>
      </c>
      <c r="C44" s="13" t="s">
        <v>32</v>
      </c>
      <c r="F44" s="13" t="s">
        <v>32</v>
      </c>
      <c r="I44" s="13" t="s">
        <v>32</v>
      </c>
      <c r="L44" s="13" t="s">
        <v>34</v>
      </c>
      <c r="O44" s="13" t="s">
        <v>43</v>
      </c>
      <c r="R44" s="13" t="s">
        <v>43</v>
      </c>
      <c r="U44" s="13" t="s">
        <v>43</v>
      </c>
      <c r="X44" s="13" t="s">
        <v>43</v>
      </c>
      <c r="AA44" s="13" t="s">
        <v>43</v>
      </c>
      <c r="AD44" s="13" t="s">
        <v>43</v>
      </c>
      <c r="AG44" s="13" t="s">
        <v>43</v>
      </c>
      <c r="AJ44" s="13" t="s">
        <v>43</v>
      </c>
    </row>
    <row r="45" spans="1:36" s="13" customFormat="1">
      <c r="A45" s="45" t="s">
        <v>4</v>
      </c>
      <c r="B45" s="13" t="s">
        <v>10</v>
      </c>
    </row>
    <row r="46" spans="1:36" s="13" customFormat="1">
      <c r="A46" s="45"/>
      <c r="B46" s="13" t="s">
        <v>12</v>
      </c>
    </row>
    <row r="47" spans="1:36" s="13" customFormat="1">
      <c r="A47" s="45"/>
      <c r="B47" s="13" t="s">
        <v>14</v>
      </c>
    </row>
    <row r="48" spans="1:36" s="13" customFormat="1">
      <c r="A48" s="45"/>
      <c r="B48" s="13" t="s">
        <v>16</v>
      </c>
    </row>
    <row r="49" spans="1:42" s="13" customFormat="1">
      <c r="A49" s="45"/>
      <c r="B49" s="13" t="s">
        <v>17</v>
      </c>
      <c r="C49" s="13" t="s">
        <v>37</v>
      </c>
      <c r="F49" s="13" t="s">
        <v>37</v>
      </c>
      <c r="I49" s="13" t="s">
        <v>37</v>
      </c>
      <c r="L49" s="13" t="s">
        <v>46</v>
      </c>
      <c r="O49" s="13" t="s">
        <v>44</v>
      </c>
      <c r="R49" s="13" t="s">
        <v>44</v>
      </c>
      <c r="U49" s="13" t="s">
        <v>46</v>
      </c>
      <c r="X49" s="13" t="s">
        <v>44</v>
      </c>
      <c r="AA49" s="13" t="s">
        <v>46</v>
      </c>
      <c r="AD49" s="13" t="s">
        <v>44</v>
      </c>
      <c r="AG49" s="13" t="s">
        <v>46</v>
      </c>
      <c r="AJ49" s="13" t="s">
        <v>44</v>
      </c>
    </row>
    <row r="50" spans="1:42" s="13" customFormat="1">
      <c r="A50" s="45" t="s">
        <v>6</v>
      </c>
      <c r="B50" s="13" t="s">
        <v>10</v>
      </c>
    </row>
    <row r="51" spans="1:42" s="13" customFormat="1">
      <c r="A51" s="45"/>
      <c r="B51" s="13" t="s">
        <v>12</v>
      </c>
      <c r="X51" s="13">
        <v>0.66</v>
      </c>
      <c r="AA51" s="13">
        <v>0.66</v>
      </c>
    </row>
    <row r="52" spans="1:42" s="13" customFormat="1">
      <c r="A52" s="45"/>
      <c r="B52" s="13" t="s">
        <v>14</v>
      </c>
      <c r="X52" s="13">
        <v>0.9</v>
      </c>
      <c r="AA52" s="13">
        <v>0.91</v>
      </c>
    </row>
    <row r="53" spans="1:42" s="13" customFormat="1">
      <c r="A53" s="45"/>
      <c r="B53" s="13" t="s">
        <v>16</v>
      </c>
      <c r="X53" s="13">
        <v>25.3</v>
      </c>
    </row>
    <row r="54" spans="1:42" s="13" customFormat="1">
      <c r="A54" s="45"/>
      <c r="B54" s="13" t="s">
        <v>17</v>
      </c>
      <c r="C54" s="13" t="s">
        <v>37</v>
      </c>
      <c r="F54" s="13" t="s">
        <v>37</v>
      </c>
      <c r="I54" s="13" t="s">
        <v>44</v>
      </c>
      <c r="L54" s="13" t="s">
        <v>44</v>
      </c>
      <c r="O54" s="13" t="s">
        <v>46</v>
      </c>
      <c r="R54" s="13" t="s">
        <v>44</v>
      </c>
      <c r="U54" s="13" t="s">
        <v>46</v>
      </c>
      <c r="X54" s="13" t="s">
        <v>124</v>
      </c>
      <c r="AA54" s="13" t="s">
        <v>125</v>
      </c>
      <c r="AD54" s="13" t="s">
        <v>44</v>
      </c>
      <c r="AG54" s="13" t="s">
        <v>46</v>
      </c>
      <c r="AJ54" s="13" t="s">
        <v>44</v>
      </c>
    </row>
    <row r="55" spans="1:42">
      <c r="A55" s="42" t="s">
        <v>20</v>
      </c>
      <c r="B55" t="s">
        <v>21</v>
      </c>
      <c r="C55">
        <v>6</v>
      </c>
      <c r="F55">
        <v>6</v>
      </c>
      <c r="I55">
        <v>6</v>
      </c>
      <c r="L55">
        <v>6</v>
      </c>
      <c r="O55">
        <v>6</v>
      </c>
      <c r="R55">
        <v>6</v>
      </c>
      <c r="X55">
        <v>6</v>
      </c>
      <c r="AD55">
        <v>6</v>
      </c>
    </row>
    <row r="56" spans="1:42">
      <c r="A56" s="42"/>
      <c r="B56" t="s">
        <v>22</v>
      </c>
      <c r="C56">
        <v>0.99</v>
      </c>
      <c r="F56">
        <v>1.01</v>
      </c>
      <c r="I56">
        <v>0.98</v>
      </c>
      <c r="L56">
        <v>0.86</v>
      </c>
      <c r="O56">
        <v>0.83</v>
      </c>
      <c r="R56">
        <v>0.86</v>
      </c>
      <c r="U56">
        <v>0.99</v>
      </c>
      <c r="X56">
        <v>1.03</v>
      </c>
      <c r="AA56">
        <v>1.03</v>
      </c>
      <c r="AD56">
        <v>0.96</v>
      </c>
      <c r="AG56">
        <v>0.96</v>
      </c>
      <c r="AJ56">
        <v>0.96</v>
      </c>
    </row>
    <row r="57" spans="1:42">
      <c r="A57" s="42" t="s">
        <v>23</v>
      </c>
      <c r="B57" t="s">
        <v>21</v>
      </c>
      <c r="C57">
        <v>8.9</v>
      </c>
      <c r="F57">
        <v>8.5</v>
      </c>
      <c r="I57">
        <v>8.9</v>
      </c>
      <c r="L57">
        <v>9.1</v>
      </c>
      <c r="O57">
        <v>10</v>
      </c>
      <c r="R57">
        <v>10</v>
      </c>
      <c r="X57">
        <v>9</v>
      </c>
      <c r="AD57">
        <v>9</v>
      </c>
    </row>
    <row r="58" spans="1:42">
      <c r="A58" s="42"/>
      <c r="B58" t="s">
        <v>22</v>
      </c>
      <c r="C58">
        <v>0.76</v>
      </c>
      <c r="F58">
        <v>0.77</v>
      </c>
      <c r="I58">
        <v>0.77</v>
      </c>
      <c r="L58">
        <v>0.77</v>
      </c>
      <c r="O58">
        <v>0.77</v>
      </c>
      <c r="R58">
        <v>0.77</v>
      </c>
      <c r="U58">
        <v>0.77</v>
      </c>
      <c r="X58">
        <v>0.76</v>
      </c>
      <c r="AA58">
        <v>0.77</v>
      </c>
      <c r="AD58">
        <v>0.77</v>
      </c>
      <c r="AG58">
        <v>0.76</v>
      </c>
      <c r="AJ58">
        <v>0.77</v>
      </c>
    </row>
    <row r="59" spans="1:42" hidden="1">
      <c r="A59" s="42" t="s">
        <v>24</v>
      </c>
      <c r="B59" t="s">
        <v>17</v>
      </c>
      <c r="C59" t="s">
        <v>36</v>
      </c>
      <c r="F59" t="s">
        <v>33</v>
      </c>
      <c r="I59" t="s">
        <v>33</v>
      </c>
      <c r="L59" t="s">
        <v>33</v>
      </c>
      <c r="O59" t="s">
        <v>43</v>
      </c>
      <c r="R59" t="s">
        <v>44</v>
      </c>
      <c r="U59" t="s">
        <v>46</v>
      </c>
      <c r="X59" t="s">
        <v>44</v>
      </c>
      <c r="AA59" t="s">
        <v>46</v>
      </c>
      <c r="AD59" t="s">
        <v>44</v>
      </c>
      <c r="AG59" t="s">
        <v>46</v>
      </c>
      <c r="AJ59" t="s">
        <v>44</v>
      </c>
      <c r="AM59" t="s">
        <v>46</v>
      </c>
      <c r="AP59" t="s">
        <v>44</v>
      </c>
    </row>
    <row r="60" spans="1:42" hidden="1">
      <c r="A60" s="42"/>
      <c r="B60" t="s">
        <v>26</v>
      </c>
    </row>
    <row r="61" spans="1:42" hidden="1">
      <c r="A61" s="42"/>
      <c r="B61" t="s">
        <v>27</v>
      </c>
    </row>
    <row r="62" spans="1:42" hidden="1">
      <c r="A62" s="42" t="s">
        <v>28</v>
      </c>
      <c r="B62" t="s">
        <v>17</v>
      </c>
      <c r="C62" t="s">
        <v>36</v>
      </c>
      <c r="F62" t="s">
        <v>32</v>
      </c>
      <c r="I62" t="s">
        <v>34</v>
      </c>
      <c r="L62" t="s">
        <v>33</v>
      </c>
      <c r="O62" s="1" t="s">
        <v>44</v>
      </c>
      <c r="R62" t="s">
        <v>43</v>
      </c>
      <c r="U62" t="s">
        <v>43</v>
      </c>
      <c r="X62" t="s">
        <v>43</v>
      </c>
      <c r="AA62" t="s">
        <v>43</v>
      </c>
      <c r="AD62" t="s">
        <v>43</v>
      </c>
      <c r="AG62" t="s">
        <v>43</v>
      </c>
      <c r="AJ62" t="s">
        <v>43</v>
      </c>
      <c r="AM62" t="s">
        <v>43</v>
      </c>
      <c r="AP62" t="s">
        <v>43</v>
      </c>
    </row>
    <row r="63" spans="1:42" hidden="1">
      <c r="A63" s="42"/>
      <c r="B63" t="s">
        <v>26</v>
      </c>
    </row>
    <row r="64" spans="1:42" hidden="1">
      <c r="A64" s="42"/>
      <c r="B64" t="s">
        <v>27</v>
      </c>
    </row>
    <row r="69" spans="1:42">
      <c r="R69">
        <v>45</v>
      </c>
      <c r="AD69">
        <v>48.4</v>
      </c>
    </row>
    <row r="70" spans="1:42">
      <c r="F70">
        <v>43.8</v>
      </c>
      <c r="O70">
        <v>44.4</v>
      </c>
      <c r="R70">
        <v>44.5</v>
      </c>
      <c r="W70">
        <v>21</v>
      </c>
      <c r="AD70">
        <v>49.2</v>
      </c>
    </row>
    <row r="71" spans="1:42">
      <c r="C71">
        <v>40.799999999999997</v>
      </c>
      <c r="F71">
        <v>45.6</v>
      </c>
      <c r="I71">
        <v>46.5</v>
      </c>
      <c r="L71">
        <v>43.7</v>
      </c>
      <c r="O71">
        <v>44.2</v>
      </c>
      <c r="R71">
        <v>44.3</v>
      </c>
      <c r="X71">
        <v>31.2</v>
      </c>
      <c r="AD71">
        <v>49</v>
      </c>
    </row>
    <row r="72" spans="1:42">
      <c r="C72">
        <v>41</v>
      </c>
      <c r="F72">
        <v>46</v>
      </c>
      <c r="I72">
        <v>50.3</v>
      </c>
      <c r="L72">
        <v>43.3</v>
      </c>
      <c r="O72">
        <v>44.1</v>
      </c>
      <c r="R72">
        <v>48.1</v>
      </c>
      <c r="AD72">
        <v>50.6</v>
      </c>
    </row>
    <row r="73" spans="1:42" s="15" customFormat="1" ht="12" customHeight="1">
      <c r="A73" s="23" t="s">
        <v>144</v>
      </c>
      <c r="B73" s="15" t="s">
        <v>143</v>
      </c>
      <c r="C73" s="15">
        <f>AVERAGE(C65:E72)</f>
        <v>40.9</v>
      </c>
      <c r="F73" s="15">
        <f>AVERAGE(F65:H72)</f>
        <v>45.133333333333333</v>
      </c>
      <c r="I73" s="15">
        <f>AVERAGE(I65:K72)</f>
        <v>48.4</v>
      </c>
      <c r="L73" s="15">
        <f>AVERAGE(L65:N72)</f>
        <v>43.5</v>
      </c>
      <c r="O73" s="15">
        <f>AVERAGE(O65:Q72)</f>
        <v>44.233333333333327</v>
      </c>
      <c r="R73" s="15">
        <f>AVERAGE(R65:T72)</f>
        <v>45.475000000000001</v>
      </c>
      <c r="X73" s="15">
        <f>AVERAGE(X65:Z72)</f>
        <v>31.2</v>
      </c>
      <c r="AD73" s="15">
        <f>AVERAGE(AD65:AF72)</f>
        <v>49.3</v>
      </c>
    </row>
    <row r="74" spans="1:42" s="2" customFormat="1" ht="12" customHeight="1">
      <c r="A74" s="24"/>
      <c r="C74" s="2">
        <f>C4-C3</f>
        <v>2.3000000000000007</v>
      </c>
      <c r="D74" s="2">
        <f t="shared" ref="D74:AF74" si="0">D4-D3</f>
        <v>2.8</v>
      </c>
      <c r="E74" s="2">
        <f t="shared" si="0"/>
        <v>2.4000000000000004</v>
      </c>
      <c r="F74" s="2">
        <f t="shared" si="0"/>
        <v>2.1999999999999993</v>
      </c>
      <c r="G74" s="2">
        <f t="shared" si="0"/>
        <v>2.5</v>
      </c>
      <c r="H74" s="2">
        <f t="shared" si="0"/>
        <v>2.0999999999999996</v>
      </c>
      <c r="I74" s="2">
        <f t="shared" si="0"/>
        <v>2.0999999999999996</v>
      </c>
      <c r="J74" s="2">
        <f t="shared" si="0"/>
        <v>2.3999999999999995</v>
      </c>
      <c r="K74" s="2">
        <f t="shared" si="0"/>
        <v>2.0999999999999996</v>
      </c>
      <c r="L74" s="2">
        <f t="shared" si="0"/>
        <v>2.8</v>
      </c>
      <c r="M74" s="2">
        <f t="shared" si="0"/>
        <v>3.5</v>
      </c>
      <c r="N74" s="2">
        <f t="shared" si="0"/>
        <v>2.5999999999999996</v>
      </c>
      <c r="O74" s="2">
        <f t="shared" si="0"/>
        <v>2.8</v>
      </c>
      <c r="P74" s="2">
        <f t="shared" si="0"/>
        <v>3.5</v>
      </c>
      <c r="Q74" s="2">
        <f t="shared" si="0"/>
        <v>2.8000000000000007</v>
      </c>
      <c r="R74" s="2">
        <f t="shared" si="0"/>
        <v>3.0999999999999996</v>
      </c>
      <c r="S74" s="2">
        <f t="shared" si="0"/>
        <v>4</v>
      </c>
      <c r="T74" s="2">
        <f t="shared" si="0"/>
        <v>2.5</v>
      </c>
      <c r="X74" s="2">
        <f t="shared" si="0"/>
        <v>2.4000000000000004</v>
      </c>
      <c r="Y74" s="2">
        <f t="shared" si="0"/>
        <v>3</v>
      </c>
      <c r="Z74" s="2">
        <f t="shared" si="0"/>
        <v>2.5</v>
      </c>
      <c r="AD74" s="2">
        <f t="shared" si="0"/>
        <v>2.2000000000000002</v>
      </c>
      <c r="AE74" s="2">
        <f t="shared" si="0"/>
        <v>2.9000000000000004</v>
      </c>
      <c r="AF74" s="2">
        <f t="shared" si="0"/>
        <v>2.0999999999999996</v>
      </c>
    </row>
    <row r="75" spans="1:42" s="15" customFormat="1" ht="12" customHeight="1">
      <c r="A75" s="23"/>
      <c r="B75" s="15" t="s">
        <v>146</v>
      </c>
      <c r="C75" s="15">
        <f>AVERAGE(C74:E74)</f>
        <v>2.5000000000000004</v>
      </c>
      <c r="F75" s="15">
        <f>AVERAGE(F74:H74)</f>
        <v>2.2666666666666662</v>
      </c>
      <c r="I75" s="15">
        <f>AVERAGE(I74:K74)</f>
        <v>2.1999999999999997</v>
      </c>
      <c r="L75" s="15">
        <f>AVERAGE(L74:N74)</f>
        <v>2.9666666666666663</v>
      </c>
      <c r="O75" s="15">
        <f>AVERAGE(O74:Q74)</f>
        <v>3.0333333333333337</v>
      </c>
      <c r="R75" s="15">
        <f>AVERAGE(R74:T74)</f>
        <v>3.1999999999999997</v>
      </c>
      <c r="X75" s="15">
        <f>AVERAGE(X74:Z74)</f>
        <v>2.6333333333333333</v>
      </c>
      <c r="AD75" s="15">
        <f>AVERAGE(AD74:AF74)</f>
        <v>2.4</v>
      </c>
    </row>
    <row r="76" spans="1:42" s="15" customFormat="1" ht="12" customHeight="1">
      <c r="A76" s="23"/>
      <c r="B76" s="15" t="s">
        <v>147</v>
      </c>
      <c r="C76" s="15">
        <f>4200*C75*C5/3.6/1000</f>
        <v>321.70833333333337</v>
      </c>
      <c r="F76" s="15">
        <f>4200*F75*F5/3.6/1000</f>
        <v>353.03333333333325</v>
      </c>
      <c r="I76" s="15">
        <f>4200*I75*I5/3.6/1000</f>
        <v>354.58499999999992</v>
      </c>
      <c r="L76" s="15">
        <f>4200*L75*L5/3.6/1000</f>
        <v>340.57333333333332</v>
      </c>
      <c r="O76" s="15">
        <f>4200*O75*O5/3.6/1000</f>
        <v>336.90222222222229</v>
      </c>
      <c r="R76" s="15">
        <f>4200*R75*R5/3.6/1000</f>
        <v>363.62666666666667</v>
      </c>
      <c r="X76" s="15">
        <f>4200*X75*X5/3.6/1000</f>
        <v>237.79000000000002</v>
      </c>
      <c r="AD76" s="15">
        <f>4200*AD75*AD5/3.6/1000</f>
        <v>393.12</v>
      </c>
    </row>
    <row r="77" spans="1:42" s="15" customFormat="1" ht="12" customHeight="1">
      <c r="A77" s="23"/>
      <c r="B77" s="15" t="s">
        <v>148</v>
      </c>
      <c r="C77" s="25">
        <f>C76/908.5</f>
        <v>0.35410933773619524</v>
      </c>
      <c r="F77" s="25">
        <f>F76/908.5</f>
        <v>0.38858924967895792</v>
      </c>
      <c r="I77" s="25">
        <f>I76/908.5</f>
        <v>0.39029719317556405</v>
      </c>
      <c r="L77" s="25">
        <f>L76/908.5</f>
        <v>0.37487433498440653</v>
      </c>
      <c r="O77" s="25">
        <f>O76/908.5</f>
        <v>0.37083348621048134</v>
      </c>
      <c r="R77" s="25">
        <f>R76/908.5</f>
        <v>0.40024949550541183</v>
      </c>
      <c r="U77" s="25"/>
      <c r="X77" s="25">
        <f>X76/908.5</f>
        <v>0.26173913043478264</v>
      </c>
      <c r="AA77" s="25"/>
      <c r="AD77" s="25">
        <f>AD76/908.5</f>
        <v>0.43271326362135387</v>
      </c>
      <c r="AG77" s="25"/>
      <c r="AJ77" s="25"/>
      <c r="AM77" s="25"/>
      <c r="AP77" s="25"/>
    </row>
    <row r="78" spans="1:42" s="15" customFormat="1" ht="12" customHeight="1">
      <c r="A78" s="23"/>
      <c r="B78" s="15" t="s">
        <v>149</v>
      </c>
      <c r="C78" s="15">
        <f>C76/C73</f>
        <v>7.8657294213528948</v>
      </c>
      <c r="F78" s="15">
        <f>F76/F73</f>
        <v>7.8220088626292448</v>
      </c>
      <c r="I78" s="15">
        <f>I76/I73</f>
        <v>7.3261363636363619</v>
      </c>
      <c r="L78" s="15">
        <f>L76/L73</f>
        <v>7.8292720306513406</v>
      </c>
      <c r="O78" s="15">
        <f>O76/O73</f>
        <v>7.61647827179101</v>
      </c>
      <c r="R78" s="15">
        <f>R76/R73</f>
        <v>7.9961883818948136</v>
      </c>
      <c r="X78" s="15">
        <f>X76/X73</f>
        <v>7.6214743589743597</v>
      </c>
      <c r="AD78" s="15">
        <f>AD76/AD73</f>
        <v>7.9740365111561875</v>
      </c>
    </row>
    <row r="82" spans="1:26">
      <c r="X82">
        <v>23.2</v>
      </c>
    </row>
    <row r="83" spans="1:26">
      <c r="X83">
        <v>27.1</v>
      </c>
    </row>
    <row r="84" spans="1:26">
      <c r="X84">
        <v>27.1</v>
      </c>
    </row>
    <row r="85" spans="1:26">
      <c r="X85">
        <v>25.3</v>
      </c>
    </row>
    <row r="86" spans="1:26">
      <c r="X86">
        <v>26.3</v>
      </c>
    </row>
    <row r="87" spans="1:26" s="15" customFormat="1" ht="28.5">
      <c r="A87" s="23" t="s">
        <v>145</v>
      </c>
      <c r="B87" s="15" t="s">
        <v>143</v>
      </c>
      <c r="X87" s="15">
        <f>AVERAGE(X79:Z86)</f>
        <v>25.8</v>
      </c>
    </row>
    <row r="88" spans="1:26">
      <c r="A88" s="24"/>
      <c r="B88" s="2"/>
      <c r="C88" s="2"/>
      <c r="D88" s="2"/>
      <c r="E88" s="2"/>
      <c r="F88" s="2"/>
      <c r="G88" s="2"/>
      <c r="H88" s="2"/>
      <c r="I88" s="2"/>
      <c r="J88" s="2"/>
      <c r="K88" s="2"/>
      <c r="X88" s="2">
        <f>X15-X14</f>
        <v>2.3000000000000007</v>
      </c>
      <c r="Y88" s="2">
        <f t="shared" ref="Y88:Z88" si="1">Y15-Y14</f>
        <v>2.2999999999999998</v>
      </c>
      <c r="Z88" s="2">
        <f t="shared" si="1"/>
        <v>2.2000000000000011</v>
      </c>
    </row>
    <row r="89" spans="1:26" s="15" customFormat="1">
      <c r="A89" s="23"/>
      <c r="B89" s="15" t="s">
        <v>146</v>
      </c>
      <c r="X89" s="15">
        <f>AVERAGE(X88:Z88)</f>
        <v>2.2666666666666671</v>
      </c>
    </row>
    <row r="90" spans="1:26" s="15" customFormat="1">
      <c r="A90" s="23"/>
      <c r="B90" s="15" t="s">
        <v>147</v>
      </c>
      <c r="X90" s="15">
        <f>4200*X89*X16/3.6/1000</f>
        <v>213.67111111111112</v>
      </c>
    </row>
    <row r="91" spans="1:26" s="15" customFormat="1">
      <c r="A91" s="23"/>
      <c r="B91" s="15" t="s">
        <v>148</v>
      </c>
      <c r="C91" s="25"/>
      <c r="F91" s="25"/>
      <c r="I91" s="25"/>
      <c r="X91" s="25">
        <f>X90/908.5</f>
        <v>0.23519109643490491</v>
      </c>
    </row>
    <row r="92" spans="1:26" s="15" customFormat="1">
      <c r="A92" s="23"/>
      <c r="B92" s="15" t="s">
        <v>149</v>
      </c>
      <c r="X92" s="15">
        <f>X90/X87</f>
        <v>8.2818260120585698</v>
      </c>
    </row>
  </sheetData>
  <mergeCells count="12">
    <mergeCell ref="A62:A64"/>
    <mergeCell ref="A3:A13"/>
    <mergeCell ref="A14:A24"/>
    <mergeCell ref="A25:A29"/>
    <mergeCell ref="A30:A34"/>
    <mergeCell ref="A35:A39"/>
    <mergeCell ref="A40:A44"/>
    <mergeCell ref="A45:A49"/>
    <mergeCell ref="A50:A54"/>
    <mergeCell ref="A55:A56"/>
    <mergeCell ref="A57:A58"/>
    <mergeCell ref="A59:A6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9" workbookViewId="0">
      <selection sqref="A1:B1"/>
    </sheetView>
  </sheetViews>
  <sheetFormatPr defaultColWidth="8.625" defaultRowHeight="14.25"/>
  <cols>
    <col min="1" max="1" width="12.125" style="20" customWidth="1"/>
    <col min="2" max="16384" width="8.625" style="20"/>
  </cols>
  <sheetData>
    <row r="1" spans="1:10">
      <c r="A1" s="20" t="s">
        <v>59</v>
      </c>
      <c r="B1" s="20" t="s">
        <v>135</v>
      </c>
    </row>
    <row r="2" spans="1:10">
      <c r="A2" s="21"/>
      <c r="B2" s="21"/>
      <c r="C2" s="21"/>
      <c r="D2" s="21"/>
    </row>
    <row r="3" spans="1:10">
      <c r="A3" s="21" t="s">
        <v>82</v>
      </c>
      <c r="B3" s="21">
        <f>'18数据'!C5</f>
        <v>110.3</v>
      </c>
      <c r="C3" s="21">
        <f>'18数据'!F5</f>
        <v>133.5</v>
      </c>
      <c r="D3" s="21">
        <f>'18数据'!I5</f>
        <v>138.15</v>
      </c>
    </row>
    <row r="4" spans="1:10">
      <c r="A4" s="21" t="s">
        <v>92</v>
      </c>
      <c r="B4" s="21">
        <f>-0.0002*B3^2+0.0423*B3+29.606</f>
        <v>31.838472000000003</v>
      </c>
      <c r="C4" s="21">
        <f>-0.00005*C3^2 + 0.0212*C3 + 29.606</f>
        <v>31.545087500000001</v>
      </c>
      <c r="D4" s="21">
        <f>-0.00002*D3^2 + 0.0141*D3 + 29.606</f>
        <v>31.172206550000002</v>
      </c>
      <c r="G4" s="21"/>
    </row>
    <row r="5" spans="1:10">
      <c r="A5" s="21" t="s">
        <v>93</v>
      </c>
      <c r="B5" s="21">
        <f>B4/B3/B3</f>
        <v>2.6169847502361078E-3</v>
      </c>
      <c r="C5" s="21">
        <f t="shared" ref="C5:D5" si="0">C4/C3/C3</f>
        <v>1.7699834476567213E-3</v>
      </c>
      <c r="D5" s="21">
        <f t="shared" si="0"/>
        <v>1.6332992654472279E-3</v>
      </c>
      <c r="E5" s="22"/>
    </row>
    <row r="6" spans="1:10">
      <c r="A6" s="21" t="s">
        <v>129</v>
      </c>
      <c r="B6" s="20">
        <v>1</v>
      </c>
      <c r="C6" s="20">
        <v>2</v>
      </c>
      <c r="D6" s="20">
        <v>3</v>
      </c>
    </row>
    <row r="7" spans="1:10">
      <c r="A7" s="21" t="s">
        <v>134</v>
      </c>
      <c r="B7" s="20">
        <f>-0.00002*$B3^2+ 0.0088*$B3 - 0.0282</f>
        <v>0.69911820000000002</v>
      </c>
      <c r="C7" s="20">
        <f>-0.000005*$C3^2+ 0.0044*$C3 - 0.0282</f>
        <v>0.47008875000000006</v>
      </c>
      <c r="D7" s="20">
        <f>-0.000002*$D3^2+ 0.0029*$D3 - 0.0282</f>
        <v>0.33426415499999995</v>
      </c>
    </row>
    <row r="9" spans="1:10">
      <c r="A9" s="20" t="s">
        <v>130</v>
      </c>
      <c r="B9" t="s">
        <v>84</v>
      </c>
      <c r="C9" t="s">
        <v>85</v>
      </c>
      <c r="D9" t="s">
        <v>86</v>
      </c>
      <c r="E9">
        <v>1</v>
      </c>
      <c r="F9">
        <v>2</v>
      </c>
      <c r="G9">
        <v>3</v>
      </c>
      <c r="H9" s="20" t="s">
        <v>131</v>
      </c>
      <c r="I9" s="20" t="s">
        <v>132</v>
      </c>
      <c r="J9" s="20" t="s">
        <v>133</v>
      </c>
    </row>
    <row r="10" spans="1:10">
      <c r="A10" s="21">
        <v>0</v>
      </c>
      <c r="B10" s="20">
        <f>-0.0002*A10^2+0.0423*A10+29.606</f>
        <v>29.606000000000002</v>
      </c>
      <c r="C10" s="20">
        <f>-0.00005*A10^2 + 0.0212*A10 + 29.606</f>
        <v>29.606000000000002</v>
      </c>
      <c r="D10" s="20">
        <f>-0.00002*A10^2 + 0.0141*A10 + 29.606</f>
        <v>29.606000000000002</v>
      </c>
      <c r="E10" s="21">
        <f t="shared" ref="E10:G13" si="1">$A10*$A10*B$5</f>
        <v>0</v>
      </c>
      <c r="F10" s="21">
        <f t="shared" si="1"/>
        <v>0</v>
      </c>
      <c r="G10" s="21">
        <f t="shared" si="1"/>
        <v>0</v>
      </c>
      <c r="H10" s="20">
        <f>-0.00002*$A10^2+ 0.0088*$A10 - 0.0282</f>
        <v>-2.8199999999999999E-2</v>
      </c>
      <c r="I10" s="20">
        <f>-0.000005*$A10^2+ 0.0044*$A10 - 0.0282</f>
        <v>-2.8199999999999999E-2</v>
      </c>
      <c r="J10" s="20">
        <f>-0.000002*$A10^2+ 0.0029*$A10 - 0.0282</f>
        <v>-2.8199999999999999E-2</v>
      </c>
    </row>
    <row r="11" spans="1:10">
      <c r="A11" s="21">
        <v>50</v>
      </c>
      <c r="B11" s="20">
        <f t="shared" ref="B11:B18" si="2">-0.0002*A11^2+0.0423*A11+29.606</f>
        <v>31.221</v>
      </c>
      <c r="C11" s="20">
        <f t="shared" ref="C11:C18" si="3">-0.00005*A11^2 + 0.0212*A11 + 29.606</f>
        <v>30.541</v>
      </c>
      <c r="D11" s="20">
        <f t="shared" ref="D11:D18" si="4">-0.00002*A11^2 + 0.0141*A11 + 29.606</f>
        <v>30.261000000000003</v>
      </c>
      <c r="E11" s="21">
        <f t="shared" si="1"/>
        <v>6.542461875590269</v>
      </c>
      <c r="F11" s="21">
        <f t="shared" si="1"/>
        <v>4.4249586191418029</v>
      </c>
      <c r="G11" s="21">
        <f t="shared" si="1"/>
        <v>4.0832481636180695</v>
      </c>
      <c r="H11" s="20">
        <f t="shared" ref="H11:H18" si="5">-0.00002*$A11^2+ 0.0088*$A11 - 0.0282</f>
        <v>0.36180000000000001</v>
      </c>
      <c r="I11" s="20">
        <f t="shared" ref="I11:I18" si="6">-0.000005*$A11^2+ 0.0044*$A11 - 0.0282</f>
        <v>0.17929999999999999</v>
      </c>
      <c r="J11" s="20">
        <f t="shared" ref="J11:J18" si="7">-0.000002*$A11^2+ 0.0029*$A11 - 0.0282</f>
        <v>0.11179999999999998</v>
      </c>
    </row>
    <row r="12" spans="1:10">
      <c r="A12" s="21">
        <v>100</v>
      </c>
      <c r="B12" s="20">
        <f t="shared" si="2"/>
        <v>31.836000000000002</v>
      </c>
      <c r="C12" s="20">
        <f t="shared" si="3"/>
        <v>31.226000000000003</v>
      </c>
      <c r="D12" s="20">
        <f t="shared" si="4"/>
        <v>30.816000000000003</v>
      </c>
      <c r="E12" s="21">
        <f t="shared" si="1"/>
        <v>26.169847502361076</v>
      </c>
      <c r="F12" s="21">
        <f t="shared" si="1"/>
        <v>17.699834476567212</v>
      </c>
      <c r="G12" s="21">
        <f t="shared" si="1"/>
        <v>16.332992654472278</v>
      </c>
      <c r="H12" s="20">
        <f t="shared" si="5"/>
        <v>0.65179999999999993</v>
      </c>
      <c r="I12" s="20">
        <f t="shared" si="6"/>
        <v>0.36180000000000001</v>
      </c>
      <c r="J12" s="20">
        <f t="shared" si="7"/>
        <v>0.24179999999999996</v>
      </c>
    </row>
    <row r="13" spans="1:10">
      <c r="A13" s="21">
        <v>150</v>
      </c>
      <c r="B13" s="20">
        <f t="shared" si="2"/>
        <v>31.451000000000001</v>
      </c>
      <c r="C13" s="20">
        <f t="shared" si="3"/>
        <v>31.661000000000001</v>
      </c>
      <c r="D13" s="20">
        <f t="shared" si="4"/>
        <v>31.271000000000001</v>
      </c>
      <c r="E13" s="21">
        <f t="shared" si="1"/>
        <v>58.882156880312422</v>
      </c>
      <c r="F13" s="21">
        <f t="shared" si="1"/>
        <v>39.824627572276228</v>
      </c>
      <c r="G13" s="21">
        <f t="shared" si="1"/>
        <v>36.749233472562629</v>
      </c>
      <c r="H13" s="20">
        <f t="shared" si="5"/>
        <v>0.8418000000000001</v>
      </c>
      <c r="I13" s="20">
        <f t="shared" si="6"/>
        <v>0.51929999999999998</v>
      </c>
      <c r="J13" s="20">
        <f t="shared" si="7"/>
        <v>0.36179999999999995</v>
      </c>
    </row>
    <row r="14" spans="1:10">
      <c r="A14" s="21">
        <v>200</v>
      </c>
      <c r="B14" s="20">
        <f t="shared" si="2"/>
        <v>30.066000000000003</v>
      </c>
      <c r="C14" s="20">
        <f t="shared" si="3"/>
        <v>31.846000000000004</v>
      </c>
      <c r="D14" s="20">
        <f t="shared" si="4"/>
        <v>31.626000000000001</v>
      </c>
      <c r="E14" s="21"/>
      <c r="F14" s="21">
        <f>$A14*$A14*C$5</f>
        <v>70.799337906268846</v>
      </c>
      <c r="G14" s="21">
        <f>$A14*$A14*D$5</f>
        <v>65.331970617889112</v>
      </c>
      <c r="H14" s="20">
        <f t="shared" si="5"/>
        <v>0.93179999999999996</v>
      </c>
      <c r="I14" s="20">
        <f t="shared" si="6"/>
        <v>0.65179999999999993</v>
      </c>
      <c r="J14" s="20">
        <f t="shared" si="7"/>
        <v>0.47179999999999994</v>
      </c>
    </row>
    <row r="15" spans="1:10">
      <c r="A15" s="21">
        <v>250</v>
      </c>
      <c r="B15" s="20">
        <f t="shared" si="2"/>
        <v>27.681000000000001</v>
      </c>
      <c r="C15" s="20">
        <f t="shared" si="3"/>
        <v>31.781000000000002</v>
      </c>
      <c r="D15" s="20">
        <f t="shared" si="4"/>
        <v>31.881</v>
      </c>
      <c r="E15" s="21"/>
      <c r="F15" s="21"/>
      <c r="G15" s="21"/>
      <c r="H15" s="20">
        <f t="shared" si="5"/>
        <v>0.92180000000000017</v>
      </c>
      <c r="I15" s="20">
        <f t="shared" si="6"/>
        <v>0.75930000000000009</v>
      </c>
      <c r="J15" s="20">
        <f t="shared" si="7"/>
        <v>0.57179999999999997</v>
      </c>
    </row>
    <row r="16" spans="1:10">
      <c r="A16" s="21">
        <v>300</v>
      </c>
      <c r="B16" s="20">
        <f t="shared" si="2"/>
        <v>24.295999999999999</v>
      </c>
      <c r="C16" s="20">
        <f t="shared" si="3"/>
        <v>31.466000000000001</v>
      </c>
      <c r="D16" s="20">
        <f t="shared" si="4"/>
        <v>32.036000000000001</v>
      </c>
      <c r="H16" s="20">
        <f t="shared" si="5"/>
        <v>0.81180000000000008</v>
      </c>
      <c r="I16" s="20">
        <f t="shared" si="6"/>
        <v>0.8418000000000001</v>
      </c>
      <c r="J16" s="20">
        <f t="shared" si="7"/>
        <v>0.66179999999999994</v>
      </c>
    </row>
    <row r="17" spans="1:10">
      <c r="A17" s="21">
        <v>350</v>
      </c>
      <c r="B17" s="20">
        <f t="shared" si="2"/>
        <v>19.911000000000001</v>
      </c>
      <c r="C17" s="20">
        <f t="shared" si="3"/>
        <v>30.901000000000003</v>
      </c>
      <c r="D17" s="20">
        <f t="shared" si="4"/>
        <v>32.091000000000001</v>
      </c>
      <c r="H17" s="20">
        <f t="shared" si="5"/>
        <v>0.60179999999999989</v>
      </c>
      <c r="I17" s="20">
        <f t="shared" si="6"/>
        <v>0.89929999999999999</v>
      </c>
      <c r="J17" s="20">
        <f t="shared" si="7"/>
        <v>0.7417999999999999</v>
      </c>
    </row>
    <row r="18" spans="1:10">
      <c r="A18" s="21">
        <v>400</v>
      </c>
      <c r="B18" s="20">
        <f t="shared" si="2"/>
        <v>14.526</v>
      </c>
      <c r="C18" s="20">
        <f t="shared" si="3"/>
        <v>30.086000000000002</v>
      </c>
      <c r="D18" s="20">
        <f t="shared" si="4"/>
        <v>32.045999999999999</v>
      </c>
      <c r="H18" s="20">
        <f t="shared" si="5"/>
        <v>0.29179999999999984</v>
      </c>
      <c r="I18" s="20">
        <f t="shared" si="6"/>
        <v>0.93179999999999996</v>
      </c>
      <c r="J18" s="20">
        <f t="shared" si="7"/>
        <v>0.81179999999999986</v>
      </c>
    </row>
    <row r="20" spans="1:10">
      <c r="A20" s="21"/>
      <c r="B20" s="21"/>
      <c r="C20" s="21"/>
      <c r="D20" s="21"/>
    </row>
    <row r="21" spans="1:10">
      <c r="A21" s="21"/>
      <c r="B21" s="21"/>
      <c r="C21" s="21"/>
      <c r="D21" s="21"/>
    </row>
    <row r="22" spans="1:10">
      <c r="A22" s="21"/>
      <c r="B22" s="21"/>
      <c r="C22" s="21"/>
      <c r="D22" s="21"/>
    </row>
    <row r="23" spans="1:10">
      <c r="A23" s="21"/>
      <c r="B23" s="21"/>
      <c r="C23" s="21"/>
      <c r="D23" s="21"/>
    </row>
    <row r="24" spans="1:10">
      <c r="A24" s="21"/>
      <c r="B24" s="21"/>
      <c r="C24" s="21"/>
      <c r="D24" s="21"/>
    </row>
    <row r="25" spans="1:10">
      <c r="A25" s="21"/>
      <c r="B25" s="21"/>
      <c r="C25" s="21"/>
      <c r="D25" s="21"/>
    </row>
    <row r="26" spans="1:10">
      <c r="A26" s="21"/>
      <c r="B26" s="21"/>
      <c r="C26" s="21"/>
      <c r="D26" s="21"/>
    </row>
    <row r="27" spans="1:10">
      <c r="A27" s="21"/>
      <c r="B27" s="21"/>
      <c r="C27" s="21"/>
      <c r="D27" s="21"/>
    </row>
    <row r="28" spans="1:10">
      <c r="A28" s="21"/>
      <c r="B28" s="21"/>
      <c r="C28" s="21"/>
      <c r="D28" s="21"/>
    </row>
    <row r="29" spans="1:10">
      <c r="A29" s="21"/>
      <c r="B29" s="21"/>
      <c r="C29" s="21"/>
      <c r="D29" s="21"/>
      <c r="E29" s="21"/>
      <c r="F29" s="21"/>
      <c r="G29" s="2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6" workbookViewId="0">
      <selection activeCell="F38" sqref="F38"/>
    </sheetView>
  </sheetViews>
  <sheetFormatPr defaultColWidth="8.625" defaultRowHeight="14.25"/>
  <cols>
    <col min="1" max="1" width="12.125" style="20" customWidth="1"/>
    <col min="2" max="16384" width="8.625" style="20"/>
  </cols>
  <sheetData>
    <row r="1" spans="1:13">
      <c r="A1" s="20" t="s">
        <v>59</v>
      </c>
      <c r="B1" s="20" t="s">
        <v>136</v>
      </c>
    </row>
    <row r="2" spans="1:13">
      <c r="A2" s="21"/>
      <c r="K2" s="2">
        <v>71.7</v>
      </c>
      <c r="L2" s="2">
        <v>77.400000000000006</v>
      </c>
      <c r="M2" s="2">
        <v>75.099999999999994</v>
      </c>
    </row>
    <row r="3" spans="1:13">
      <c r="A3" s="21" t="s">
        <v>82</v>
      </c>
      <c r="B3" s="21">
        <f>K2+K3</f>
        <v>147</v>
      </c>
      <c r="C3" s="21">
        <f>L2+L3</f>
        <v>158.19999999999999</v>
      </c>
      <c r="D3" s="21">
        <f>M2+M3</f>
        <v>153.6</v>
      </c>
      <c r="K3" s="2">
        <v>75.3</v>
      </c>
      <c r="L3" s="2">
        <v>80.8</v>
      </c>
      <c r="M3" s="2">
        <v>78.5</v>
      </c>
    </row>
    <row r="4" spans="1:13">
      <c r="A4" s="21" t="s">
        <v>92</v>
      </c>
      <c r="B4" s="21">
        <f>-0.0002*B3^2+0.0423*B3+29.606</f>
        <v>31.502300000000002</v>
      </c>
      <c r="C4" s="21">
        <f>-0.00005*C3^2 + 0.0212*C3 + 29.606</f>
        <v>31.708478000000003</v>
      </c>
      <c r="D4" s="21">
        <f>-0.00002*D3^2 + 0.0141*D3 + 29.606</f>
        <v>31.299900800000003</v>
      </c>
      <c r="G4" s="21"/>
    </row>
    <row r="5" spans="1:13">
      <c r="A5" s="21" t="s">
        <v>93</v>
      </c>
      <c r="B5" s="21">
        <f>B4/B3/B3</f>
        <v>1.4578323846545422E-3</v>
      </c>
      <c r="C5" s="21">
        <f t="shared" ref="C5:D5" si="0">C4/C3/C3</f>
        <v>1.2669586418638256E-3</v>
      </c>
      <c r="D5" s="21">
        <f t="shared" si="0"/>
        <v>1.3266627332899309E-3</v>
      </c>
      <c r="E5" s="22"/>
    </row>
    <row r="6" spans="1:13">
      <c r="A6" s="21" t="s">
        <v>129</v>
      </c>
      <c r="B6" s="20">
        <v>1</v>
      </c>
      <c r="C6" s="20">
        <v>2</v>
      </c>
      <c r="D6" s="20">
        <v>3</v>
      </c>
    </row>
    <row r="7" spans="1:13">
      <c r="A7" s="21" t="s">
        <v>134</v>
      </c>
      <c r="B7" s="20">
        <f>-0.00002*$B3^2+ 0.0088*$B3 - 0.0282</f>
        <v>0.83322000000000007</v>
      </c>
      <c r="C7" s="20">
        <f>-0.000005*$C3^2+ 0.0044*$C3 - 0.0282</f>
        <v>0.5427438</v>
      </c>
      <c r="D7" s="20">
        <f>-0.000002*$D3^2+ 0.0029*$D3 - 0.0282</f>
        <v>0.37005407999999995</v>
      </c>
    </row>
    <row r="9" spans="1:13">
      <c r="A9" s="20" t="s">
        <v>130</v>
      </c>
      <c r="B9" t="s">
        <v>84</v>
      </c>
      <c r="C9" t="s">
        <v>85</v>
      </c>
      <c r="D9" t="s">
        <v>86</v>
      </c>
      <c r="E9">
        <v>1</v>
      </c>
      <c r="F9">
        <v>2</v>
      </c>
      <c r="G9">
        <v>3</v>
      </c>
      <c r="H9" s="20" t="s">
        <v>131</v>
      </c>
      <c r="I9" s="20" t="s">
        <v>132</v>
      </c>
      <c r="J9" s="20" t="s">
        <v>133</v>
      </c>
    </row>
    <row r="10" spans="1:13">
      <c r="A10" s="21">
        <v>0</v>
      </c>
      <c r="B10" s="20">
        <f>-0.0002*A10^2+0.0423*A10+29.606</f>
        <v>29.606000000000002</v>
      </c>
      <c r="C10" s="20">
        <f>-0.00005*A10^2 + 0.0212*A10 + 29.606</f>
        <v>29.606000000000002</v>
      </c>
      <c r="D10" s="20">
        <f>-0.00002*A10^2 + 0.0141*A10 + 29.606</f>
        <v>29.606000000000002</v>
      </c>
      <c r="E10" s="21">
        <f t="shared" ref="E10:G14" si="1">$A10*$A10*B$5</f>
        <v>0</v>
      </c>
      <c r="F10" s="21">
        <f t="shared" si="1"/>
        <v>0</v>
      </c>
      <c r="G10" s="21">
        <f t="shared" si="1"/>
        <v>0</v>
      </c>
      <c r="H10" s="20">
        <f>-0.00002*$A10^2+ 0.0088*$A10 - 0.0282</f>
        <v>-2.8199999999999999E-2</v>
      </c>
      <c r="I10" s="20">
        <f>-0.000005*$A10^2+ 0.0044*$A10 - 0.0282</f>
        <v>-2.8199999999999999E-2</v>
      </c>
      <c r="J10" s="20">
        <f>-0.000002*$A10^2+ 0.0029*$A10 - 0.0282</f>
        <v>-2.8199999999999999E-2</v>
      </c>
    </row>
    <row r="11" spans="1:13">
      <c r="A11" s="21">
        <v>50</v>
      </c>
      <c r="B11" s="20">
        <f t="shared" ref="B11:B18" si="2">-0.0002*A11^2+0.0423*A11+29.606</f>
        <v>31.221</v>
      </c>
      <c r="C11" s="20">
        <f t="shared" ref="C11:C18" si="3">-0.00005*A11^2 + 0.0212*A11 + 29.606</f>
        <v>30.541</v>
      </c>
      <c r="D11" s="20">
        <f t="shared" ref="D11:D18" si="4">-0.00002*A11^2 + 0.0141*A11 + 29.606</f>
        <v>30.261000000000003</v>
      </c>
      <c r="E11" s="21">
        <f t="shared" si="1"/>
        <v>3.6445809616363554</v>
      </c>
      <c r="F11" s="21">
        <f t="shared" si="1"/>
        <v>3.1673966046595643</v>
      </c>
      <c r="G11" s="21">
        <f t="shared" si="1"/>
        <v>3.3166568332248274</v>
      </c>
      <c r="H11" s="20">
        <f t="shared" ref="H11:H18" si="5">-0.00002*$A11^2+ 0.0088*$A11 - 0.0282</f>
        <v>0.36180000000000001</v>
      </c>
      <c r="I11" s="20">
        <f t="shared" ref="I11:I18" si="6">-0.000005*$A11^2+ 0.0044*$A11 - 0.0282</f>
        <v>0.17929999999999999</v>
      </c>
      <c r="J11" s="20">
        <f t="shared" ref="J11:J18" si="7">-0.000002*$A11^2+ 0.0029*$A11 - 0.0282</f>
        <v>0.11179999999999998</v>
      </c>
    </row>
    <row r="12" spans="1:13">
      <c r="A12" s="21">
        <v>100</v>
      </c>
      <c r="B12" s="20">
        <f t="shared" si="2"/>
        <v>31.836000000000002</v>
      </c>
      <c r="C12" s="20">
        <f t="shared" si="3"/>
        <v>31.226000000000003</v>
      </c>
      <c r="D12" s="20">
        <f t="shared" si="4"/>
        <v>30.816000000000003</v>
      </c>
      <c r="E12" s="21">
        <f t="shared" si="1"/>
        <v>14.578323846545421</v>
      </c>
      <c r="F12" s="21">
        <f t="shared" si="1"/>
        <v>12.669586418638257</v>
      </c>
      <c r="G12" s="21">
        <f t="shared" si="1"/>
        <v>13.26662733289931</v>
      </c>
      <c r="H12" s="20">
        <f t="shared" si="5"/>
        <v>0.65179999999999993</v>
      </c>
      <c r="I12" s="20">
        <f t="shared" si="6"/>
        <v>0.36180000000000001</v>
      </c>
      <c r="J12" s="20">
        <f t="shared" si="7"/>
        <v>0.24179999999999996</v>
      </c>
    </row>
    <row r="13" spans="1:13">
      <c r="A13" s="21">
        <v>150</v>
      </c>
      <c r="B13" s="20">
        <f t="shared" si="2"/>
        <v>31.451000000000001</v>
      </c>
      <c r="C13" s="20">
        <f t="shared" si="3"/>
        <v>31.661000000000001</v>
      </c>
      <c r="D13" s="20">
        <f t="shared" si="4"/>
        <v>31.271000000000001</v>
      </c>
      <c r="E13" s="21">
        <f t="shared" si="1"/>
        <v>32.801228654727197</v>
      </c>
      <c r="F13" s="21">
        <f t="shared" si="1"/>
        <v>28.506569441936076</v>
      </c>
      <c r="G13" s="21">
        <f t="shared" si="1"/>
        <v>29.849911499023445</v>
      </c>
      <c r="H13" s="20">
        <f t="shared" si="5"/>
        <v>0.8418000000000001</v>
      </c>
      <c r="I13" s="20">
        <f t="shared" si="6"/>
        <v>0.51929999999999998</v>
      </c>
      <c r="J13" s="20">
        <f t="shared" si="7"/>
        <v>0.36179999999999995</v>
      </c>
    </row>
    <row r="14" spans="1:13">
      <c r="A14" s="21">
        <v>200</v>
      </c>
      <c r="B14" s="20">
        <f t="shared" si="2"/>
        <v>30.066000000000003</v>
      </c>
      <c r="C14" s="20">
        <f t="shared" si="3"/>
        <v>31.846000000000004</v>
      </c>
      <c r="D14" s="20">
        <f t="shared" si="4"/>
        <v>31.626000000000001</v>
      </c>
      <c r="E14" s="21">
        <f t="shared" si="1"/>
        <v>58.313295386181686</v>
      </c>
      <c r="F14" s="21">
        <f t="shared" si="1"/>
        <v>50.678345674553029</v>
      </c>
      <c r="G14" s="21">
        <f t="shared" si="1"/>
        <v>53.066509331597238</v>
      </c>
      <c r="H14" s="20">
        <f t="shared" si="5"/>
        <v>0.93179999999999996</v>
      </c>
      <c r="I14" s="20">
        <f t="shared" si="6"/>
        <v>0.65179999999999993</v>
      </c>
      <c r="J14" s="20">
        <f t="shared" si="7"/>
        <v>0.47179999999999994</v>
      </c>
    </row>
    <row r="15" spans="1:13">
      <c r="A15" s="21">
        <v>250</v>
      </c>
      <c r="B15" s="20">
        <f t="shared" si="2"/>
        <v>27.681000000000001</v>
      </c>
      <c r="C15" s="20">
        <f t="shared" si="3"/>
        <v>31.781000000000002</v>
      </c>
      <c r="D15" s="20">
        <f t="shared" si="4"/>
        <v>31.881</v>
      </c>
      <c r="E15" s="21"/>
      <c r="F15" s="21"/>
      <c r="G15" s="21"/>
      <c r="H15" s="20">
        <f t="shared" si="5"/>
        <v>0.92180000000000017</v>
      </c>
      <c r="I15" s="20">
        <f t="shared" si="6"/>
        <v>0.75930000000000009</v>
      </c>
      <c r="J15" s="20">
        <f t="shared" si="7"/>
        <v>0.57179999999999997</v>
      </c>
    </row>
    <row r="16" spans="1:13">
      <c r="A16" s="21">
        <v>300</v>
      </c>
      <c r="B16" s="20">
        <f t="shared" si="2"/>
        <v>24.295999999999999</v>
      </c>
      <c r="C16" s="20">
        <f t="shared" si="3"/>
        <v>31.466000000000001</v>
      </c>
      <c r="D16" s="20">
        <f t="shared" si="4"/>
        <v>32.036000000000001</v>
      </c>
      <c r="H16" s="20">
        <f t="shared" si="5"/>
        <v>0.81180000000000008</v>
      </c>
      <c r="I16" s="20">
        <f t="shared" si="6"/>
        <v>0.8418000000000001</v>
      </c>
      <c r="J16" s="20">
        <f t="shared" si="7"/>
        <v>0.66179999999999994</v>
      </c>
    </row>
    <row r="17" spans="1:10">
      <c r="A17" s="21">
        <v>350</v>
      </c>
      <c r="B17" s="20">
        <f t="shared" si="2"/>
        <v>19.911000000000001</v>
      </c>
      <c r="C17" s="20">
        <f t="shared" si="3"/>
        <v>30.901000000000003</v>
      </c>
      <c r="D17" s="20">
        <f t="shared" si="4"/>
        <v>32.091000000000001</v>
      </c>
      <c r="H17" s="20">
        <f t="shared" si="5"/>
        <v>0.60179999999999989</v>
      </c>
      <c r="I17" s="20">
        <f t="shared" si="6"/>
        <v>0.89929999999999999</v>
      </c>
      <c r="J17" s="20">
        <f t="shared" si="7"/>
        <v>0.7417999999999999</v>
      </c>
    </row>
    <row r="18" spans="1:10">
      <c r="A18" s="21">
        <v>400</v>
      </c>
      <c r="B18" s="20">
        <f t="shared" si="2"/>
        <v>14.526</v>
      </c>
      <c r="C18" s="20">
        <f t="shared" si="3"/>
        <v>30.086000000000002</v>
      </c>
      <c r="D18" s="20">
        <f t="shared" si="4"/>
        <v>32.045999999999999</v>
      </c>
      <c r="H18" s="20">
        <f t="shared" si="5"/>
        <v>0.29179999999999984</v>
      </c>
      <c r="I18" s="20">
        <f t="shared" si="6"/>
        <v>0.93179999999999996</v>
      </c>
      <c r="J18" s="20">
        <f t="shared" si="7"/>
        <v>0.81179999999999986</v>
      </c>
    </row>
    <row r="20" spans="1:10">
      <c r="A20" s="21"/>
      <c r="B20" s="21"/>
      <c r="C20" s="21"/>
      <c r="D20" s="21"/>
    </row>
    <row r="21" spans="1:10">
      <c r="A21" s="21"/>
      <c r="B21" s="21"/>
      <c r="C21" s="21"/>
      <c r="D21" s="21"/>
    </row>
    <row r="22" spans="1:10">
      <c r="A22" s="21"/>
      <c r="B22" s="21"/>
      <c r="C22" s="21"/>
      <c r="D22" s="21"/>
    </row>
    <row r="23" spans="1:10">
      <c r="A23" s="21"/>
      <c r="B23" s="21"/>
      <c r="C23" s="21"/>
      <c r="D23" s="21"/>
    </row>
    <row r="24" spans="1:10">
      <c r="A24" s="21"/>
      <c r="B24" s="21"/>
      <c r="C24" s="21"/>
      <c r="D24" s="21"/>
    </row>
    <row r="25" spans="1:10">
      <c r="A25" s="21"/>
      <c r="B25" s="21"/>
      <c r="C25" s="21"/>
      <c r="D25" s="21"/>
    </row>
    <row r="26" spans="1:10">
      <c r="A26" s="21"/>
      <c r="B26" s="21"/>
      <c r="C26" s="21"/>
      <c r="D26" s="21"/>
    </row>
    <row r="27" spans="1:10">
      <c r="A27" s="21"/>
      <c r="B27" s="21"/>
      <c r="C27" s="21"/>
      <c r="D27" s="21"/>
    </row>
    <row r="28" spans="1:10">
      <c r="A28" s="21"/>
      <c r="B28" s="21"/>
      <c r="C28" s="21"/>
      <c r="D28" s="21"/>
    </row>
    <row r="29" spans="1:10">
      <c r="A29" s="21"/>
      <c r="B29" s="21"/>
      <c r="C29" s="21"/>
      <c r="D29" s="21"/>
      <c r="E29" s="21"/>
      <c r="F29" s="21"/>
      <c r="G29" s="2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8" sqref="F8"/>
    </sheetView>
  </sheetViews>
  <sheetFormatPr defaultRowHeight="14.25"/>
  <sheetData>
    <row r="1" spans="1:6">
      <c r="A1" s="20" t="s">
        <v>59</v>
      </c>
      <c r="B1" s="20" t="s">
        <v>137</v>
      </c>
    </row>
    <row r="3" spans="1:6">
      <c r="A3" s="21" t="s">
        <v>82</v>
      </c>
      <c r="B3" s="2">
        <v>140.4</v>
      </c>
      <c r="C3" s="2">
        <v>137</v>
      </c>
      <c r="D3" s="2">
        <v>138.5</v>
      </c>
    </row>
    <row r="4" spans="1:6">
      <c r="A4" s="21" t="s">
        <v>138</v>
      </c>
      <c r="B4" s="2">
        <v>1</v>
      </c>
      <c r="C4" s="2">
        <v>0.94</v>
      </c>
      <c r="D4" s="2">
        <v>0.94</v>
      </c>
    </row>
    <row r="5" spans="1:6">
      <c r="A5" s="21" t="s">
        <v>92</v>
      </c>
      <c r="B5" s="21">
        <f>-0.0002*B3^2+0.0423*B3*B4+29.606*B4^2</f>
        <v>31.602488000000001</v>
      </c>
      <c r="C5" s="21">
        <f>-0.00005*C3^2 + 0.0212*C3*C4 + 29.606*C4^2</f>
        <v>27.951547599999998</v>
      </c>
      <c r="D5" s="21">
        <f>-0.00002*D3^2 + 0.0141*D3 *D4+ 29.606*D4^2</f>
        <v>27.6118956</v>
      </c>
    </row>
    <row r="6" spans="1:6">
      <c r="A6" s="21" t="s">
        <v>93</v>
      </c>
      <c r="B6" s="21">
        <f>B5/B3/B3</f>
        <v>1.603197620149187E-3</v>
      </c>
      <c r="C6" s="21">
        <f t="shared" ref="C6:D6" si="0">C5/C3/C3</f>
        <v>1.4892401086898609E-3</v>
      </c>
      <c r="D6" s="21">
        <f t="shared" si="0"/>
        <v>1.4394503043177937E-3</v>
      </c>
    </row>
    <row r="7" spans="1:6">
      <c r="A7" s="21" t="s">
        <v>129</v>
      </c>
      <c r="B7" s="20">
        <v>1</v>
      </c>
      <c r="C7" s="20">
        <v>2</v>
      </c>
      <c r="D7" s="20">
        <v>3</v>
      </c>
    </row>
    <row r="8" spans="1:6">
      <c r="A8" s="21" t="s">
        <v>134</v>
      </c>
      <c r="B8" s="20">
        <f>-0.00002*$B3^2+ 0.0088*$B3 - 0.0282</f>
        <v>0.81307680000000015</v>
      </c>
      <c r="C8" s="20">
        <f>-0.000005*$C3^2+ 0.0044*$C3 - 0.0282</f>
        <v>0.48075500000000004</v>
      </c>
      <c r="D8" s="20">
        <f>-0.000002*$D3^2+ 0.0029*$D3 - 0.0282</f>
        <v>0.33508549999999993</v>
      </c>
    </row>
    <row r="10" spans="1:6">
      <c r="A10" s="20" t="s">
        <v>130</v>
      </c>
      <c r="B10" t="s">
        <v>84</v>
      </c>
      <c r="C10" t="s">
        <v>85</v>
      </c>
      <c r="D10" t="s">
        <v>86</v>
      </c>
      <c r="E10" t="s">
        <v>139</v>
      </c>
      <c r="F10" t="s">
        <v>140</v>
      </c>
    </row>
    <row r="11" spans="1:6">
      <c r="A11" s="21">
        <v>0</v>
      </c>
      <c r="B11" s="20">
        <f>-0.0002*A11^2+0.0423*A11+29.606</f>
        <v>29.606000000000002</v>
      </c>
      <c r="C11" s="20">
        <f t="shared" ref="C11:C19" si="1">-0.00005*A11^2 + 0.0212*A11 *C$4+ 29.606*C$4^2</f>
        <v>26.159861599999999</v>
      </c>
      <c r="D11" s="20">
        <f t="shared" ref="D11:D19" si="2">-0.00002*A11^2 + 0.0141*A11*D$4 + 29.606*D$4^2</f>
        <v>26.159861599999999</v>
      </c>
      <c r="E11" s="20">
        <f>-0.00005*A11^2 + 0.0212*A11 + 29.606</f>
        <v>29.606000000000002</v>
      </c>
      <c r="F11" s="20">
        <f>-0.00002*A11^2 + 0.0141*A11 + 29.606</f>
        <v>29.606000000000002</v>
      </c>
    </row>
    <row r="12" spans="1:6">
      <c r="A12" s="21">
        <v>50</v>
      </c>
      <c r="B12" s="20">
        <f t="shared" ref="B12:B19" si="3">-0.0002*A12^2+0.0423*A12+29.606</f>
        <v>31.221</v>
      </c>
      <c r="C12" s="20">
        <f t="shared" si="1"/>
        <v>27.031261600000001</v>
      </c>
      <c r="D12" s="20">
        <f t="shared" si="2"/>
        <v>26.7725616</v>
      </c>
      <c r="E12" s="20">
        <f t="shared" ref="E12:E19" si="4">-0.00005*A12^2 + 0.0212*A12 + 29.606</f>
        <v>30.541</v>
      </c>
      <c r="F12" s="20">
        <f t="shared" ref="F12:F19" si="5">-0.00002*A12^2 + 0.0141*A12 + 29.606</f>
        <v>30.261000000000003</v>
      </c>
    </row>
    <row r="13" spans="1:6">
      <c r="A13" s="21">
        <v>100</v>
      </c>
      <c r="B13" s="20">
        <f t="shared" si="3"/>
        <v>31.836000000000002</v>
      </c>
      <c r="C13" s="20">
        <f t="shared" si="1"/>
        <v>27.652661599999998</v>
      </c>
      <c r="D13" s="20">
        <f t="shared" si="2"/>
        <v>27.285261599999998</v>
      </c>
      <c r="E13" s="20">
        <f t="shared" si="4"/>
        <v>31.226000000000003</v>
      </c>
      <c r="F13" s="20">
        <f t="shared" si="5"/>
        <v>30.816000000000003</v>
      </c>
    </row>
    <row r="14" spans="1:6">
      <c r="A14" s="21">
        <v>150</v>
      </c>
      <c r="B14" s="20">
        <f t="shared" si="3"/>
        <v>31.451000000000001</v>
      </c>
      <c r="C14" s="20">
        <f t="shared" si="1"/>
        <v>28.0240616</v>
      </c>
      <c r="D14" s="20">
        <f t="shared" si="2"/>
        <v>27.697961599999999</v>
      </c>
      <c r="E14" s="20">
        <f t="shared" si="4"/>
        <v>31.661000000000001</v>
      </c>
      <c r="F14" s="20">
        <f t="shared" si="5"/>
        <v>31.271000000000001</v>
      </c>
    </row>
    <row r="15" spans="1:6">
      <c r="A15" s="21">
        <v>200</v>
      </c>
      <c r="B15" s="20">
        <f t="shared" si="3"/>
        <v>30.066000000000003</v>
      </c>
      <c r="C15" s="20">
        <f t="shared" si="1"/>
        <v>28.145461599999997</v>
      </c>
      <c r="D15" s="20">
        <f t="shared" si="2"/>
        <v>28.010661599999999</v>
      </c>
      <c r="E15" s="20">
        <f t="shared" si="4"/>
        <v>31.846000000000004</v>
      </c>
      <c r="F15" s="20">
        <f t="shared" si="5"/>
        <v>31.626000000000001</v>
      </c>
    </row>
    <row r="16" spans="1:6">
      <c r="A16" s="21">
        <v>250</v>
      </c>
      <c r="B16" s="20">
        <f t="shared" si="3"/>
        <v>27.681000000000001</v>
      </c>
      <c r="C16" s="20">
        <f t="shared" si="1"/>
        <v>28.016861599999999</v>
      </c>
      <c r="D16" s="20">
        <f t="shared" si="2"/>
        <v>28.2233616</v>
      </c>
      <c r="E16" s="20">
        <f t="shared" si="4"/>
        <v>31.781000000000002</v>
      </c>
      <c r="F16" s="20">
        <f t="shared" si="5"/>
        <v>31.881</v>
      </c>
    </row>
    <row r="17" spans="1:6">
      <c r="A17" s="21">
        <v>300</v>
      </c>
      <c r="B17" s="20">
        <f t="shared" si="3"/>
        <v>24.295999999999999</v>
      </c>
      <c r="C17" s="20">
        <f t="shared" si="1"/>
        <v>27.6382616</v>
      </c>
      <c r="D17" s="20">
        <f t="shared" si="2"/>
        <v>28.336061600000001</v>
      </c>
      <c r="E17" s="20">
        <f t="shared" si="4"/>
        <v>31.466000000000001</v>
      </c>
      <c r="F17" s="20">
        <f t="shared" si="5"/>
        <v>32.036000000000001</v>
      </c>
    </row>
    <row r="18" spans="1:6">
      <c r="A18" s="21">
        <v>350</v>
      </c>
      <c r="B18" s="20">
        <f t="shared" si="3"/>
        <v>19.911000000000001</v>
      </c>
      <c r="C18" s="20">
        <f t="shared" si="1"/>
        <v>27.009661599999998</v>
      </c>
      <c r="D18" s="20">
        <f t="shared" si="2"/>
        <v>28.3487616</v>
      </c>
      <c r="E18" s="20">
        <f t="shared" si="4"/>
        <v>30.901000000000003</v>
      </c>
      <c r="F18" s="20">
        <f t="shared" si="5"/>
        <v>32.091000000000001</v>
      </c>
    </row>
    <row r="19" spans="1:6">
      <c r="A19" s="21">
        <v>400</v>
      </c>
      <c r="B19" s="20">
        <f t="shared" si="3"/>
        <v>14.526</v>
      </c>
      <c r="C19" s="20">
        <f t="shared" si="1"/>
        <v>26.131061599999999</v>
      </c>
      <c r="D19" s="20">
        <f t="shared" si="2"/>
        <v>28.261461599999997</v>
      </c>
      <c r="E19" s="20">
        <f t="shared" si="4"/>
        <v>30.086000000000002</v>
      </c>
      <c r="F19" s="20">
        <f t="shared" si="5"/>
        <v>32.045999999999999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1617数据</vt:lpstr>
      <vt:lpstr>设计点验证</vt:lpstr>
      <vt:lpstr>机组负荷分配</vt:lpstr>
      <vt:lpstr>冷冻水泵并联流量增量（2机组）</vt:lpstr>
      <vt:lpstr>机组冷却塔对管路影响</vt:lpstr>
      <vt:lpstr>18数据</vt:lpstr>
      <vt:lpstr>冷冻水泵并联流量增量（1机组）</vt:lpstr>
      <vt:lpstr>冷冻水泵并联流量增量（2机组）2.0</vt:lpstr>
      <vt:lpstr>变频台数优化</vt:lpstr>
      <vt:lpstr>机组性能</vt:lpstr>
      <vt:lpstr>阻抗与部分负荷率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asswlbs</dc:creator>
  <cp:lastModifiedBy>Administrator</cp:lastModifiedBy>
  <dcterms:created xsi:type="dcterms:W3CDTF">2017-05-16T09:25:45Z</dcterms:created>
  <dcterms:modified xsi:type="dcterms:W3CDTF">2017-06-08T10:02:09Z</dcterms:modified>
</cp:coreProperties>
</file>