
<file path=[Content_Types].xml><?xml version="1.0" encoding="utf-8"?>
<Types xmlns="http://schemas.openxmlformats.org/package/2006/content-types">
  <Default Extension="png" ContentType="image/png"/>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sdx" ContentType="application/vnd.ms-visio.drawing"/>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omments1.xml" ContentType="application/vnd.openxmlformats-officedocument.spreadsheetml.comments+xml"/>
  <Override PartName="/xl/drawings/drawing13.xml" ContentType="application/vnd.openxmlformats-officedocument.drawing+xml"/>
  <Override PartName="/xl/comments2.xml" ContentType="application/vnd.openxmlformats-officedocument.spreadsheetml.comments+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omments3.xml" ContentType="application/vnd.openxmlformats-officedocument.spreadsheetml.comments+xml"/>
  <Override PartName="/xl/drawings/drawing2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53222"/>
  <mc:AlternateContent xmlns:mc="http://schemas.openxmlformats.org/markup-compatibility/2006">
    <mc:Choice Requires="x15">
      <x15ac:absPath xmlns:x15ac="http://schemas.microsoft.com/office/spreadsheetml/2010/11/ac" url="C:\Users\Gerencia\Desktop\"/>
    </mc:Choice>
  </mc:AlternateContent>
  <bookViews>
    <workbookView xWindow="0" yWindow="0" windowWidth="16815" windowHeight="7755" tabRatio="696" firstSheet="6" activeTab="19"/>
  </bookViews>
  <sheets>
    <sheet name="GE.O" sheetId="1" r:id="rId1"/>
    <sheet name="MI" sheetId="6" r:id="rId2"/>
    <sheet name="VI" sheetId="7" r:id="rId3"/>
    <sheet name="VA" sheetId="8" r:id="rId4"/>
    <sheet name="M.P" sheetId="10" r:id="rId5"/>
    <sheet name="PERFIL COMPETI" sheetId="11" r:id="rId6"/>
    <sheet name="FODA" sheetId="26" r:id="rId7"/>
    <sheet name="OB." sheetId="12" r:id="rId8"/>
    <sheet name="CL" sheetId="14" r:id="rId9"/>
    <sheet name="PR" sheetId="15" r:id="rId10"/>
    <sheet name="AP" sheetId="16" r:id="rId11"/>
    <sheet name="ES" sheetId="17" r:id="rId12"/>
    <sheet name="ES.CL" sheetId="18" r:id="rId13"/>
    <sheet name="ES.PR" sheetId="19" r:id="rId14"/>
    <sheet name="ES.AP" sheetId="20" r:id="rId15"/>
    <sheet name="POA 21" sheetId="21" r:id="rId16"/>
    <sheet name="POA 22" sheetId="23" r:id="rId17"/>
    <sheet name="POA 23" sheetId="24" r:id="rId18"/>
    <sheet name="POA 24" sheetId="22" r:id="rId19"/>
    <sheet name="DB" sheetId="28" r:id="rId20"/>
    <sheet name="GRÁFICOS" sheetId="32" r:id="rId21"/>
    <sheet name="TABLA FI" sheetId="31" r:id="rId22"/>
    <sheet name="TABLA CL" sheetId="33" r:id="rId23"/>
    <sheet name="TABLA PR" sheetId="34" r:id="rId24"/>
    <sheet name="TABLA AP " sheetId="35" r:id="rId25"/>
    <sheet name="Hoja2" sheetId="30" r:id="rId26"/>
    <sheet name="Hoja1" sheetId="36" r:id="rId27"/>
  </sheets>
  <definedNames>
    <definedName name="_xlnm._FilterDatabase" localSheetId="15" hidden="1">'POA 21'!$B$8:$T$93</definedName>
    <definedName name="SegmentaciónDeDatos_INDICADOR">#N/A</definedName>
    <definedName name="SegmentaciónDeDatos_INDICADOR1">#N/A</definedName>
    <definedName name="SegmentaciónDeDatos_INDICADOR2">#N/A</definedName>
    <definedName name="SegmentaciónDeDatos_INDICADOR3">#N/A</definedName>
    <definedName name="SegmentaciónDeDatos_MES">#N/A</definedName>
    <definedName name="SegmentaciónDeDatos_MES1">#N/A</definedName>
    <definedName name="SegmentaciónDeDatos_MES2">#N/A</definedName>
    <definedName name="SegmentaciónDeDatos_MES3">#N/A</definedName>
  </definedNames>
  <calcPr calcId="152511"/>
  <pivotCaches>
    <pivotCache cacheId="0" r:id="rId28"/>
    <pivotCache cacheId="1" r:id="rId29"/>
    <pivotCache cacheId="2" r:id="rId30"/>
    <pivotCache cacheId="3" r:id="rId31"/>
  </pivotCaches>
  <extLst>
    <ext xmlns:x14="http://schemas.microsoft.com/office/spreadsheetml/2009/9/main" uri="{BBE1A952-AA13-448e-AADC-164F8A28A991}">
      <x14:slicerCaches>
        <x14:slicerCache r:id="rId32"/>
        <x14:slicerCache r:id="rId33"/>
        <x14:slicerCache r:id="rId34"/>
        <x14:slicerCache r:id="rId35"/>
        <x14:slicerCache r:id="rId36"/>
        <x14:slicerCache r:id="rId37"/>
        <x14:slicerCache r:id="rId38"/>
        <x14:slicerCache r:id="rId3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89" i="28" l="1"/>
  <c r="D5" i="30"/>
  <c r="D37" i="28"/>
  <c r="C37" i="28"/>
  <c r="B37" i="28"/>
  <c r="E3" i="30"/>
  <c r="D27" i="28"/>
  <c r="C27" i="28"/>
  <c r="B27" i="28"/>
  <c r="D17" i="28"/>
  <c r="C17" i="28"/>
  <c r="B17" i="28"/>
  <c r="P13" i="28"/>
  <c r="P11" i="28"/>
  <c r="D3" i="30" s="1"/>
  <c r="P9" i="28"/>
  <c r="H4" i="21"/>
  <c r="N184" i="28"/>
  <c r="AY233" i="21"/>
  <c r="AY231" i="21"/>
  <c r="AY229" i="21"/>
  <c r="AY227" i="21"/>
  <c r="AY225" i="21"/>
  <c r="AY219" i="21"/>
  <c r="AY215" i="21"/>
  <c r="AY211" i="21"/>
  <c r="AY205" i="21"/>
  <c r="AY203" i="21"/>
  <c r="AY201" i="21"/>
  <c r="AY180" i="21"/>
  <c r="AY178" i="21"/>
  <c r="AY170" i="21"/>
  <c r="AY168" i="21"/>
  <c r="AY160" i="21"/>
  <c r="AY145" i="21"/>
  <c r="AY141" i="21"/>
  <c r="AY117" i="21"/>
  <c r="AY109" i="21"/>
  <c r="AY99" i="21"/>
  <c r="E158" i="30" l="1"/>
  <c r="E157" i="30"/>
  <c r="E156" i="30"/>
  <c r="E155" i="30"/>
  <c r="E154" i="30"/>
  <c r="E153" i="30"/>
  <c r="E152" i="30"/>
  <c r="E151" i="30"/>
  <c r="E150" i="30"/>
  <c r="E149" i="30"/>
  <c r="E148" i="30"/>
  <c r="E147" i="30"/>
  <c r="E146" i="30"/>
  <c r="E145" i="30"/>
  <c r="E144" i="30"/>
  <c r="E143" i="30"/>
  <c r="E142" i="30"/>
  <c r="E141" i="30"/>
  <c r="E140" i="30"/>
  <c r="E139" i="30"/>
  <c r="E138" i="30"/>
  <c r="E137" i="30"/>
  <c r="E136" i="30"/>
  <c r="E135" i="30"/>
  <c r="E134" i="30"/>
  <c r="E133" i="30"/>
  <c r="E132" i="30"/>
  <c r="E131" i="30"/>
  <c r="E130" i="30"/>
  <c r="E129" i="30"/>
  <c r="E128" i="30"/>
  <c r="E127" i="30"/>
  <c r="E126" i="30"/>
  <c r="E125" i="30"/>
  <c r="E124" i="30"/>
  <c r="E123" i="30"/>
  <c r="K122" i="30"/>
  <c r="E122" i="30"/>
  <c r="K121" i="30"/>
  <c r="E121" i="30"/>
  <c r="K120" i="30"/>
  <c r="E120" i="30"/>
  <c r="K119" i="30"/>
  <c r="E119" i="30"/>
  <c r="K118" i="30"/>
  <c r="E118" i="30"/>
  <c r="K117" i="30"/>
  <c r="E117" i="30"/>
  <c r="K116" i="30"/>
  <c r="E116" i="30"/>
  <c r="K115" i="30"/>
  <c r="E115" i="30"/>
  <c r="K114" i="30"/>
  <c r="E114" i="30"/>
  <c r="K113" i="30"/>
  <c r="E113" i="30"/>
  <c r="K112" i="30"/>
  <c r="E112" i="30"/>
  <c r="K111" i="30"/>
  <c r="E111" i="30"/>
  <c r="K110" i="30"/>
  <c r="E110" i="30"/>
  <c r="K109" i="30"/>
  <c r="E109" i="30"/>
  <c r="K108" i="30"/>
  <c r="E108" i="30"/>
  <c r="K107" i="30"/>
  <c r="E107" i="30"/>
  <c r="K106" i="30"/>
  <c r="E106" i="30"/>
  <c r="K105" i="30"/>
  <c r="E105" i="30"/>
  <c r="K104" i="30"/>
  <c r="E104" i="30"/>
  <c r="K103" i="30"/>
  <c r="E103" i="30"/>
  <c r="K102" i="30"/>
  <c r="E102" i="30"/>
  <c r="K101" i="30"/>
  <c r="E101" i="30"/>
  <c r="K100" i="30"/>
  <c r="E100" i="30"/>
  <c r="K99" i="30"/>
  <c r="E99" i="30"/>
  <c r="K98" i="30"/>
  <c r="E98" i="30"/>
  <c r="K97" i="30"/>
  <c r="E97" i="30"/>
  <c r="K96" i="30"/>
  <c r="E96" i="30"/>
  <c r="K95" i="30"/>
  <c r="E95" i="30"/>
  <c r="K94" i="30"/>
  <c r="E94" i="30"/>
  <c r="K93" i="30"/>
  <c r="E93" i="30"/>
  <c r="K92" i="30"/>
  <c r="E92" i="30"/>
  <c r="K91" i="30"/>
  <c r="E91" i="30"/>
  <c r="K90" i="30"/>
  <c r="E90" i="30"/>
  <c r="K89" i="30"/>
  <c r="E89" i="30"/>
  <c r="K88" i="30"/>
  <c r="E88" i="30"/>
  <c r="K87" i="30"/>
  <c r="E87" i="30"/>
  <c r="K86" i="30"/>
  <c r="E86" i="30"/>
  <c r="K85" i="30"/>
  <c r="E85" i="30"/>
  <c r="K84" i="30"/>
  <c r="E84" i="30"/>
  <c r="K83" i="30"/>
  <c r="E83" i="30"/>
  <c r="K82" i="30"/>
  <c r="E82" i="30"/>
  <c r="K81" i="30"/>
  <c r="E81" i="30"/>
  <c r="K80" i="30"/>
  <c r="E80" i="30"/>
  <c r="K79" i="30"/>
  <c r="E79" i="30"/>
  <c r="K78" i="30"/>
  <c r="E78" i="30"/>
  <c r="K77" i="30"/>
  <c r="E77" i="30"/>
  <c r="K76" i="30"/>
  <c r="E76" i="30"/>
  <c r="K75" i="30"/>
  <c r="E75" i="30"/>
  <c r="Q74" i="30"/>
  <c r="K74" i="30"/>
  <c r="E74" i="30"/>
  <c r="Q73" i="30"/>
  <c r="K73" i="30"/>
  <c r="E73" i="30"/>
  <c r="Q72" i="30"/>
  <c r="K72" i="30"/>
  <c r="E72" i="30"/>
  <c r="K71" i="30"/>
  <c r="E71" i="30"/>
  <c r="K70" i="30"/>
  <c r="E70" i="30"/>
  <c r="K69" i="30"/>
  <c r="E69" i="30"/>
  <c r="Q68" i="30"/>
  <c r="K68" i="30"/>
  <c r="E68" i="30"/>
  <c r="Q67" i="30"/>
  <c r="K67" i="30"/>
  <c r="E67" i="30"/>
  <c r="Q66" i="30"/>
  <c r="K66" i="30"/>
  <c r="E66" i="30"/>
  <c r="K65" i="30"/>
  <c r="E65" i="30"/>
  <c r="K64" i="30"/>
  <c r="E64" i="30"/>
  <c r="K63" i="30"/>
  <c r="E63" i="30"/>
  <c r="Q62" i="30"/>
  <c r="K62" i="30"/>
  <c r="E62" i="30"/>
  <c r="Q61" i="30"/>
  <c r="K61" i="30"/>
  <c r="E61" i="30"/>
  <c r="Q60" i="30"/>
  <c r="K60" i="30"/>
  <c r="E60" i="30"/>
  <c r="K59" i="30"/>
  <c r="E59" i="30"/>
  <c r="K58" i="30"/>
  <c r="E58" i="30"/>
  <c r="K57" i="30"/>
  <c r="E57" i="30"/>
  <c r="Q56" i="30"/>
  <c r="K56" i="30"/>
  <c r="E56" i="30"/>
  <c r="Q55" i="30"/>
  <c r="K55" i="30"/>
  <c r="E55" i="30"/>
  <c r="Q54" i="30"/>
  <c r="K54" i="30"/>
  <c r="E54" i="30"/>
  <c r="K53" i="30"/>
  <c r="E53" i="30"/>
  <c r="K52" i="30"/>
  <c r="E52" i="30"/>
  <c r="K51" i="30"/>
  <c r="E51" i="30"/>
  <c r="Q50" i="30"/>
  <c r="K50" i="30"/>
  <c r="E50" i="30"/>
  <c r="Q49" i="30"/>
  <c r="K49" i="30"/>
  <c r="E49" i="30"/>
  <c r="Q48" i="30"/>
  <c r="K48" i="30"/>
  <c r="E48" i="30"/>
  <c r="K47" i="30"/>
  <c r="E47" i="30"/>
  <c r="K46" i="30"/>
  <c r="E46" i="30"/>
  <c r="K45" i="30"/>
  <c r="E45" i="30"/>
  <c r="Q44" i="30"/>
  <c r="K44" i="30"/>
  <c r="E44" i="30"/>
  <c r="Q43" i="30"/>
  <c r="K43" i="30"/>
  <c r="E43" i="30"/>
  <c r="Q42" i="30"/>
  <c r="K42" i="30"/>
  <c r="E42" i="30"/>
  <c r="K41" i="30"/>
  <c r="E41" i="30"/>
  <c r="K40" i="30"/>
  <c r="E40" i="30"/>
  <c r="K39" i="30"/>
  <c r="E39" i="30"/>
  <c r="W38" i="30"/>
  <c r="Q38" i="30"/>
  <c r="K38" i="30"/>
  <c r="E38" i="30"/>
  <c r="W37" i="30"/>
  <c r="Q37" i="30"/>
  <c r="K37" i="30"/>
  <c r="E37" i="30"/>
  <c r="W36" i="30"/>
  <c r="Q36" i="30"/>
  <c r="K36" i="30"/>
  <c r="E36" i="30"/>
  <c r="W35" i="30"/>
  <c r="K35" i="30"/>
  <c r="E35" i="30"/>
  <c r="W34" i="30"/>
  <c r="K34" i="30"/>
  <c r="E34" i="30"/>
  <c r="W33" i="30"/>
  <c r="K33" i="30"/>
  <c r="E33" i="30"/>
  <c r="W32" i="30"/>
  <c r="Q32" i="30"/>
  <c r="K32" i="30"/>
  <c r="E32" i="30"/>
  <c r="W31" i="30"/>
  <c r="Q31" i="30"/>
  <c r="K31" i="30"/>
  <c r="W30" i="30"/>
  <c r="Q30" i="30"/>
  <c r="K30" i="30"/>
  <c r="W29" i="30"/>
  <c r="K29" i="30"/>
  <c r="E29" i="30"/>
  <c r="W28" i="30"/>
  <c r="K28" i="30"/>
  <c r="E28" i="30"/>
  <c r="W27" i="30"/>
  <c r="K27" i="30"/>
  <c r="E27" i="30"/>
  <c r="W26" i="30"/>
  <c r="Q26" i="30"/>
  <c r="K26" i="30"/>
  <c r="E26" i="30"/>
  <c r="W25" i="30"/>
  <c r="Q25" i="30"/>
  <c r="K25" i="30"/>
  <c r="E25" i="30"/>
  <c r="W24" i="30"/>
  <c r="Q24" i="30"/>
  <c r="K24" i="30"/>
  <c r="E24" i="30"/>
  <c r="W23" i="30"/>
  <c r="K23" i="30"/>
  <c r="E23" i="30"/>
  <c r="W22" i="30"/>
  <c r="K22" i="30"/>
  <c r="E22" i="30"/>
  <c r="W21" i="30"/>
  <c r="K21" i="30"/>
  <c r="E21" i="30"/>
  <c r="W20" i="30"/>
  <c r="Q20" i="30"/>
  <c r="K20" i="30"/>
  <c r="E20" i="30"/>
  <c r="W19" i="30"/>
  <c r="Q19" i="30"/>
  <c r="K19" i="30"/>
  <c r="E19" i="30"/>
  <c r="W18" i="30"/>
  <c r="Q18" i="30"/>
  <c r="K18" i="30"/>
  <c r="W17" i="30"/>
  <c r="K17" i="30"/>
  <c r="W16" i="30"/>
  <c r="K16" i="30"/>
  <c r="E16" i="30"/>
  <c r="W15" i="30"/>
  <c r="K15" i="30"/>
  <c r="E15" i="30"/>
  <c r="W14" i="30"/>
  <c r="Q14" i="30"/>
  <c r="K14" i="30"/>
  <c r="E14" i="30"/>
  <c r="D14" i="30"/>
  <c r="D27" i="30" s="1"/>
  <c r="D40" i="30" s="1"/>
  <c r="W13" i="30"/>
  <c r="Q13" i="30"/>
  <c r="K13" i="30"/>
  <c r="E13" i="30"/>
  <c r="D13" i="30"/>
  <c r="W12" i="30"/>
  <c r="Q12" i="30"/>
  <c r="K12" i="30"/>
  <c r="E12" i="30"/>
  <c r="W11" i="30"/>
  <c r="K11" i="30"/>
  <c r="J11" i="30"/>
  <c r="J21" i="30" s="1"/>
  <c r="J31" i="30" s="1"/>
  <c r="J41" i="30" s="1"/>
  <c r="E11" i="30"/>
  <c r="D11" i="30"/>
  <c r="D24" i="30" s="1"/>
  <c r="W10" i="30"/>
  <c r="K10" i="30"/>
  <c r="J10" i="30"/>
  <c r="J20" i="30" s="1"/>
  <c r="E10" i="30"/>
  <c r="D10" i="30"/>
  <c r="D23" i="30" s="1"/>
  <c r="D36" i="30" s="1"/>
  <c r="W9" i="30"/>
  <c r="K9" i="30"/>
  <c r="J9" i="30"/>
  <c r="J19" i="30" s="1"/>
  <c r="J29" i="30" s="1"/>
  <c r="J39" i="30" s="1"/>
  <c r="J49" i="30" s="1"/>
  <c r="E9" i="30"/>
  <c r="D9" i="30"/>
  <c r="D22" i="30" s="1"/>
  <c r="W8" i="30"/>
  <c r="Q8" i="30"/>
  <c r="P8" i="30"/>
  <c r="P14" i="30" s="1"/>
  <c r="K8" i="30"/>
  <c r="E8" i="30"/>
  <c r="D8" i="30"/>
  <c r="D21" i="30" s="1"/>
  <c r="D34" i="30" s="1"/>
  <c r="W7" i="30"/>
  <c r="Q7" i="30"/>
  <c r="P7" i="30"/>
  <c r="P13" i="30" s="1"/>
  <c r="P19" i="30" s="1"/>
  <c r="K7" i="30"/>
  <c r="E7" i="30"/>
  <c r="D7" i="30"/>
  <c r="W6" i="30"/>
  <c r="Q6" i="30"/>
  <c r="P6" i="30"/>
  <c r="P12" i="30" s="1"/>
  <c r="K6" i="30"/>
  <c r="E6" i="30"/>
  <c r="W5" i="30"/>
  <c r="V5" i="30"/>
  <c r="V8" i="30" s="1"/>
  <c r="V11" i="30" s="1"/>
  <c r="V14" i="30" s="1"/>
  <c r="V17" i="30" s="1"/>
  <c r="K5" i="30"/>
  <c r="W4" i="30"/>
  <c r="V4" i="30"/>
  <c r="V7" i="30" s="1"/>
  <c r="V10" i="30" s="1"/>
  <c r="K4" i="30"/>
  <c r="W3" i="30"/>
  <c r="V3" i="30"/>
  <c r="V6" i="30" s="1"/>
  <c r="V9" i="30" s="1"/>
  <c r="V12" i="30" s="1"/>
  <c r="Q3" i="30"/>
  <c r="P3" i="30"/>
  <c r="P9" i="30" s="1"/>
  <c r="P15" i="30" s="1"/>
  <c r="K3" i="30"/>
  <c r="L230" i="28"/>
  <c r="L223" i="28"/>
  <c r="N210" i="28"/>
  <c r="Q71" i="30" s="1"/>
  <c r="M210" i="28"/>
  <c r="Q65" i="30" s="1"/>
  <c r="L210" i="28"/>
  <c r="Q59" i="30" s="1"/>
  <c r="K210" i="28"/>
  <c r="Q53" i="30" s="1"/>
  <c r="J210" i="28"/>
  <c r="Q47" i="30" s="1"/>
  <c r="H210" i="28"/>
  <c r="Q41" i="30" s="1"/>
  <c r="G210" i="28"/>
  <c r="Q35" i="30" s="1"/>
  <c r="F210" i="28"/>
  <c r="Q29" i="30" s="1"/>
  <c r="E210" i="28"/>
  <c r="Q23" i="30" s="1"/>
  <c r="D210" i="28"/>
  <c r="Q17" i="30" s="1"/>
  <c r="C210" i="28"/>
  <c r="Q11" i="30" s="1"/>
  <c r="B210" i="28"/>
  <c r="Q5" i="30" s="1"/>
  <c r="N205" i="28"/>
  <c r="P5" i="30" s="1"/>
  <c r="P11" i="30" s="1"/>
  <c r="P17" i="30" s="1"/>
  <c r="P23" i="30" s="1"/>
  <c r="N201" i="28"/>
  <c r="Q70" i="30" s="1"/>
  <c r="M201" i="28"/>
  <c r="Q64" i="30" s="1"/>
  <c r="L201" i="28"/>
  <c r="Q58" i="30" s="1"/>
  <c r="K201" i="28"/>
  <c r="Q52" i="30" s="1"/>
  <c r="J201" i="28"/>
  <c r="Q46" i="30" s="1"/>
  <c r="H201" i="28"/>
  <c r="Q40" i="30" s="1"/>
  <c r="G201" i="28"/>
  <c r="Q34" i="30" s="1"/>
  <c r="F201" i="28"/>
  <c r="Q28" i="30" s="1"/>
  <c r="E201" i="28"/>
  <c r="Q22" i="30" s="1"/>
  <c r="D201" i="28"/>
  <c r="Q16" i="30" s="1"/>
  <c r="C201" i="28"/>
  <c r="Q10" i="30" s="1"/>
  <c r="B201" i="28"/>
  <c r="Q4" i="30" s="1"/>
  <c r="N196" i="28"/>
  <c r="P4" i="30" s="1"/>
  <c r="P10" i="30" s="1"/>
  <c r="N189" i="28"/>
  <c r="Q69" i="30" s="1"/>
  <c r="M189" i="28"/>
  <c r="Q63" i="30" s="1"/>
  <c r="L189" i="28"/>
  <c r="Q57" i="30" s="1"/>
  <c r="K189" i="28"/>
  <c r="Q51" i="30" s="1"/>
  <c r="J189" i="28"/>
  <c r="Q45" i="30" s="1"/>
  <c r="H189" i="28"/>
  <c r="Q39" i="30" s="1"/>
  <c r="G189" i="28"/>
  <c r="Q33" i="30" s="1"/>
  <c r="F189" i="28"/>
  <c r="Q27" i="30" s="1"/>
  <c r="E189" i="28"/>
  <c r="Q21" i="30" s="1"/>
  <c r="D189" i="28"/>
  <c r="Q15" i="30" s="1"/>
  <c r="C189" i="28"/>
  <c r="Q9" i="30" s="1"/>
  <c r="L176" i="28"/>
  <c r="L175" i="28"/>
  <c r="L174" i="28"/>
  <c r="J12" i="30" s="1"/>
  <c r="J22" i="30" s="1"/>
  <c r="J32" i="30" s="1"/>
  <c r="L148" i="28"/>
  <c r="L147" i="28"/>
  <c r="J8" i="30" s="1"/>
  <c r="J18" i="30" s="1"/>
  <c r="L146" i="28"/>
  <c r="L141" i="28"/>
  <c r="L140" i="28" s="1"/>
  <c r="L134" i="28"/>
  <c r="L133" i="28"/>
  <c r="J6" i="30" s="1"/>
  <c r="J16" i="30" s="1"/>
  <c r="J26" i="30" s="1"/>
  <c r="L132" i="28"/>
  <c r="L127" i="28"/>
  <c r="L126" i="28"/>
  <c r="J5" i="30" s="1"/>
  <c r="J15" i="30" s="1"/>
  <c r="J25" i="30" s="1"/>
  <c r="J35" i="30" s="1"/>
  <c r="J45" i="30" s="1"/>
  <c r="L125" i="28"/>
  <c r="L120" i="28"/>
  <c r="L119" i="28"/>
  <c r="J4" i="30" s="1"/>
  <c r="J14" i="30" s="1"/>
  <c r="J24" i="30" s="1"/>
  <c r="L118" i="28"/>
  <c r="L113" i="28"/>
  <c r="L112" i="28"/>
  <c r="J3" i="30" s="1"/>
  <c r="J13" i="30" s="1"/>
  <c r="L111" i="28"/>
  <c r="L103" i="28"/>
  <c r="L102" i="28" s="1"/>
  <c r="L82" i="28"/>
  <c r="D12" i="30" s="1"/>
  <c r="D25" i="30" s="1"/>
  <c r="D38" i="30" s="1"/>
  <c r="L41" i="28"/>
  <c r="E31" i="30"/>
  <c r="E18" i="30"/>
  <c r="E5" i="30"/>
  <c r="E30" i="30"/>
  <c r="E17" i="30"/>
  <c r="E4" i="30"/>
  <c r="M14" i="28"/>
  <c r="M24" i="28" s="1"/>
  <c r="L14" i="28"/>
  <c r="M12" i="28"/>
  <c r="M22" i="28" s="1"/>
  <c r="L12" i="28"/>
  <c r="M10" i="28"/>
  <c r="M20" i="28" s="1"/>
  <c r="L10" i="28"/>
  <c r="AW235" i="21"/>
  <c r="AV235" i="21"/>
  <c r="AU235" i="21"/>
  <c r="AT235" i="21"/>
  <c r="AS235" i="21"/>
  <c r="AR235" i="21"/>
  <c r="AQ235" i="21"/>
  <c r="AP235" i="21"/>
  <c r="AO235" i="21"/>
  <c r="AN235" i="21"/>
  <c r="AX235" i="21" s="1"/>
  <c r="AY235" i="21" s="1"/>
  <c r="AM235" i="21"/>
  <c r="AL235" i="21"/>
  <c r="AW233" i="21"/>
  <c r="AV233" i="21"/>
  <c r="AU233" i="21"/>
  <c r="AT233" i="21"/>
  <c r="AS233" i="21"/>
  <c r="AR233" i="21"/>
  <c r="AQ233" i="21"/>
  <c r="AP233" i="21"/>
  <c r="AO233" i="21"/>
  <c r="AN233" i="21"/>
  <c r="AM233" i="21"/>
  <c r="AL233" i="21"/>
  <c r="AW231" i="21"/>
  <c r="AV231" i="21"/>
  <c r="AU231" i="21"/>
  <c r="AX231" i="21" s="1"/>
  <c r="AT231" i="21"/>
  <c r="AS231" i="21"/>
  <c r="AR231" i="21"/>
  <c r="AQ231" i="21"/>
  <c r="AP231" i="21"/>
  <c r="AO231" i="21"/>
  <c r="AN231" i="21"/>
  <c r="AM231" i="21"/>
  <c r="AL231" i="21"/>
  <c r="AW229" i="21"/>
  <c r="AV229" i="21"/>
  <c r="AU229" i="21"/>
  <c r="AT229" i="21"/>
  <c r="AX229" i="21" s="1"/>
  <c r="AS229" i="21"/>
  <c r="AR229" i="21"/>
  <c r="AQ229" i="21"/>
  <c r="AP229" i="21"/>
  <c r="AO229" i="21"/>
  <c r="AN229" i="21"/>
  <c r="AM229" i="21"/>
  <c r="AL229" i="21"/>
  <c r="AW227" i="21"/>
  <c r="AV227" i="21"/>
  <c r="AU227" i="21"/>
  <c r="AT227" i="21"/>
  <c r="AS227" i="21"/>
  <c r="AR227" i="21"/>
  <c r="AQ227" i="21"/>
  <c r="AP227" i="21"/>
  <c r="AO227" i="21"/>
  <c r="AN227" i="21"/>
  <c r="AM227" i="21"/>
  <c r="AL227" i="21"/>
  <c r="AW225" i="21"/>
  <c r="AV225" i="21"/>
  <c r="AU225" i="21"/>
  <c r="AT225" i="21"/>
  <c r="AS225" i="21"/>
  <c r="AR225" i="21"/>
  <c r="AQ225" i="21"/>
  <c r="AP225" i="21"/>
  <c r="AO225" i="21"/>
  <c r="AN225" i="21"/>
  <c r="AM225" i="21"/>
  <c r="AL225" i="21"/>
  <c r="AW223" i="21"/>
  <c r="AV223" i="21"/>
  <c r="AU223" i="21"/>
  <c r="AT223" i="21"/>
  <c r="AS223" i="21"/>
  <c r="AR223" i="21"/>
  <c r="AQ223" i="21"/>
  <c r="AP223" i="21"/>
  <c r="AO223" i="21"/>
  <c r="AN223" i="21"/>
  <c r="AM223" i="21"/>
  <c r="AX223" i="21" s="1"/>
  <c r="AY223" i="21" s="1"/>
  <c r="AL223" i="21"/>
  <c r="AW221" i="21"/>
  <c r="AV221" i="21"/>
  <c r="AU221" i="21"/>
  <c r="AT221" i="21"/>
  <c r="AS221" i="21"/>
  <c r="AR221" i="21"/>
  <c r="AQ221" i="21"/>
  <c r="AP221" i="21"/>
  <c r="AO221" i="21"/>
  <c r="AN221" i="21"/>
  <c r="AM221" i="21"/>
  <c r="AL221" i="21"/>
  <c r="AX221" i="21" s="1"/>
  <c r="AY221" i="21" s="1"/>
  <c r="AW219" i="21"/>
  <c r="AV219" i="21"/>
  <c r="AU219" i="21"/>
  <c r="AT219" i="21"/>
  <c r="AS219" i="21"/>
  <c r="AR219" i="21"/>
  <c r="AQ219" i="21"/>
  <c r="AP219" i="21"/>
  <c r="AO219" i="21"/>
  <c r="AX219" i="21" s="1"/>
  <c r="AN219" i="21"/>
  <c r="AM219" i="21"/>
  <c r="AL219" i="21"/>
  <c r="AW217" i="21"/>
  <c r="AV217" i="21"/>
  <c r="AU217" i="21"/>
  <c r="AT217" i="21"/>
  <c r="AS217" i="21"/>
  <c r="AR217" i="21"/>
  <c r="AQ217" i="21"/>
  <c r="AP217" i="21"/>
  <c r="AO217" i="21"/>
  <c r="AN217" i="21"/>
  <c r="AM217" i="21"/>
  <c r="AL217" i="21"/>
  <c r="AW215" i="21"/>
  <c r="AV215" i="21"/>
  <c r="AU215" i="21"/>
  <c r="AT215" i="21"/>
  <c r="AS215" i="21"/>
  <c r="AR215" i="21"/>
  <c r="AQ215" i="21"/>
  <c r="AP215" i="21"/>
  <c r="AO215" i="21"/>
  <c r="AN215" i="21"/>
  <c r="AM215" i="21"/>
  <c r="AL215" i="21"/>
  <c r="AW213" i="21"/>
  <c r="AV213" i="21"/>
  <c r="AU213" i="21"/>
  <c r="AT213" i="21"/>
  <c r="AS213" i="21"/>
  <c r="AR213" i="21"/>
  <c r="AQ213" i="21"/>
  <c r="AP213" i="21"/>
  <c r="AO213" i="21"/>
  <c r="AN213" i="21"/>
  <c r="AM213" i="21"/>
  <c r="AL213" i="21"/>
  <c r="AW211" i="21"/>
  <c r="AV211" i="21"/>
  <c r="AU211" i="21"/>
  <c r="AT211" i="21"/>
  <c r="AS211" i="21"/>
  <c r="AR211" i="21"/>
  <c r="AQ211" i="21"/>
  <c r="AP211" i="21"/>
  <c r="AO211" i="21"/>
  <c r="AN211" i="21"/>
  <c r="AM211" i="21"/>
  <c r="AX211" i="21" s="1"/>
  <c r="AL211" i="21"/>
  <c r="AW209" i="21"/>
  <c r="AV209" i="21"/>
  <c r="AU209" i="21"/>
  <c r="AT209" i="21"/>
  <c r="AS209" i="21"/>
  <c r="AR209" i="21"/>
  <c r="AQ209" i="21"/>
  <c r="AP209" i="21"/>
  <c r="AO209" i="21"/>
  <c r="AX209" i="21" s="1"/>
  <c r="AY209" i="21" s="1"/>
  <c r="AN209" i="21"/>
  <c r="AM209" i="21"/>
  <c r="AL209" i="21"/>
  <c r="AW207" i="21"/>
  <c r="AV207" i="21"/>
  <c r="AU207" i="21"/>
  <c r="AT207" i="21"/>
  <c r="AS207" i="21"/>
  <c r="AR207" i="21"/>
  <c r="AQ207" i="21"/>
  <c r="AP207" i="21"/>
  <c r="AO207" i="21"/>
  <c r="AX207" i="21" s="1"/>
  <c r="AY207" i="21" s="1"/>
  <c r="AN207" i="21"/>
  <c r="AM207" i="21"/>
  <c r="AL207" i="21"/>
  <c r="AW205" i="21"/>
  <c r="AV205" i="21"/>
  <c r="AU205" i="21"/>
  <c r="AT205" i="21"/>
  <c r="AS205" i="21"/>
  <c r="AR205" i="21"/>
  <c r="AX205" i="21" s="1"/>
  <c r="AQ205" i="21"/>
  <c r="AP205" i="21"/>
  <c r="AO205" i="21"/>
  <c r="AN205" i="21"/>
  <c r="AM205" i="21"/>
  <c r="AL205" i="21"/>
  <c r="AW203" i="21"/>
  <c r="AV203" i="21"/>
  <c r="AU203" i="21"/>
  <c r="AT203" i="21"/>
  <c r="AS203" i="21"/>
  <c r="AR203" i="21"/>
  <c r="AQ203" i="21"/>
  <c r="AP203" i="21"/>
  <c r="AX203" i="21" s="1"/>
  <c r="AO203" i="21"/>
  <c r="AN203" i="21"/>
  <c r="AM203" i="21"/>
  <c r="AL203" i="21"/>
  <c r="AW201" i="21"/>
  <c r="AV201" i="21"/>
  <c r="AU201" i="21"/>
  <c r="AT201" i="21"/>
  <c r="AS201" i="21"/>
  <c r="AX201" i="21" s="1"/>
  <c r="AR201" i="21"/>
  <c r="AQ201" i="21"/>
  <c r="AP201" i="21"/>
  <c r="AO201" i="21"/>
  <c r="AN201" i="21"/>
  <c r="AM201" i="21"/>
  <c r="AL201" i="21"/>
  <c r="AW199" i="21"/>
  <c r="AV199" i="21"/>
  <c r="AU199" i="21"/>
  <c r="AT199" i="21"/>
  <c r="AS199" i="21"/>
  <c r="AR199" i="21"/>
  <c r="AQ199" i="21"/>
  <c r="AP199" i="21"/>
  <c r="AO199" i="21"/>
  <c r="AN199" i="21"/>
  <c r="AM199" i="21"/>
  <c r="AL199" i="21"/>
  <c r="AW197" i="21"/>
  <c r="AV197" i="21"/>
  <c r="AU197" i="21"/>
  <c r="AT197" i="21"/>
  <c r="AS197" i="21"/>
  <c r="AR197" i="21"/>
  <c r="AQ197" i="21"/>
  <c r="AP197" i="21"/>
  <c r="AO197" i="21"/>
  <c r="AN197" i="21"/>
  <c r="AM197" i="21"/>
  <c r="AL197" i="21"/>
  <c r="AW195" i="21"/>
  <c r="AV195" i="21"/>
  <c r="AU195" i="21"/>
  <c r="AT195" i="21"/>
  <c r="AS195" i="21"/>
  <c r="AR195" i="21"/>
  <c r="AQ195" i="21"/>
  <c r="AP195" i="21"/>
  <c r="AO195" i="21"/>
  <c r="AN195" i="21"/>
  <c r="AM195" i="21"/>
  <c r="AL195" i="21"/>
  <c r="B190" i="21"/>
  <c r="AW188" i="21"/>
  <c r="AV188" i="21"/>
  <c r="AU188" i="21"/>
  <c r="AT188" i="21"/>
  <c r="AS188" i="21"/>
  <c r="AR188" i="21"/>
  <c r="AQ188" i="21"/>
  <c r="AP188" i="21"/>
  <c r="AO188" i="21"/>
  <c r="AN188" i="21"/>
  <c r="AM188" i="21"/>
  <c r="AL188" i="21"/>
  <c r="AW186" i="21"/>
  <c r="AV186" i="21"/>
  <c r="AU186" i="21"/>
  <c r="AT186" i="21"/>
  <c r="AS186" i="21"/>
  <c r="AR186" i="21"/>
  <c r="AQ186" i="21"/>
  <c r="AP186" i="21"/>
  <c r="AO186" i="21"/>
  <c r="AN186" i="21"/>
  <c r="AM186" i="21"/>
  <c r="AL186" i="21"/>
  <c r="AX186" i="21" s="1"/>
  <c r="AY186" i="21" s="1"/>
  <c r="AW184" i="21"/>
  <c r="AV184" i="21"/>
  <c r="AU184" i="21"/>
  <c r="AT184" i="21"/>
  <c r="AS184" i="21"/>
  <c r="AR184" i="21"/>
  <c r="AQ184" i="21"/>
  <c r="AP184" i="21"/>
  <c r="AO184" i="21"/>
  <c r="AX184" i="21" s="1"/>
  <c r="AY184" i="21" s="1"/>
  <c r="AN184" i="21"/>
  <c r="AM184" i="21"/>
  <c r="AL184" i="21"/>
  <c r="AW182" i="21"/>
  <c r="AV182" i="21"/>
  <c r="AU182" i="21"/>
  <c r="AT182" i="21"/>
  <c r="AS182" i="21"/>
  <c r="AR182" i="21"/>
  <c r="AQ182" i="21"/>
  <c r="AP182" i="21"/>
  <c r="AO182" i="21"/>
  <c r="AN182" i="21"/>
  <c r="AM182" i="21"/>
  <c r="AL182" i="21"/>
  <c r="AW180" i="21"/>
  <c r="AV180" i="21"/>
  <c r="AU180" i="21"/>
  <c r="AT180" i="21"/>
  <c r="AS180" i="21"/>
  <c r="AR180" i="21"/>
  <c r="AQ180" i="21"/>
  <c r="AP180" i="21"/>
  <c r="AO180" i="21"/>
  <c r="AX180" i="21" s="1"/>
  <c r="AN180" i="21"/>
  <c r="AM180" i="21"/>
  <c r="AL180" i="21"/>
  <c r="AW178" i="21"/>
  <c r="AV178" i="21"/>
  <c r="AU178" i="21"/>
  <c r="AT178" i="21"/>
  <c r="AS178" i="21"/>
  <c r="AR178" i="21"/>
  <c r="AQ178" i="21"/>
  <c r="AP178" i="21"/>
  <c r="AO178" i="21"/>
  <c r="AN178" i="21"/>
  <c r="AM178" i="21"/>
  <c r="AX178" i="21" s="1"/>
  <c r="AL178" i="21"/>
  <c r="AW176" i="21"/>
  <c r="AV176" i="21"/>
  <c r="AU176" i="21"/>
  <c r="AT176" i="21"/>
  <c r="AS176" i="21"/>
  <c r="AR176" i="21"/>
  <c r="AQ176" i="21"/>
  <c r="AP176" i="21"/>
  <c r="AO176" i="21"/>
  <c r="AN176" i="21"/>
  <c r="AM176" i="21"/>
  <c r="AL176" i="21"/>
  <c r="AW174" i="21"/>
  <c r="AV174" i="21"/>
  <c r="AU174" i="21"/>
  <c r="AT174" i="21"/>
  <c r="AS174" i="21"/>
  <c r="AR174" i="21"/>
  <c r="AQ174" i="21"/>
  <c r="AP174" i="21"/>
  <c r="AO174" i="21"/>
  <c r="AN174" i="21"/>
  <c r="AM174" i="21"/>
  <c r="AL174" i="21"/>
  <c r="AW172" i="21"/>
  <c r="AV172" i="21"/>
  <c r="AU172" i="21"/>
  <c r="AT172" i="21"/>
  <c r="AS172" i="21"/>
  <c r="AR172" i="21"/>
  <c r="AQ172" i="21"/>
  <c r="AP172" i="21"/>
  <c r="AO172" i="21"/>
  <c r="AN172" i="21"/>
  <c r="AM172" i="21"/>
  <c r="AL172" i="21"/>
  <c r="AW170" i="21"/>
  <c r="AV170" i="21"/>
  <c r="AU170" i="21"/>
  <c r="AT170" i="21"/>
  <c r="AS170" i="21"/>
  <c r="AR170" i="21"/>
  <c r="AQ170" i="21"/>
  <c r="AP170" i="21"/>
  <c r="AO170" i="21"/>
  <c r="AN170" i="21"/>
  <c r="AM170" i="21"/>
  <c r="AL170" i="21"/>
  <c r="AW168" i="21"/>
  <c r="AV168" i="21"/>
  <c r="AU168" i="21"/>
  <c r="AT168" i="21"/>
  <c r="AS168" i="21"/>
  <c r="AR168" i="21"/>
  <c r="AQ168" i="21"/>
  <c r="AP168" i="21"/>
  <c r="AX168" i="21" s="1"/>
  <c r="AO168" i="21"/>
  <c r="AN168" i="21"/>
  <c r="AM168" i="21"/>
  <c r="AL168" i="21"/>
  <c r="AW166" i="21"/>
  <c r="AV166" i="21"/>
  <c r="AU166" i="21"/>
  <c r="AT166" i="21"/>
  <c r="AS166" i="21"/>
  <c r="AR166" i="21"/>
  <c r="AQ166" i="21"/>
  <c r="AP166" i="21"/>
  <c r="AO166" i="21"/>
  <c r="AN166" i="21"/>
  <c r="AM166" i="21"/>
  <c r="AL166" i="21"/>
  <c r="AW164" i="21"/>
  <c r="AV164" i="21"/>
  <c r="AU164" i="21"/>
  <c r="AT164" i="21"/>
  <c r="AS164" i="21"/>
  <c r="AR164" i="21"/>
  <c r="AQ164" i="21"/>
  <c r="AP164" i="21"/>
  <c r="AO164" i="21"/>
  <c r="AN164" i="21"/>
  <c r="AM164" i="21"/>
  <c r="AL164" i="21"/>
  <c r="AW162" i="21"/>
  <c r="AV162" i="21"/>
  <c r="AU162" i="21"/>
  <c r="AT162" i="21"/>
  <c r="AS162" i="21"/>
  <c r="AR162" i="21"/>
  <c r="AQ162" i="21"/>
  <c r="AP162" i="21"/>
  <c r="AO162" i="21"/>
  <c r="AN162" i="21"/>
  <c r="AM162" i="21"/>
  <c r="AX162" i="21" s="1"/>
  <c r="AY162" i="21" s="1"/>
  <c r="AL162" i="21"/>
  <c r="AW160" i="21"/>
  <c r="AV160" i="21"/>
  <c r="AU160" i="21"/>
  <c r="AT160" i="21"/>
  <c r="AS160" i="21"/>
  <c r="AR160" i="21"/>
  <c r="AQ160" i="21"/>
  <c r="AX160" i="21" s="1"/>
  <c r="AP160" i="21"/>
  <c r="AO160" i="21"/>
  <c r="AN160" i="21"/>
  <c r="AM160" i="21"/>
  <c r="AL160" i="21"/>
  <c r="AW158" i="21"/>
  <c r="AV158" i="21"/>
  <c r="AU158" i="21"/>
  <c r="AT158" i="21"/>
  <c r="AS158" i="21"/>
  <c r="AR158" i="21"/>
  <c r="AQ158" i="21"/>
  <c r="AP158" i="21"/>
  <c r="AO158" i="21"/>
  <c r="AN158" i="21"/>
  <c r="AM158" i="21"/>
  <c r="AL158" i="21"/>
  <c r="AW156" i="21"/>
  <c r="AV156" i="21"/>
  <c r="AU156" i="21"/>
  <c r="AT156" i="21"/>
  <c r="AS156" i="21"/>
  <c r="AR156" i="21"/>
  <c r="AQ156" i="21"/>
  <c r="AP156" i="21"/>
  <c r="AO156" i="21"/>
  <c r="AN156" i="21"/>
  <c r="AM156" i="21"/>
  <c r="AL156" i="21"/>
  <c r="AW154" i="21"/>
  <c r="AV154" i="21"/>
  <c r="AU154" i="21"/>
  <c r="AT154" i="21"/>
  <c r="AS154" i="21"/>
  <c r="AR154" i="21"/>
  <c r="AQ154" i="21"/>
  <c r="AP154" i="21"/>
  <c r="AO154" i="21"/>
  <c r="AN154" i="21"/>
  <c r="AM154" i="21"/>
  <c r="AL154" i="21"/>
  <c r="B149" i="21"/>
  <c r="AW147" i="21"/>
  <c r="AV147" i="21"/>
  <c r="AU147" i="21"/>
  <c r="AT147" i="21"/>
  <c r="AS147" i="21"/>
  <c r="AR147" i="21"/>
  <c r="AQ147" i="21"/>
  <c r="AP147" i="21"/>
  <c r="AO147" i="21"/>
  <c r="AN147" i="21"/>
  <c r="AM147" i="21"/>
  <c r="AL147" i="21"/>
  <c r="AW145" i="21"/>
  <c r="AV145" i="21"/>
  <c r="AU145" i="21"/>
  <c r="AT145" i="21"/>
  <c r="AS145" i="21"/>
  <c r="AR145" i="21"/>
  <c r="AQ145" i="21"/>
  <c r="AP145" i="21"/>
  <c r="AO145" i="21"/>
  <c r="AX145" i="21" s="1"/>
  <c r="AN145" i="21"/>
  <c r="AM145" i="21"/>
  <c r="AL145" i="21"/>
  <c r="AW143" i="21"/>
  <c r="AV143" i="21"/>
  <c r="AU143" i="21"/>
  <c r="AT143" i="21"/>
  <c r="AS143" i="21"/>
  <c r="AR143" i="21"/>
  <c r="AQ143" i="21"/>
  <c r="AP143" i="21"/>
  <c r="AO143" i="21"/>
  <c r="AN143" i="21"/>
  <c r="AM143" i="21"/>
  <c r="AL143" i="21"/>
  <c r="AW141" i="21"/>
  <c r="AV141" i="21"/>
  <c r="AU141" i="21"/>
  <c r="AT141" i="21"/>
  <c r="AS141" i="21"/>
  <c r="AR141" i="21"/>
  <c r="AX141" i="21" s="1"/>
  <c r="AQ141" i="21"/>
  <c r="AP141" i="21"/>
  <c r="AO141" i="21"/>
  <c r="AN141" i="21"/>
  <c r="AM141" i="21"/>
  <c r="AL141" i="21"/>
  <c r="AW139" i="21"/>
  <c r="AV139" i="21"/>
  <c r="AU139" i="21"/>
  <c r="AT139" i="21"/>
  <c r="AS139" i="21"/>
  <c r="AR139" i="21"/>
  <c r="AQ139" i="21"/>
  <c r="AP139" i="21"/>
  <c r="AO139" i="21"/>
  <c r="AN139" i="21"/>
  <c r="AM139" i="21"/>
  <c r="AL139" i="21"/>
  <c r="AW137" i="21"/>
  <c r="AV137" i="21"/>
  <c r="AU137" i="21"/>
  <c r="AT137" i="21"/>
  <c r="AS137" i="21"/>
  <c r="AR137" i="21"/>
  <c r="AQ137" i="21"/>
  <c r="AP137" i="21"/>
  <c r="AO137" i="21"/>
  <c r="AN137" i="21"/>
  <c r="AM137" i="21"/>
  <c r="AL137" i="21"/>
  <c r="AW135" i="21"/>
  <c r="AV135" i="21"/>
  <c r="AU135" i="21"/>
  <c r="AT135" i="21"/>
  <c r="AS135" i="21"/>
  <c r="AR135" i="21"/>
  <c r="AQ135" i="21"/>
  <c r="AP135" i="21"/>
  <c r="AO135" i="21"/>
  <c r="AN135" i="21"/>
  <c r="AM135" i="21"/>
  <c r="AL135" i="21"/>
  <c r="AW133" i="21"/>
  <c r="AV133" i="21"/>
  <c r="AU133" i="21"/>
  <c r="AT133" i="21"/>
  <c r="AS133" i="21"/>
  <c r="AR133" i="21"/>
  <c r="AQ133" i="21"/>
  <c r="AP133" i="21"/>
  <c r="AO133" i="21"/>
  <c r="AN133" i="21"/>
  <c r="AM133" i="21"/>
  <c r="AL133" i="21"/>
  <c r="AW131" i="21"/>
  <c r="AV131" i="21"/>
  <c r="AU131" i="21"/>
  <c r="AT131" i="21"/>
  <c r="AS131" i="21"/>
  <c r="AR131" i="21"/>
  <c r="AQ131" i="21"/>
  <c r="AP131" i="21"/>
  <c r="AO131" i="21"/>
  <c r="AN131" i="21"/>
  <c r="AM131" i="21"/>
  <c r="AL131" i="21"/>
  <c r="AW129" i="21"/>
  <c r="AV129" i="21"/>
  <c r="AU129" i="21"/>
  <c r="AT129" i="21"/>
  <c r="AS129" i="21"/>
  <c r="AR129" i="21"/>
  <c r="AQ129" i="21"/>
  <c r="AX129" i="21" s="1"/>
  <c r="AY129" i="21" s="1"/>
  <c r="AP129" i="21"/>
  <c r="AO129" i="21"/>
  <c r="AN129" i="21"/>
  <c r="AM129" i="21"/>
  <c r="AL129" i="21"/>
  <c r="AW127" i="21"/>
  <c r="AV127" i="21"/>
  <c r="AU127" i="21"/>
  <c r="AT127" i="21"/>
  <c r="AS127" i="21"/>
  <c r="AR127" i="21"/>
  <c r="AQ127" i="21"/>
  <c r="AP127" i="21"/>
  <c r="AO127" i="21"/>
  <c r="AN127" i="21"/>
  <c r="AM127" i="21"/>
  <c r="AL127" i="21"/>
  <c r="AW125" i="21"/>
  <c r="AV125" i="21"/>
  <c r="AU125" i="21"/>
  <c r="AT125" i="21"/>
  <c r="AS125" i="21"/>
  <c r="AR125" i="21"/>
  <c r="AQ125" i="21"/>
  <c r="AP125" i="21"/>
  <c r="AO125" i="21"/>
  <c r="AN125" i="21"/>
  <c r="AX125" i="21" s="1"/>
  <c r="AY125" i="21" s="1"/>
  <c r="AM125" i="21"/>
  <c r="AL125" i="21"/>
  <c r="AW123" i="21"/>
  <c r="AV123" i="21"/>
  <c r="AU123" i="21"/>
  <c r="AT123" i="21"/>
  <c r="AS123" i="21"/>
  <c r="AR123" i="21"/>
  <c r="AQ123" i="21"/>
  <c r="AP123" i="21"/>
  <c r="AO123" i="21"/>
  <c r="AN123" i="21"/>
  <c r="AM123" i="21"/>
  <c r="AL123" i="21"/>
  <c r="AW121" i="21"/>
  <c r="AV121" i="21"/>
  <c r="AU121" i="21"/>
  <c r="AT121" i="21"/>
  <c r="AS121" i="21"/>
  <c r="AR121" i="21"/>
  <c r="AQ121" i="21"/>
  <c r="AP121" i="21"/>
  <c r="AO121" i="21"/>
  <c r="AN121" i="21"/>
  <c r="AX121" i="21" s="1"/>
  <c r="AY121" i="21" s="1"/>
  <c r="AM121" i="21"/>
  <c r="AL121" i="21"/>
  <c r="AW119" i="21"/>
  <c r="AV119" i="21"/>
  <c r="AU119" i="21"/>
  <c r="AT119" i="21"/>
  <c r="AS119" i="21"/>
  <c r="AR119" i="21"/>
  <c r="AQ119" i="21"/>
  <c r="AP119" i="21"/>
  <c r="AO119" i="21"/>
  <c r="AX119" i="21" s="1"/>
  <c r="AY119" i="21" s="1"/>
  <c r="AN119" i="21"/>
  <c r="AM119" i="21"/>
  <c r="AL119" i="21"/>
  <c r="AW117" i="21"/>
  <c r="AV117" i="21"/>
  <c r="AU117" i="21"/>
  <c r="AT117" i="21"/>
  <c r="AS117" i="21"/>
  <c r="AR117" i="21"/>
  <c r="AQ117" i="21"/>
  <c r="AP117" i="21"/>
  <c r="AO117" i="21"/>
  <c r="AX117" i="21" s="1"/>
  <c r="AN117" i="21"/>
  <c r="AM117" i="21"/>
  <c r="AL117" i="21"/>
  <c r="AW115" i="21"/>
  <c r="AV115" i="21"/>
  <c r="AU115" i="21"/>
  <c r="AT115" i="21"/>
  <c r="AS115" i="21"/>
  <c r="AR115" i="21"/>
  <c r="AQ115" i="21"/>
  <c r="AP115" i="21"/>
  <c r="AO115" i="21"/>
  <c r="AN115" i="21"/>
  <c r="AM115" i="21"/>
  <c r="AX115" i="21" s="1"/>
  <c r="AY115" i="21" s="1"/>
  <c r="AL115" i="21"/>
  <c r="AW113" i="21"/>
  <c r="AV113" i="21"/>
  <c r="AU113" i="21"/>
  <c r="AT113" i="21"/>
  <c r="AS113" i="21"/>
  <c r="AR113" i="21"/>
  <c r="AQ113" i="21"/>
  <c r="AP113" i="21"/>
  <c r="AO113" i="21"/>
  <c r="AN113" i="21"/>
  <c r="AX113" i="21" s="1"/>
  <c r="AY113" i="21" s="1"/>
  <c r="AM113" i="21"/>
  <c r="AL113" i="21"/>
  <c r="AW111" i="21"/>
  <c r="AV111" i="21"/>
  <c r="AU111" i="21"/>
  <c r="AT111" i="21"/>
  <c r="AS111" i="21"/>
  <c r="AR111" i="21"/>
  <c r="AQ111" i="21"/>
  <c r="AP111" i="21"/>
  <c r="AO111" i="21"/>
  <c r="AN111" i="21"/>
  <c r="AM111" i="21"/>
  <c r="AL111" i="21"/>
  <c r="AX111" i="21" s="1"/>
  <c r="AY111" i="21" s="1"/>
  <c r="AW109" i="21"/>
  <c r="AV109" i="21"/>
  <c r="AU109" i="21"/>
  <c r="AT109" i="21"/>
  <c r="AS109" i="21"/>
  <c r="AR109" i="21"/>
  <c r="AQ109" i="21"/>
  <c r="AP109" i="21"/>
  <c r="AO109" i="21"/>
  <c r="AX109" i="21" s="1"/>
  <c r="AN109" i="21"/>
  <c r="AM109" i="21"/>
  <c r="AL109" i="21"/>
  <c r="AW107" i="21"/>
  <c r="AV107" i="21"/>
  <c r="AU107" i="21"/>
  <c r="AT107" i="21"/>
  <c r="AS107" i="21"/>
  <c r="AR107" i="21"/>
  <c r="AQ107" i="21"/>
  <c r="AP107" i="21"/>
  <c r="AO107" i="21"/>
  <c r="AN107" i="21"/>
  <c r="AM107" i="21"/>
  <c r="AX107" i="21" s="1"/>
  <c r="AY107" i="21" s="1"/>
  <c r="AL107" i="21"/>
  <c r="AW105" i="21"/>
  <c r="AV105" i="21"/>
  <c r="AU105" i="21"/>
  <c r="AT105" i="21"/>
  <c r="AS105" i="21"/>
  <c r="AR105" i="21"/>
  <c r="AQ105" i="21"/>
  <c r="AP105" i="21"/>
  <c r="AO105" i="21"/>
  <c r="AN105" i="21"/>
  <c r="AX105" i="21" s="1"/>
  <c r="AY105" i="21" s="1"/>
  <c r="AM105" i="21"/>
  <c r="AL105" i="21"/>
  <c r="AW103" i="21"/>
  <c r="AV103" i="21"/>
  <c r="AU103" i="21"/>
  <c r="AT103" i="21"/>
  <c r="AS103" i="21"/>
  <c r="AR103" i="21"/>
  <c r="AQ103" i="21"/>
  <c r="AP103" i="21"/>
  <c r="AO103" i="21"/>
  <c r="AN103" i="21"/>
  <c r="AX103" i="21" s="1"/>
  <c r="AY103" i="21" s="1"/>
  <c r="AM103" i="21"/>
  <c r="AL103" i="21"/>
  <c r="AW101" i="21"/>
  <c r="AV101" i="21"/>
  <c r="AU101" i="21"/>
  <c r="AT101" i="21"/>
  <c r="AS101" i="21"/>
  <c r="AR101" i="21"/>
  <c r="AQ101" i="21"/>
  <c r="AP101" i="21"/>
  <c r="AO101" i="21"/>
  <c r="AN101" i="21"/>
  <c r="AM101" i="21"/>
  <c r="AL101" i="21"/>
  <c r="AW99" i="21"/>
  <c r="AV99" i="21"/>
  <c r="AU99" i="21"/>
  <c r="AT99" i="21"/>
  <c r="AS99" i="21"/>
  <c r="AR99" i="21"/>
  <c r="AQ99" i="21"/>
  <c r="AP99" i="21"/>
  <c r="AO99" i="21"/>
  <c r="AN99" i="21"/>
  <c r="AM99" i="21"/>
  <c r="AL99" i="21"/>
  <c r="AW97" i="21"/>
  <c r="AV97" i="21"/>
  <c r="AU97" i="21"/>
  <c r="AT97" i="21"/>
  <c r="AS97" i="21"/>
  <c r="AR97" i="21"/>
  <c r="AQ97" i="21"/>
  <c r="AP97" i="21"/>
  <c r="AO97" i="21"/>
  <c r="AN97" i="21"/>
  <c r="AM97" i="21"/>
  <c r="AL97" i="21"/>
  <c r="B92" i="21"/>
  <c r="AW90" i="21"/>
  <c r="AV90" i="21"/>
  <c r="AU90" i="21"/>
  <c r="AT90" i="21"/>
  <c r="AS90" i="21"/>
  <c r="AR90" i="21"/>
  <c r="AQ90" i="21"/>
  <c r="AP90" i="21"/>
  <c r="AO90" i="21"/>
  <c r="AN90" i="21"/>
  <c r="AM90" i="21"/>
  <c r="AL90" i="21"/>
  <c r="AW88" i="21"/>
  <c r="AV88" i="21"/>
  <c r="AU88" i="21"/>
  <c r="AT88" i="21"/>
  <c r="AS88" i="21"/>
  <c r="AR88" i="21"/>
  <c r="AQ88" i="21"/>
  <c r="AP88" i="21"/>
  <c r="AO88" i="21"/>
  <c r="AN88" i="21"/>
  <c r="AX88" i="21" s="1"/>
  <c r="AY88" i="21" s="1"/>
  <c r="AM88" i="21"/>
  <c r="AL88" i="21"/>
  <c r="AW86" i="21"/>
  <c r="AV86" i="21"/>
  <c r="AU86" i="21"/>
  <c r="AT86" i="21"/>
  <c r="AS86" i="21"/>
  <c r="AR86" i="21"/>
  <c r="AQ86" i="21"/>
  <c r="AP86" i="21"/>
  <c r="AO86" i="21"/>
  <c r="AN86" i="21"/>
  <c r="AM86" i="21"/>
  <c r="AL86" i="21"/>
  <c r="AW84" i="21"/>
  <c r="AV84" i="21"/>
  <c r="AU84" i="21"/>
  <c r="AT84" i="21"/>
  <c r="AS84" i="21"/>
  <c r="AR84" i="21"/>
  <c r="AQ84" i="21"/>
  <c r="AP84" i="21"/>
  <c r="AO84" i="21"/>
  <c r="AN84" i="21"/>
  <c r="AM84" i="21"/>
  <c r="AL84" i="21"/>
  <c r="AW82" i="21"/>
  <c r="AV82" i="21"/>
  <c r="AU82" i="21"/>
  <c r="AT82" i="21"/>
  <c r="AS82" i="21"/>
  <c r="AR82" i="21"/>
  <c r="AQ82" i="21"/>
  <c r="AP82" i="21"/>
  <c r="AO82" i="21"/>
  <c r="AN82" i="21"/>
  <c r="AM82" i="21"/>
  <c r="AL82" i="21"/>
  <c r="AX82" i="21" s="1"/>
  <c r="AY82" i="21" s="1"/>
  <c r="AW80" i="21"/>
  <c r="AV80" i="21"/>
  <c r="AU80" i="21"/>
  <c r="AT80" i="21"/>
  <c r="AS80" i="21"/>
  <c r="AR80" i="21"/>
  <c r="AQ80" i="21"/>
  <c r="AP80" i="21"/>
  <c r="AO80" i="21"/>
  <c r="AN80" i="21"/>
  <c r="AM80" i="21"/>
  <c r="AL80" i="21"/>
  <c r="AW78" i="21"/>
  <c r="AV78" i="21"/>
  <c r="AU78" i="21"/>
  <c r="AT78" i="21"/>
  <c r="AS78" i="21"/>
  <c r="AR78" i="21"/>
  <c r="AQ78" i="21"/>
  <c r="AP78" i="21"/>
  <c r="AO78" i="21"/>
  <c r="AN78" i="21"/>
  <c r="AM78" i="21"/>
  <c r="AL78" i="21"/>
  <c r="AW76" i="21"/>
  <c r="AV76" i="21"/>
  <c r="AU76" i="21"/>
  <c r="AT76" i="21"/>
  <c r="AS76" i="21"/>
  <c r="AR76" i="21"/>
  <c r="AQ76" i="21"/>
  <c r="AP76" i="21"/>
  <c r="AO76" i="21"/>
  <c r="AN76" i="21"/>
  <c r="AM76" i="21"/>
  <c r="AL76" i="21"/>
  <c r="AW74" i="21"/>
  <c r="AV74" i="21"/>
  <c r="AU74" i="21"/>
  <c r="AT74" i="21"/>
  <c r="AS74" i="21"/>
  <c r="AR74" i="21"/>
  <c r="AQ74" i="21"/>
  <c r="AP74" i="21"/>
  <c r="AO74" i="21"/>
  <c r="AN74" i="21"/>
  <c r="AM74" i="21"/>
  <c r="AL74" i="21"/>
  <c r="AW72" i="21"/>
  <c r="AV72" i="21"/>
  <c r="AU72" i="21"/>
  <c r="AT72" i="21"/>
  <c r="AS72" i="21"/>
  <c r="AR72" i="21"/>
  <c r="AQ72" i="21"/>
  <c r="AP72" i="21"/>
  <c r="AO72" i="21"/>
  <c r="AN72" i="21"/>
  <c r="AM72" i="21"/>
  <c r="AL72" i="21"/>
  <c r="AW70" i="21"/>
  <c r="AV70" i="21"/>
  <c r="AU70" i="21"/>
  <c r="AT70" i="21"/>
  <c r="AS70" i="21"/>
  <c r="AR70" i="21"/>
  <c r="AQ70" i="21"/>
  <c r="AP70" i="21"/>
  <c r="AO70" i="21"/>
  <c r="AN70" i="21"/>
  <c r="AX70" i="21" s="1"/>
  <c r="AY70" i="21" s="1"/>
  <c r="AM70" i="21"/>
  <c r="AL70" i="21"/>
  <c r="AW68" i="21"/>
  <c r="AV68" i="21"/>
  <c r="AU68" i="21"/>
  <c r="AT68" i="21"/>
  <c r="AS68" i="21"/>
  <c r="AR68" i="21"/>
  <c r="AQ68" i="21"/>
  <c r="AP68" i="21"/>
  <c r="AO68" i="21"/>
  <c r="AN68" i="21"/>
  <c r="AM68" i="21"/>
  <c r="AL68" i="21"/>
  <c r="AW66" i="21"/>
  <c r="AV66" i="21"/>
  <c r="AU66" i="21"/>
  <c r="AT66" i="21"/>
  <c r="AS66" i="21"/>
  <c r="AR66" i="21"/>
  <c r="AQ66" i="21"/>
  <c r="AP66" i="21"/>
  <c r="AO66" i="21"/>
  <c r="AN66" i="21"/>
  <c r="AM66" i="21"/>
  <c r="AL66" i="21"/>
  <c r="AW64" i="21"/>
  <c r="AV64" i="21"/>
  <c r="AU64" i="21"/>
  <c r="AT64" i="21"/>
  <c r="AS64" i="21"/>
  <c r="AR64" i="21"/>
  <c r="AQ64" i="21"/>
  <c r="AP64" i="21"/>
  <c r="AO64" i="21"/>
  <c r="AN64" i="21"/>
  <c r="AM64" i="21"/>
  <c r="AL64" i="21"/>
  <c r="AW62" i="21"/>
  <c r="AV62" i="21"/>
  <c r="AU62" i="21"/>
  <c r="AT62" i="21"/>
  <c r="AS62" i="21"/>
  <c r="AR62" i="21"/>
  <c r="AQ62" i="21"/>
  <c r="AP62" i="21"/>
  <c r="AO62" i="21"/>
  <c r="AN62" i="21"/>
  <c r="AM62" i="21"/>
  <c r="AX62" i="21" s="1"/>
  <c r="AY62" i="21" s="1"/>
  <c r="AL62" i="21"/>
  <c r="AW60" i="21"/>
  <c r="AV60" i="21"/>
  <c r="AU60" i="21"/>
  <c r="AT60" i="21"/>
  <c r="AS60" i="21"/>
  <c r="AR60" i="21"/>
  <c r="AQ60" i="21"/>
  <c r="AP60" i="21"/>
  <c r="AO60" i="21"/>
  <c r="AN60" i="21"/>
  <c r="AM60" i="21"/>
  <c r="AL60" i="21"/>
  <c r="AW58" i="21"/>
  <c r="AV58" i="21"/>
  <c r="AU58" i="21"/>
  <c r="AT58" i="21"/>
  <c r="AS58" i="21"/>
  <c r="AR58" i="21"/>
  <c r="AQ58" i="21"/>
  <c r="AP58" i="21"/>
  <c r="AO58" i="21"/>
  <c r="AN58" i="21"/>
  <c r="AX58" i="21" s="1"/>
  <c r="AY58" i="21" s="1"/>
  <c r="AM58" i="21"/>
  <c r="AL58" i="21"/>
  <c r="AW56" i="21"/>
  <c r="AV56" i="21"/>
  <c r="AU56" i="21"/>
  <c r="AT56" i="21"/>
  <c r="AS56" i="21"/>
  <c r="AR56" i="21"/>
  <c r="AQ56" i="21"/>
  <c r="AX56" i="21" s="1"/>
  <c r="AY56" i="21" s="1"/>
  <c r="AP56" i="21"/>
  <c r="AO56" i="21"/>
  <c r="AN56" i="21"/>
  <c r="AM56" i="21"/>
  <c r="AL56" i="21"/>
  <c r="AW54" i="21"/>
  <c r="AV54" i="21"/>
  <c r="AU54" i="21"/>
  <c r="AT54" i="21"/>
  <c r="AS54" i="21"/>
  <c r="AR54" i="21"/>
  <c r="AQ54" i="21"/>
  <c r="AP54" i="21"/>
  <c r="AO54" i="21"/>
  <c r="AN54" i="21"/>
  <c r="AM54" i="21"/>
  <c r="AX54" i="21" s="1"/>
  <c r="AY54" i="21" s="1"/>
  <c r="AL54" i="21"/>
  <c r="AW52" i="21"/>
  <c r="AV52" i="21"/>
  <c r="AU52" i="21"/>
  <c r="AT52" i="21"/>
  <c r="AS52" i="21"/>
  <c r="AR52" i="21"/>
  <c r="AQ52" i="21"/>
  <c r="AP52" i="21"/>
  <c r="AO52" i="21"/>
  <c r="AN52" i="21"/>
  <c r="AM52" i="21"/>
  <c r="AL52" i="21"/>
  <c r="AY50" i="21"/>
  <c r="AX50" i="21"/>
  <c r="AW50" i="21"/>
  <c r="AV50" i="21"/>
  <c r="AU50" i="21"/>
  <c r="AT50" i="21"/>
  <c r="AS50" i="21"/>
  <c r="AR50" i="21"/>
  <c r="AQ50" i="21"/>
  <c r="AP50" i="21"/>
  <c r="AO50" i="21"/>
  <c r="AN50" i="21"/>
  <c r="AM50" i="21"/>
  <c r="AL50" i="21"/>
  <c r="AW48" i="21"/>
  <c r="AV48" i="21"/>
  <c r="AU48" i="21"/>
  <c r="AT48" i="21"/>
  <c r="AS48" i="21"/>
  <c r="AR48" i="21"/>
  <c r="AQ48" i="21"/>
  <c r="AP48" i="21"/>
  <c r="AO48" i="21"/>
  <c r="AN48" i="21"/>
  <c r="AM48" i="21"/>
  <c r="AL48" i="21"/>
  <c r="AW46" i="21"/>
  <c r="AV46" i="21"/>
  <c r="AU46" i="21"/>
  <c r="AT46" i="21"/>
  <c r="AS46" i="21"/>
  <c r="AR46" i="21"/>
  <c r="AQ46" i="21"/>
  <c r="AP46" i="21"/>
  <c r="AO46" i="21"/>
  <c r="AN46" i="21"/>
  <c r="AM46" i="21"/>
  <c r="AL46" i="21"/>
  <c r="AY44" i="21"/>
  <c r="AX44" i="21"/>
  <c r="AW44" i="21"/>
  <c r="AV44" i="21"/>
  <c r="AU44" i="21"/>
  <c r="AT44" i="21"/>
  <c r="AS44" i="21"/>
  <c r="AR44" i="21"/>
  <c r="AQ44" i="21"/>
  <c r="AP44" i="21"/>
  <c r="AO44" i="21"/>
  <c r="AN44" i="21"/>
  <c r="AM44" i="21"/>
  <c r="AL44" i="21"/>
  <c r="AW42" i="21"/>
  <c r="AV42" i="21"/>
  <c r="AU42" i="21"/>
  <c r="AT42" i="21"/>
  <c r="AS42" i="21"/>
  <c r="AR42" i="21"/>
  <c r="AQ42" i="21"/>
  <c r="AP42" i="21"/>
  <c r="AO42" i="21"/>
  <c r="AN42" i="21"/>
  <c r="AM42" i="21"/>
  <c r="AX42" i="21" s="1"/>
  <c r="AY42" i="21" s="1"/>
  <c r="AL42" i="21"/>
  <c r="AW40" i="21"/>
  <c r="AV40" i="21"/>
  <c r="AU40" i="21"/>
  <c r="AT40" i="21"/>
  <c r="AS40" i="21"/>
  <c r="AR40" i="21"/>
  <c r="AQ40" i="21"/>
  <c r="AP40" i="21"/>
  <c r="AO40" i="21"/>
  <c r="AN40" i="21"/>
  <c r="AM40" i="21"/>
  <c r="AL40" i="21"/>
  <c r="AW38" i="21"/>
  <c r="AV38" i="21"/>
  <c r="AU38" i="21"/>
  <c r="AT38" i="21"/>
  <c r="AS38" i="21"/>
  <c r="AR38" i="21"/>
  <c r="AQ38" i="21"/>
  <c r="AP38" i="21"/>
  <c r="AO38" i="21"/>
  <c r="AN38" i="21"/>
  <c r="AM38" i="21"/>
  <c r="AL38" i="21"/>
  <c r="AW36" i="21"/>
  <c r="AV36" i="21"/>
  <c r="AU36" i="21"/>
  <c r="AT36" i="21"/>
  <c r="AS36" i="21"/>
  <c r="AR36" i="21"/>
  <c r="AQ36" i="21"/>
  <c r="AP36" i="21"/>
  <c r="AO36" i="21"/>
  <c r="AX36" i="21" s="1"/>
  <c r="AY36" i="21" s="1"/>
  <c r="AN36" i="21"/>
  <c r="AM36" i="21"/>
  <c r="AL36" i="21"/>
  <c r="AW34" i="21"/>
  <c r="AV34" i="21"/>
  <c r="AU34" i="21"/>
  <c r="AT34" i="21"/>
  <c r="AS34" i="21"/>
  <c r="AR34" i="21"/>
  <c r="AQ34" i="21"/>
  <c r="AP34" i="21"/>
  <c r="AO34" i="21"/>
  <c r="AN34" i="21"/>
  <c r="AM34" i="21"/>
  <c r="AX34" i="21" s="1"/>
  <c r="AY34" i="21" s="1"/>
  <c r="AL34" i="21"/>
  <c r="AY32" i="21"/>
  <c r="AX32" i="21"/>
  <c r="AW32" i="21"/>
  <c r="AV32" i="21"/>
  <c r="AU32" i="21"/>
  <c r="AT32" i="21"/>
  <c r="AS32" i="21"/>
  <c r="AR32" i="21"/>
  <c r="AQ32" i="21"/>
  <c r="AP32" i="21"/>
  <c r="AO32" i="21"/>
  <c r="AN32" i="21"/>
  <c r="AM32" i="21"/>
  <c r="AL32" i="21"/>
  <c r="AW30" i="21"/>
  <c r="AV30" i="21"/>
  <c r="AU30" i="21"/>
  <c r="AT30" i="21"/>
  <c r="AS30" i="21"/>
  <c r="AR30" i="21"/>
  <c r="AQ30" i="21"/>
  <c r="AP30" i="21"/>
  <c r="AO30" i="21"/>
  <c r="AN30" i="21"/>
  <c r="AM30" i="21"/>
  <c r="AL30" i="21"/>
  <c r="AW28" i="21"/>
  <c r="AV28" i="21"/>
  <c r="AU28" i="21"/>
  <c r="AT28" i="21"/>
  <c r="AS28" i="21"/>
  <c r="AR28" i="21"/>
  <c r="AQ28" i="21"/>
  <c r="AP28" i="21"/>
  <c r="AO28" i="21"/>
  <c r="AN28" i="21"/>
  <c r="AM28" i="21"/>
  <c r="AL28" i="21"/>
  <c r="AY26" i="21"/>
  <c r="AX26" i="21"/>
  <c r="AW26" i="21"/>
  <c r="AV26" i="21"/>
  <c r="AU26" i="21"/>
  <c r="AT26" i="21"/>
  <c r="AS26" i="21"/>
  <c r="AR26" i="21"/>
  <c r="AQ26" i="21"/>
  <c r="AP26" i="21"/>
  <c r="AO26" i="21"/>
  <c r="AN26" i="21"/>
  <c r="AM26" i="21"/>
  <c r="AL26" i="21"/>
  <c r="AW24" i="21"/>
  <c r="AV24" i="21"/>
  <c r="AU24" i="21"/>
  <c r="AT24" i="21"/>
  <c r="AS24" i="21"/>
  <c r="AR24" i="21"/>
  <c r="AQ24" i="21"/>
  <c r="AP24" i="21"/>
  <c r="AO24" i="21"/>
  <c r="AN24" i="21"/>
  <c r="AM24" i="21"/>
  <c r="AL24" i="21"/>
  <c r="AW22" i="21"/>
  <c r="AV22" i="21"/>
  <c r="AU22" i="21"/>
  <c r="AT22" i="21"/>
  <c r="AS22" i="21"/>
  <c r="AR22" i="21"/>
  <c r="AQ22" i="21"/>
  <c r="AP22" i="21"/>
  <c r="AO22" i="21"/>
  <c r="AX22" i="21" s="1"/>
  <c r="AY22" i="21" s="1"/>
  <c r="AN22" i="21"/>
  <c r="AM22" i="21"/>
  <c r="AL22" i="21"/>
  <c r="AW20" i="21"/>
  <c r="AV20" i="21"/>
  <c r="AU20" i="21"/>
  <c r="AT20" i="21"/>
  <c r="AS20" i="21"/>
  <c r="AR20" i="21"/>
  <c r="AQ20" i="21"/>
  <c r="AX20" i="21" s="1"/>
  <c r="AY20" i="21" s="1"/>
  <c r="AP20" i="21"/>
  <c r="AO20" i="21"/>
  <c r="AN20" i="21"/>
  <c r="AM20" i="21"/>
  <c r="AL20" i="21"/>
  <c r="AW18" i="21"/>
  <c r="AV18" i="21"/>
  <c r="AU18" i="21"/>
  <c r="AT18" i="21"/>
  <c r="AS18" i="21"/>
  <c r="AR18" i="21"/>
  <c r="AQ18" i="21"/>
  <c r="AP18" i="21"/>
  <c r="AO18" i="21"/>
  <c r="AN18" i="21"/>
  <c r="AX18" i="21" s="1"/>
  <c r="AY18" i="21" s="1"/>
  <c r="AM18" i="21"/>
  <c r="AL18" i="21"/>
  <c r="AW16" i="21"/>
  <c r="AV16" i="21"/>
  <c r="AU16" i="21"/>
  <c r="AT16" i="21"/>
  <c r="AS16" i="21"/>
  <c r="AR16" i="21"/>
  <c r="AQ16" i="21"/>
  <c r="AP16" i="21"/>
  <c r="AO16" i="21"/>
  <c r="AN16" i="21"/>
  <c r="AM16" i="21"/>
  <c r="AL16" i="21"/>
  <c r="AW14" i="21"/>
  <c r="AV14" i="21"/>
  <c r="AU14" i="21"/>
  <c r="AT14" i="21"/>
  <c r="AS14" i="21"/>
  <c r="AR14" i="21"/>
  <c r="AQ14" i="21"/>
  <c r="AP14" i="21"/>
  <c r="AO14" i="21"/>
  <c r="AN14" i="21"/>
  <c r="AM14" i="21"/>
  <c r="AL14" i="21"/>
  <c r="AW12" i="21"/>
  <c r="AV12" i="21"/>
  <c r="AU12" i="21"/>
  <c r="AT12" i="21"/>
  <c r="AS12" i="21"/>
  <c r="AR12" i="21"/>
  <c r="AQ12" i="21"/>
  <c r="AP12" i="21"/>
  <c r="AO12" i="21"/>
  <c r="AN12" i="21"/>
  <c r="AM12" i="21"/>
  <c r="AL12" i="21"/>
  <c r="AW10" i="21"/>
  <c r="AV10" i="21"/>
  <c r="AU10" i="21"/>
  <c r="AT10" i="21"/>
  <c r="AS10" i="21"/>
  <c r="AR10" i="21"/>
  <c r="AQ10" i="21"/>
  <c r="AP10" i="21"/>
  <c r="AO10" i="21"/>
  <c r="AN10" i="21"/>
  <c r="AM10" i="21"/>
  <c r="AX10" i="21" s="1"/>
  <c r="AY10" i="21" s="1"/>
  <c r="AL10" i="21"/>
  <c r="F4" i="21"/>
  <c r="D4" i="21"/>
  <c r="B4" i="21"/>
  <c r="O16" i="20"/>
  <c r="N16" i="20"/>
  <c r="M16" i="20"/>
  <c r="O15" i="20"/>
  <c r="N15" i="20"/>
  <c r="M15" i="20"/>
  <c r="O14" i="20"/>
  <c r="N14" i="20"/>
  <c r="M14" i="20"/>
  <c r="O23" i="19"/>
  <c r="N23" i="19"/>
  <c r="M23" i="19"/>
  <c r="L23" i="19"/>
  <c r="O22" i="19"/>
  <c r="N22" i="19"/>
  <c r="M22" i="19"/>
  <c r="O21" i="19"/>
  <c r="N21" i="19"/>
  <c r="M21" i="19"/>
  <c r="O20" i="19"/>
  <c r="N20" i="19"/>
  <c r="M20" i="19"/>
  <c r="L20" i="19"/>
  <c r="O19" i="19"/>
  <c r="N19" i="19"/>
  <c r="M19" i="19"/>
  <c r="O18" i="19"/>
  <c r="N18" i="19"/>
  <c r="M18" i="19"/>
  <c r="O17" i="19"/>
  <c r="N17" i="19"/>
  <c r="M17" i="19"/>
  <c r="O16" i="19"/>
  <c r="N16" i="19"/>
  <c r="M16" i="19"/>
  <c r="O15" i="19"/>
  <c r="N15" i="19"/>
  <c r="M15" i="19"/>
  <c r="P46" i="18"/>
  <c r="N46" i="18"/>
  <c r="L46" i="18"/>
  <c r="P45" i="18"/>
  <c r="N45" i="18"/>
  <c r="L45" i="18"/>
  <c r="P44" i="18"/>
  <c r="N44" i="18"/>
  <c r="L44" i="18"/>
  <c r="R43" i="18"/>
  <c r="P43" i="18"/>
  <c r="N43" i="18"/>
  <c r="L43" i="18"/>
  <c r="R41" i="18"/>
  <c r="P41" i="18"/>
  <c r="N41" i="18"/>
  <c r="L41" i="18"/>
  <c r="R39" i="18"/>
  <c r="P39" i="18"/>
  <c r="N39" i="18"/>
  <c r="L39" i="18"/>
  <c r="R37" i="18"/>
  <c r="Q37" i="18"/>
  <c r="P37" i="18"/>
  <c r="O37" i="18"/>
  <c r="N37" i="18"/>
  <c r="R35" i="18"/>
  <c r="Q35" i="18"/>
  <c r="P35" i="18"/>
  <c r="O35" i="18"/>
  <c r="N35" i="18"/>
  <c r="R33" i="18"/>
  <c r="Q33" i="18"/>
  <c r="P33" i="18"/>
  <c r="O33" i="18"/>
  <c r="N33" i="18"/>
  <c r="P27" i="18"/>
  <c r="R25" i="18"/>
  <c r="P25" i="18"/>
  <c r="N25" i="18"/>
  <c r="L25" i="18"/>
  <c r="R24" i="18"/>
  <c r="P24" i="18"/>
  <c r="N24" i="18"/>
  <c r="L24" i="18"/>
  <c r="R23" i="18"/>
  <c r="P23" i="18"/>
  <c r="N23" i="18"/>
  <c r="L23" i="18"/>
  <c r="R22" i="18"/>
  <c r="P22" i="18"/>
  <c r="L22" i="18"/>
  <c r="R21" i="18"/>
  <c r="P21" i="18"/>
  <c r="N21" i="18"/>
  <c r="L21" i="18"/>
  <c r="R20" i="18"/>
  <c r="P20" i="18"/>
  <c r="N20" i="18"/>
  <c r="L20" i="18"/>
  <c r="R19" i="18"/>
  <c r="Q19" i="18"/>
  <c r="P19" i="18"/>
  <c r="O19" i="18"/>
  <c r="N19" i="18"/>
  <c r="L19" i="18"/>
  <c r="R18" i="18"/>
  <c r="P18" i="18"/>
  <c r="N18" i="18"/>
  <c r="L18" i="18"/>
  <c r="R17" i="18"/>
  <c r="Q17" i="18"/>
  <c r="P17" i="18"/>
  <c r="N17" i="18"/>
  <c r="L17" i="18"/>
  <c r="R16" i="18"/>
  <c r="Q16" i="18"/>
  <c r="P16" i="18"/>
  <c r="O16" i="18"/>
  <c r="N16" i="18"/>
  <c r="L16" i="18"/>
  <c r="R15" i="18"/>
  <c r="P15" i="18"/>
  <c r="N15" i="18"/>
  <c r="L15" i="18"/>
  <c r="R14" i="18"/>
  <c r="Q14" i="18"/>
  <c r="P14" i="18"/>
  <c r="N14" i="18"/>
  <c r="L14" i="18"/>
  <c r="R13" i="18"/>
  <c r="Q13" i="18"/>
  <c r="P13" i="18"/>
  <c r="N13" i="18"/>
  <c r="L13" i="18"/>
  <c r="R12" i="18"/>
  <c r="Q12" i="18"/>
  <c r="P12" i="18"/>
  <c r="N12" i="18"/>
  <c r="L12" i="18"/>
  <c r="R11" i="18"/>
  <c r="P11" i="18"/>
  <c r="N11" i="18"/>
  <c r="L11" i="18"/>
  <c r="R10" i="18"/>
  <c r="P10" i="18"/>
  <c r="N10" i="18"/>
  <c r="L10" i="18"/>
  <c r="R9" i="18"/>
  <c r="P9" i="18"/>
  <c r="N9" i="18"/>
  <c r="L9" i="18"/>
  <c r="R8" i="18"/>
  <c r="P8" i="18"/>
  <c r="N8" i="18"/>
  <c r="L8" i="18"/>
  <c r="R55" i="17"/>
  <c r="Q55" i="17"/>
  <c r="P55" i="17"/>
  <c r="O55" i="17"/>
  <c r="N55" i="17"/>
  <c r="R54" i="17"/>
  <c r="Q54" i="17"/>
  <c r="P54" i="17"/>
  <c r="O54" i="17"/>
  <c r="N54" i="17"/>
  <c r="L54" i="17"/>
  <c r="R53" i="17"/>
  <c r="Q53" i="17"/>
  <c r="P53" i="17"/>
  <c r="O53" i="17"/>
  <c r="N53" i="17"/>
  <c r="L53" i="17"/>
  <c r="R51" i="17"/>
  <c r="P51" i="17"/>
  <c r="N51" i="17"/>
  <c r="R49" i="17"/>
  <c r="P49" i="17"/>
  <c r="N49" i="17"/>
  <c r="R48" i="17"/>
  <c r="P48" i="17"/>
  <c r="N48" i="17"/>
  <c r="R47" i="17"/>
  <c r="P47" i="17"/>
  <c r="N47" i="17"/>
  <c r="R46" i="17"/>
  <c r="P46" i="17"/>
  <c r="N46" i="17"/>
  <c r="R45" i="17"/>
  <c r="P45" i="17"/>
  <c r="N45" i="17"/>
  <c r="L45" i="17"/>
  <c r="R44" i="17"/>
  <c r="P44" i="17"/>
  <c r="N44" i="17"/>
  <c r="R43" i="17"/>
  <c r="P43" i="17"/>
  <c r="N43" i="17"/>
  <c r="R42" i="17"/>
  <c r="P42" i="17"/>
  <c r="N42" i="17"/>
  <c r="R40" i="17"/>
  <c r="P40" i="17"/>
  <c r="N40" i="17"/>
  <c r="R39" i="17"/>
  <c r="P39" i="17"/>
  <c r="N39" i="17"/>
  <c r="R38" i="17"/>
  <c r="P38" i="17"/>
  <c r="N38" i="17"/>
  <c r="R37" i="17"/>
  <c r="P37" i="17"/>
  <c r="N37" i="17"/>
  <c r="R36" i="17"/>
  <c r="P36" i="17"/>
  <c r="N36" i="17"/>
  <c r="R35" i="17"/>
  <c r="P35" i="17"/>
  <c r="N35" i="17"/>
  <c r="R28" i="17"/>
  <c r="P28" i="17"/>
  <c r="N28" i="17"/>
  <c r="L28" i="17"/>
  <c r="R27" i="17"/>
  <c r="P27" i="17"/>
  <c r="N27" i="17"/>
  <c r="L27" i="17"/>
  <c r="R26" i="17"/>
  <c r="P26" i="17"/>
  <c r="N26" i="17"/>
  <c r="L26" i="17"/>
  <c r="S25" i="17"/>
  <c r="R25" i="17"/>
  <c r="Q25" i="17"/>
  <c r="P25" i="17"/>
  <c r="O25" i="17"/>
  <c r="N25" i="17"/>
  <c r="M25" i="17"/>
  <c r="L25" i="17"/>
  <c r="R24" i="17"/>
  <c r="P24" i="17"/>
  <c r="N24" i="17"/>
  <c r="L24" i="17"/>
  <c r="S23" i="17"/>
  <c r="R23" i="17"/>
  <c r="Q23" i="17"/>
  <c r="P23" i="17"/>
  <c r="O23" i="17"/>
  <c r="N23" i="17"/>
  <c r="M23" i="17"/>
  <c r="L23" i="17"/>
  <c r="R22" i="17"/>
  <c r="P22" i="17"/>
  <c r="N22" i="17"/>
  <c r="L22" i="17"/>
  <c r="S21" i="17"/>
  <c r="R21" i="17"/>
  <c r="Q21" i="17"/>
  <c r="P21" i="17"/>
  <c r="O21" i="17"/>
  <c r="N21" i="17"/>
  <c r="M21" i="17"/>
  <c r="L21" i="17"/>
  <c r="R20" i="17"/>
  <c r="P20" i="17"/>
  <c r="N20" i="17"/>
  <c r="L20" i="17"/>
  <c r="S19" i="17"/>
  <c r="R19" i="17"/>
  <c r="Q19" i="17"/>
  <c r="P19" i="17"/>
  <c r="O19" i="17"/>
  <c r="N19" i="17"/>
  <c r="M19" i="17"/>
  <c r="L19" i="17"/>
  <c r="R18" i="17"/>
  <c r="P18" i="17"/>
  <c r="N18" i="17"/>
  <c r="L18" i="17"/>
  <c r="S17" i="17"/>
  <c r="R17" i="17"/>
  <c r="Q17" i="17"/>
  <c r="P17" i="17"/>
  <c r="O17" i="17"/>
  <c r="N17" i="17"/>
  <c r="M17" i="17"/>
  <c r="L17" i="17"/>
  <c r="R16" i="17"/>
  <c r="P16" i="17"/>
  <c r="N16" i="17"/>
  <c r="L16" i="17"/>
  <c r="S15" i="17"/>
  <c r="R15" i="17"/>
  <c r="Q15" i="17"/>
  <c r="P15" i="17"/>
  <c r="O15" i="17"/>
  <c r="N15" i="17"/>
  <c r="M15" i="17"/>
  <c r="L15" i="17"/>
  <c r="R14" i="17"/>
  <c r="P14" i="17"/>
  <c r="N14" i="17"/>
  <c r="L14" i="17"/>
  <c r="S13" i="17"/>
  <c r="R13" i="17"/>
  <c r="Q13" i="17"/>
  <c r="P13" i="17"/>
  <c r="O13" i="17"/>
  <c r="N13" i="17"/>
  <c r="M13" i="17"/>
  <c r="L13" i="17"/>
  <c r="S11" i="17"/>
  <c r="R11" i="17"/>
  <c r="Q11" i="17"/>
  <c r="P11" i="17"/>
  <c r="O11" i="17"/>
  <c r="N11" i="17"/>
  <c r="M11" i="17"/>
  <c r="L11" i="17"/>
  <c r="S9" i="17"/>
  <c r="R9" i="17"/>
  <c r="Q9" i="17"/>
  <c r="P9" i="17"/>
  <c r="O9" i="17"/>
  <c r="N9" i="17"/>
  <c r="M9" i="17"/>
  <c r="L9" i="17"/>
  <c r="AX66" i="21" l="1"/>
  <c r="AY66" i="21" s="1"/>
  <c r="AX52" i="21"/>
  <c r="AY52" i="21" s="1"/>
  <c r="AX213" i="21"/>
  <c r="AY213" i="21" s="1"/>
  <c r="AX182" i="21"/>
  <c r="AY182" i="21" s="1"/>
  <c r="AX174" i="21"/>
  <c r="AY174" i="21" s="1"/>
  <c r="AX172" i="21"/>
  <c r="AY172" i="21" s="1"/>
  <c r="AX147" i="21"/>
  <c r="AY147" i="21" s="1"/>
  <c r="AX143" i="21"/>
  <c r="AY143" i="21" s="1"/>
  <c r="AX139" i="21"/>
  <c r="AY139" i="21" s="1"/>
  <c r="AX137" i="21"/>
  <c r="AY137" i="21" s="1"/>
  <c r="AX133" i="21"/>
  <c r="AY133" i="21" s="1"/>
  <c r="AX131" i="21"/>
  <c r="AY131" i="21" s="1"/>
  <c r="AX127" i="21"/>
  <c r="AY127" i="21" s="1"/>
  <c r="AX123" i="21"/>
  <c r="AY123" i="21" s="1"/>
  <c r="AX97" i="21"/>
  <c r="AY97" i="21" s="1"/>
  <c r="AX90" i="21"/>
  <c r="AY90" i="21" s="1"/>
  <c r="AX84" i="21"/>
  <c r="AY84" i="21" s="1"/>
  <c r="AX80" i="21"/>
  <c r="AY80" i="21" s="1"/>
  <c r="AX78" i="21"/>
  <c r="AY78" i="21" s="1"/>
  <c r="AX76" i="21"/>
  <c r="AY76" i="21" s="1"/>
  <c r="AX74" i="21"/>
  <c r="AY74" i="21" s="1"/>
  <c r="AX72" i="21"/>
  <c r="AY72" i="21" s="1"/>
  <c r="AX68" i="21"/>
  <c r="AY68" i="21" s="1"/>
  <c r="AX64" i="21"/>
  <c r="AY64" i="21" s="1"/>
  <c r="AX60" i="21"/>
  <c r="AY60" i="21" s="1"/>
  <c r="AX48" i="21"/>
  <c r="AY48" i="21" s="1"/>
  <c r="AX46" i="21"/>
  <c r="AY46" i="21" s="1"/>
  <c r="AX40" i="21"/>
  <c r="AY40" i="21" s="1"/>
  <c r="AX38" i="21"/>
  <c r="AY38" i="21" s="1"/>
  <c r="AX30" i="21"/>
  <c r="AY30" i="21" s="1"/>
  <c r="AX16" i="21"/>
  <c r="AY16" i="21" s="1"/>
  <c r="AX14" i="21"/>
  <c r="AY14" i="21" s="1"/>
  <c r="AX28" i="21"/>
  <c r="AY28" i="21" s="1"/>
  <c r="AX24" i="21"/>
  <c r="AY24" i="21" s="1"/>
  <c r="AX12" i="21"/>
  <c r="AY12" i="21" s="1"/>
  <c r="AX86" i="21"/>
  <c r="AY86" i="21" s="1"/>
  <c r="R17" i="30"/>
  <c r="M32" i="28"/>
  <c r="O32" i="28" s="1"/>
  <c r="R7" i="30"/>
  <c r="R8" i="30"/>
  <c r="F10" i="30"/>
  <c r="F8" i="30"/>
  <c r="F13" i="30"/>
  <c r="O14" i="28"/>
  <c r="R6" i="30"/>
  <c r="L10" i="30"/>
  <c r="R4" i="30"/>
  <c r="F14" i="30"/>
  <c r="X5" i="30"/>
  <c r="L11" i="30"/>
  <c r="R5" i="30"/>
  <c r="L24" i="28"/>
  <c r="L23" i="28"/>
  <c r="P23" i="28" s="1"/>
  <c r="O24" i="28"/>
  <c r="L139" i="28"/>
  <c r="J7" i="30"/>
  <c r="J17" i="30" s="1"/>
  <c r="J27" i="30" s="1"/>
  <c r="J37" i="30" s="1"/>
  <c r="J47" i="30" s="1"/>
  <c r="J57" i="30" s="1"/>
  <c r="J67" i="30" s="1"/>
  <c r="J77" i="30" s="1"/>
  <c r="J87" i="30" s="1"/>
  <c r="J97" i="30" s="1"/>
  <c r="J107" i="30" s="1"/>
  <c r="J117" i="30" s="1"/>
  <c r="L117" i="30" s="1"/>
  <c r="L5" i="30"/>
  <c r="F4" i="30"/>
  <c r="F5" i="30"/>
  <c r="D18" i="30"/>
  <c r="D31" i="30" s="1"/>
  <c r="D44" i="30" s="1"/>
  <c r="F44" i="30" s="1"/>
  <c r="O22" i="28"/>
  <c r="L22" i="28"/>
  <c r="L21" i="28"/>
  <c r="P21" i="28" s="1"/>
  <c r="D4" i="30" s="1"/>
  <c r="O20" i="28"/>
  <c r="L20" i="28"/>
  <c r="L19" i="28"/>
  <c r="P19" i="28" s="1"/>
  <c r="L3" i="30"/>
  <c r="L31" i="28"/>
  <c r="P32" i="28" s="1"/>
  <c r="O12" i="28"/>
  <c r="F3" i="30" s="1"/>
  <c r="L32" i="28"/>
  <c r="L4" i="30"/>
  <c r="F7" i="30"/>
  <c r="L12" i="30"/>
  <c r="L39" i="28"/>
  <c r="L40" i="28" s="1"/>
  <c r="D6" i="30" s="1"/>
  <c r="D19" i="30" s="1"/>
  <c r="D32" i="30" s="1"/>
  <c r="D45" i="30" s="1"/>
  <c r="R3" i="30"/>
  <c r="L6" i="30"/>
  <c r="L8" i="30"/>
  <c r="X3" i="30"/>
  <c r="O10" i="28"/>
  <c r="M30" i="28"/>
  <c r="M34" i="28"/>
  <c r="L9" i="30"/>
  <c r="D15" i="30"/>
  <c r="D28" i="30" s="1"/>
  <c r="F28" i="30" s="1"/>
  <c r="F12" i="30"/>
  <c r="J36" i="30"/>
  <c r="L26" i="30"/>
  <c r="J55" i="30"/>
  <c r="J65" i="30" s="1"/>
  <c r="J75" i="30" s="1"/>
  <c r="L45" i="30"/>
  <c r="F34" i="30"/>
  <c r="D47" i="30"/>
  <c r="D60" i="30" s="1"/>
  <c r="D73" i="30" s="1"/>
  <c r="F36" i="30"/>
  <c r="D49" i="30"/>
  <c r="J51" i="30"/>
  <c r="L41" i="30"/>
  <c r="D53" i="30"/>
  <c r="D66" i="30" s="1"/>
  <c r="D79" i="30" s="1"/>
  <c r="F40" i="30"/>
  <c r="P16" i="30"/>
  <c r="P22" i="30" s="1"/>
  <c r="R10" i="30"/>
  <c r="J28" i="30"/>
  <c r="L18" i="30"/>
  <c r="J30" i="30"/>
  <c r="L20" i="30"/>
  <c r="L14" i="30"/>
  <c r="P21" i="30"/>
  <c r="P27" i="30" s="1"/>
  <c r="P33" i="30" s="1"/>
  <c r="P39" i="30" s="1"/>
  <c r="P45" i="30" s="1"/>
  <c r="R15" i="30"/>
  <c r="F22" i="30"/>
  <c r="D35" i="30"/>
  <c r="P29" i="30"/>
  <c r="P35" i="30" s="1"/>
  <c r="P41" i="30" s="1"/>
  <c r="P47" i="30" s="1"/>
  <c r="P53" i="30" s="1"/>
  <c r="R23" i="30"/>
  <c r="P18" i="30"/>
  <c r="R12" i="30"/>
  <c r="J59" i="30"/>
  <c r="L49" i="30"/>
  <c r="R11" i="30"/>
  <c r="L16" i="30"/>
  <c r="V13" i="30"/>
  <c r="V16" i="30" s="1"/>
  <c r="X10" i="30"/>
  <c r="P20" i="30"/>
  <c r="P26" i="30" s="1"/>
  <c r="R14" i="30"/>
  <c r="X11" i="30"/>
  <c r="X14" i="30"/>
  <c r="P25" i="30"/>
  <c r="R19" i="30"/>
  <c r="L22" i="30"/>
  <c r="J23" i="30"/>
  <c r="J33" i="30" s="1"/>
  <c r="J43" i="30" s="1"/>
  <c r="L13" i="30"/>
  <c r="X12" i="30"/>
  <c r="V15" i="30"/>
  <c r="R9" i="30"/>
  <c r="F24" i="30"/>
  <c r="D37" i="30"/>
  <c r="D50" i="30" s="1"/>
  <c r="D63" i="30" s="1"/>
  <c r="D76" i="30" s="1"/>
  <c r="R13" i="30"/>
  <c r="J34" i="30"/>
  <c r="L24" i="30"/>
  <c r="X7" i="30"/>
  <c r="V20" i="30"/>
  <c r="X17" i="30"/>
  <c r="X9" i="30"/>
  <c r="J42" i="30"/>
  <c r="J52" i="30" s="1"/>
  <c r="J62" i="30" s="1"/>
  <c r="L32" i="30"/>
  <c r="L27" i="30"/>
  <c r="F38" i="30"/>
  <c r="D51" i="30"/>
  <c r="L21" i="30"/>
  <c r="F23" i="30"/>
  <c r="F27" i="30"/>
  <c r="L17" i="30"/>
  <c r="D26" i="30"/>
  <c r="L35" i="30"/>
  <c r="X4" i="30"/>
  <c r="X6" i="30"/>
  <c r="X8" i="30"/>
  <c r="L29" i="30"/>
  <c r="L37" i="30"/>
  <c r="F60" i="30"/>
  <c r="F19" i="30"/>
  <c r="D20" i="30"/>
  <c r="L77" i="30"/>
  <c r="D16" i="30"/>
  <c r="F25" i="30"/>
  <c r="L31" i="30"/>
  <c r="L39" i="30"/>
  <c r="F9" i="30"/>
  <c r="F11" i="30"/>
  <c r="L15" i="30"/>
  <c r="L19" i="30"/>
  <c r="F21" i="30"/>
  <c r="L25" i="30"/>
  <c r="L67" i="30"/>
  <c r="AX217" i="21"/>
  <c r="AY217" i="21" s="1"/>
  <c r="AX233" i="21"/>
  <c r="AX195" i="21"/>
  <c r="AY195" i="21" s="1"/>
  <c r="AX197" i="21"/>
  <c r="AY197" i="21" s="1"/>
  <c r="AX215" i="21"/>
  <c r="AX225" i="21"/>
  <c r="AX227" i="21"/>
  <c r="AX199" i="21"/>
  <c r="AY199" i="21" s="1"/>
  <c r="AX166" i="21"/>
  <c r="AY166" i="21" s="1"/>
  <c r="AX176" i="21"/>
  <c r="AY176" i="21" s="1"/>
  <c r="AX156" i="21"/>
  <c r="AY156" i="21" s="1"/>
  <c r="AX164" i="21"/>
  <c r="AY164" i="21" s="1"/>
  <c r="AX188" i="21"/>
  <c r="AY188" i="21" s="1"/>
  <c r="AX154" i="21"/>
  <c r="AY154" i="21" s="1"/>
  <c r="AX158" i="21"/>
  <c r="AY158" i="21" s="1"/>
  <c r="AX135" i="21"/>
  <c r="AY135" i="21" s="1"/>
  <c r="AX170" i="21"/>
  <c r="AX101" i="21"/>
  <c r="AY101" i="21" s="1"/>
  <c r="AX99" i="21"/>
  <c r="AY237" i="21" l="1"/>
  <c r="BD237" i="21" s="1"/>
  <c r="BF237" i="21" s="1"/>
  <c r="AY190" i="21"/>
  <c r="BD190" i="21" s="1"/>
  <c r="BE190" i="21" s="1"/>
  <c r="AY149" i="21"/>
  <c r="BD149" i="21" s="1"/>
  <c r="AY92" i="21"/>
  <c r="BD92" i="21" s="1"/>
  <c r="D17" i="30"/>
  <c r="D30" i="30" s="1"/>
  <c r="D43" i="30" s="1"/>
  <c r="D41" i="30"/>
  <c r="L57" i="30"/>
  <c r="L107" i="30"/>
  <c r="L97" i="30"/>
  <c r="F30" i="30"/>
  <c r="L87" i="30"/>
  <c r="F17" i="30"/>
  <c r="L47" i="30"/>
  <c r="F47" i="30"/>
  <c r="R47" i="30"/>
  <c r="R35" i="30"/>
  <c r="F31" i="30"/>
  <c r="F18" i="30"/>
  <c r="D57" i="30"/>
  <c r="D70" i="30" s="1"/>
  <c r="R33" i="30"/>
  <c r="L65" i="30"/>
  <c r="F66" i="30"/>
  <c r="L33" i="30"/>
  <c r="F15" i="30"/>
  <c r="L52" i="30"/>
  <c r="R39" i="30"/>
  <c r="L23" i="30"/>
  <c r="F53" i="30"/>
  <c r="L55" i="30"/>
  <c r="F32" i="30"/>
  <c r="R16" i="30"/>
  <c r="D58" i="30"/>
  <c r="F45" i="30"/>
  <c r="F63" i="30"/>
  <c r="O34" i="28"/>
  <c r="L33" i="28"/>
  <c r="P34" i="28" s="1"/>
  <c r="L34" i="28"/>
  <c r="O30" i="28"/>
  <c r="L30" i="28"/>
  <c r="L29" i="28"/>
  <c r="P30" i="28" s="1"/>
  <c r="R41" i="30"/>
  <c r="F37" i="30"/>
  <c r="F6" i="30"/>
  <c r="R27" i="30"/>
  <c r="X13" i="30"/>
  <c r="F50" i="30"/>
  <c r="R29" i="30"/>
  <c r="L7" i="30"/>
  <c r="R20" i="30"/>
  <c r="V18" i="30"/>
  <c r="X15" i="30"/>
  <c r="F35" i="30"/>
  <c r="D48" i="30"/>
  <c r="D62" i="30"/>
  <c r="F49" i="30"/>
  <c r="F51" i="30"/>
  <c r="D64" i="30"/>
  <c r="J72" i="30"/>
  <c r="L62" i="30"/>
  <c r="J44" i="30"/>
  <c r="L34" i="30"/>
  <c r="D86" i="30"/>
  <c r="F73" i="30"/>
  <c r="D29" i="30"/>
  <c r="F16" i="30"/>
  <c r="L43" i="30"/>
  <c r="J53" i="30"/>
  <c r="J69" i="30"/>
  <c r="L59" i="30"/>
  <c r="R45" i="30"/>
  <c r="P51" i="30"/>
  <c r="P28" i="30"/>
  <c r="R22" i="30"/>
  <c r="D54" i="30"/>
  <c r="F41" i="30"/>
  <c r="F20" i="30"/>
  <c r="D33" i="30"/>
  <c r="L42" i="30"/>
  <c r="R21" i="30"/>
  <c r="J38" i="30"/>
  <c r="L28" i="30"/>
  <c r="V23" i="30"/>
  <c r="X20" i="30"/>
  <c r="F76" i="30"/>
  <c r="D89" i="30"/>
  <c r="R26" i="30"/>
  <c r="P32" i="30"/>
  <c r="P24" i="30"/>
  <c r="R18" i="30"/>
  <c r="F79" i="30"/>
  <c r="D92" i="30"/>
  <c r="J85" i="30"/>
  <c r="L75" i="30"/>
  <c r="F26" i="30"/>
  <c r="D39" i="30"/>
  <c r="P31" i="30"/>
  <c r="R25" i="30"/>
  <c r="F43" i="30"/>
  <c r="D56" i="30"/>
  <c r="X16" i="30"/>
  <c r="V19" i="30"/>
  <c r="R53" i="30"/>
  <c r="P59" i="30"/>
  <c r="J40" i="30"/>
  <c r="L30" i="30"/>
  <c r="J61" i="30"/>
  <c r="L51" i="30"/>
  <c r="J46" i="30"/>
  <c r="L36" i="30"/>
  <c r="BE237" i="21" l="1"/>
  <c r="BF190" i="21"/>
  <c r="BE149" i="21"/>
  <c r="BF149" i="21"/>
  <c r="BF92" i="21"/>
  <c r="BE92" i="21"/>
  <c r="F57" i="30"/>
  <c r="D71" i="30"/>
  <c r="F58" i="30"/>
  <c r="R51" i="30"/>
  <c r="P57" i="30"/>
  <c r="V22" i="30"/>
  <c r="X19" i="30"/>
  <c r="D102" i="30"/>
  <c r="F89" i="30"/>
  <c r="D46" i="30"/>
  <c r="F33" i="30"/>
  <c r="D61" i="30"/>
  <c r="F48" i="30"/>
  <c r="R32" i="30"/>
  <c r="P38" i="30"/>
  <c r="J71" i="30"/>
  <c r="L61" i="30"/>
  <c r="J79" i="30"/>
  <c r="L69" i="30"/>
  <c r="J54" i="30"/>
  <c r="L44" i="30"/>
  <c r="D52" i="30"/>
  <c r="F39" i="30"/>
  <c r="F92" i="30"/>
  <c r="D105" i="30"/>
  <c r="J63" i="30"/>
  <c r="L53" i="30"/>
  <c r="V26" i="30"/>
  <c r="X23" i="30"/>
  <c r="D67" i="30"/>
  <c r="F54" i="30"/>
  <c r="L72" i="30"/>
  <c r="J82" i="30"/>
  <c r="V21" i="30"/>
  <c r="X18" i="30"/>
  <c r="D99" i="30"/>
  <c r="F86" i="30"/>
  <c r="D69" i="30"/>
  <c r="F56" i="30"/>
  <c r="D77" i="30"/>
  <c r="F64" i="30"/>
  <c r="J56" i="30"/>
  <c r="L46" i="30"/>
  <c r="D75" i="30"/>
  <c r="F62" i="30"/>
  <c r="J95" i="30"/>
  <c r="L85" i="30"/>
  <c r="J50" i="30"/>
  <c r="L40" i="30"/>
  <c r="D83" i="30"/>
  <c r="F70" i="30"/>
  <c r="R59" i="30"/>
  <c r="P65" i="30"/>
  <c r="P37" i="30"/>
  <c r="R31" i="30"/>
  <c r="P30" i="30"/>
  <c r="R24" i="30"/>
  <c r="J48" i="30"/>
  <c r="L38" i="30"/>
  <c r="R28" i="30"/>
  <c r="P34" i="30"/>
  <c r="D42" i="30"/>
  <c r="F29" i="30"/>
  <c r="D84" i="30" l="1"/>
  <c r="F71" i="30"/>
  <c r="J60" i="30"/>
  <c r="L50" i="30"/>
  <c r="D118" i="30"/>
  <c r="F105" i="30"/>
  <c r="J89" i="30"/>
  <c r="L79" i="30"/>
  <c r="D55" i="30"/>
  <c r="F42" i="30"/>
  <c r="P43" i="30"/>
  <c r="R37" i="30"/>
  <c r="J105" i="30"/>
  <c r="L95" i="30"/>
  <c r="D90" i="30"/>
  <c r="F77" i="30"/>
  <c r="J81" i="30"/>
  <c r="L71" i="30"/>
  <c r="D115" i="30"/>
  <c r="F102" i="30"/>
  <c r="J73" i="30"/>
  <c r="L63" i="30"/>
  <c r="R38" i="30"/>
  <c r="P44" i="30"/>
  <c r="V24" i="30"/>
  <c r="X21" i="30"/>
  <c r="F75" i="30"/>
  <c r="D88" i="30"/>
  <c r="D82" i="30"/>
  <c r="F69" i="30"/>
  <c r="F67" i="30"/>
  <c r="D80" i="30"/>
  <c r="F52" i="30"/>
  <c r="D65" i="30"/>
  <c r="X22" i="30"/>
  <c r="V25" i="30"/>
  <c r="R30" i="30"/>
  <c r="P36" i="30"/>
  <c r="P71" i="30"/>
  <c r="R71" i="30" s="1"/>
  <c r="R65" i="30"/>
  <c r="P63" i="30"/>
  <c r="R57" i="30"/>
  <c r="D59" i="30"/>
  <c r="F46" i="30"/>
  <c r="J92" i="30"/>
  <c r="L82" i="30"/>
  <c r="P40" i="30"/>
  <c r="R34" i="30"/>
  <c r="J58" i="30"/>
  <c r="L48" i="30"/>
  <c r="F83" i="30"/>
  <c r="D96" i="30"/>
  <c r="J66" i="30"/>
  <c r="L56" i="30"/>
  <c r="F99" i="30"/>
  <c r="D112" i="30"/>
  <c r="X26" i="30"/>
  <c r="V29" i="30"/>
  <c r="J64" i="30"/>
  <c r="L54" i="30"/>
  <c r="D74" i="30"/>
  <c r="F61" i="30"/>
  <c r="F84" i="30" l="1"/>
  <c r="D97" i="30"/>
  <c r="D78" i="30"/>
  <c r="F65" i="30"/>
  <c r="F80" i="30"/>
  <c r="D93" i="30"/>
  <c r="P50" i="30"/>
  <c r="R44" i="30"/>
  <c r="D87" i="30"/>
  <c r="F74" i="30"/>
  <c r="J76" i="30"/>
  <c r="L66" i="30"/>
  <c r="J102" i="30"/>
  <c r="L92" i="30"/>
  <c r="D103" i="30"/>
  <c r="F90" i="30"/>
  <c r="J99" i="30"/>
  <c r="L89" i="30"/>
  <c r="R36" i="30"/>
  <c r="P42" i="30"/>
  <c r="F112" i="30"/>
  <c r="D125" i="30"/>
  <c r="X24" i="30"/>
  <c r="V27" i="30"/>
  <c r="J74" i="30"/>
  <c r="L64" i="30"/>
  <c r="F59" i="30"/>
  <c r="D72" i="30"/>
  <c r="D95" i="30"/>
  <c r="F82" i="30"/>
  <c r="J83" i="30"/>
  <c r="L73" i="30"/>
  <c r="J115" i="30"/>
  <c r="L115" i="30" s="1"/>
  <c r="L105" i="30"/>
  <c r="D131" i="30"/>
  <c r="F118" i="30"/>
  <c r="D68" i="30"/>
  <c r="F55" i="30"/>
  <c r="F96" i="30"/>
  <c r="D109" i="30"/>
  <c r="V32" i="30"/>
  <c r="X29" i="30"/>
  <c r="V28" i="30"/>
  <c r="X25" i="30"/>
  <c r="F88" i="30"/>
  <c r="D101" i="30"/>
  <c r="P46" i="30"/>
  <c r="R40" i="30"/>
  <c r="J91" i="30"/>
  <c r="L81" i="30"/>
  <c r="J68" i="30"/>
  <c r="L58" i="30"/>
  <c r="P69" i="30"/>
  <c r="R69" i="30" s="1"/>
  <c r="R63" i="30"/>
  <c r="F115" i="30"/>
  <c r="D128" i="30"/>
  <c r="R43" i="30"/>
  <c r="P49" i="30"/>
  <c r="J70" i="30"/>
  <c r="L60" i="30"/>
  <c r="F97" i="30" l="1"/>
  <c r="D110" i="30"/>
  <c r="D122" i="30"/>
  <c r="F109" i="30"/>
  <c r="V30" i="30"/>
  <c r="X27" i="30"/>
  <c r="D141" i="30"/>
  <c r="F128" i="30"/>
  <c r="R46" i="30"/>
  <c r="P52" i="30"/>
  <c r="D114" i="30"/>
  <c r="F101" i="30"/>
  <c r="F125" i="30"/>
  <c r="D138" i="30"/>
  <c r="F103" i="30"/>
  <c r="D116" i="30"/>
  <c r="D81" i="30"/>
  <c r="F68" i="30"/>
  <c r="F95" i="30"/>
  <c r="D108" i="30"/>
  <c r="P56" i="30"/>
  <c r="R50" i="30"/>
  <c r="J93" i="30"/>
  <c r="L83" i="30"/>
  <c r="D85" i="30"/>
  <c r="F72" i="30"/>
  <c r="P48" i="30"/>
  <c r="R42" i="30"/>
  <c r="D106" i="30"/>
  <c r="F93" i="30"/>
  <c r="X28" i="30"/>
  <c r="V31" i="30"/>
  <c r="F131" i="30"/>
  <c r="D144" i="30"/>
  <c r="J112" i="30"/>
  <c r="L102" i="30"/>
  <c r="F87" i="30"/>
  <c r="D100" i="30"/>
  <c r="J80" i="30"/>
  <c r="L70" i="30"/>
  <c r="P55" i="30"/>
  <c r="R49" i="30"/>
  <c r="J78" i="30"/>
  <c r="L68" i="30"/>
  <c r="J101" i="30"/>
  <c r="L91" i="30"/>
  <c r="X32" i="30"/>
  <c r="V35" i="30"/>
  <c r="J84" i="30"/>
  <c r="L74" i="30"/>
  <c r="J109" i="30"/>
  <c r="L99" i="30"/>
  <c r="J86" i="30"/>
  <c r="L76" i="30"/>
  <c r="D91" i="30"/>
  <c r="F78" i="30"/>
  <c r="D123" i="30" l="1"/>
  <c r="F110" i="30"/>
  <c r="P58" i="30"/>
  <c r="R52" i="30"/>
  <c r="V34" i="30"/>
  <c r="X31" i="30"/>
  <c r="J90" i="30"/>
  <c r="L80" i="30"/>
  <c r="D129" i="30"/>
  <c r="F116" i="30"/>
  <c r="J96" i="30"/>
  <c r="L86" i="30"/>
  <c r="P62" i="30"/>
  <c r="R56" i="30"/>
  <c r="F141" i="30"/>
  <c r="D154" i="30"/>
  <c r="F154" i="30" s="1"/>
  <c r="V38" i="30"/>
  <c r="X38" i="30" s="1"/>
  <c r="X35" i="30"/>
  <c r="F91" i="30"/>
  <c r="D104" i="30"/>
  <c r="D151" i="30"/>
  <c r="F151" i="30" s="1"/>
  <c r="F138" i="30"/>
  <c r="J103" i="30"/>
  <c r="L93" i="30"/>
  <c r="F100" i="30"/>
  <c r="D113" i="30"/>
  <c r="J119" i="30"/>
  <c r="L119" i="30" s="1"/>
  <c r="L109" i="30"/>
  <c r="X30" i="30"/>
  <c r="V33" i="30"/>
  <c r="D94" i="30"/>
  <c r="F81" i="30"/>
  <c r="D119" i="30"/>
  <c r="F106" i="30"/>
  <c r="F108" i="30"/>
  <c r="D121" i="30"/>
  <c r="J111" i="30"/>
  <c r="L101" i="30"/>
  <c r="J88" i="30"/>
  <c r="L78" i="30"/>
  <c r="J122" i="30"/>
  <c r="L122" i="30" s="1"/>
  <c r="L112" i="30"/>
  <c r="P54" i="30"/>
  <c r="R48" i="30"/>
  <c r="D157" i="30"/>
  <c r="F157" i="30" s="1"/>
  <c r="F144" i="30"/>
  <c r="J94" i="30"/>
  <c r="L84" i="30"/>
  <c r="P61" i="30"/>
  <c r="R55" i="30"/>
  <c r="D98" i="30"/>
  <c r="F85" i="30"/>
  <c r="D127" i="30"/>
  <c r="F114" i="30"/>
  <c r="D135" i="30"/>
  <c r="F122" i="30"/>
  <c r="D136" i="30" l="1"/>
  <c r="F123" i="30"/>
  <c r="D126" i="30"/>
  <c r="F113" i="30"/>
  <c r="R61" i="30"/>
  <c r="P67" i="30"/>
  <c r="D148" i="30"/>
  <c r="F148" i="30" s="1"/>
  <c r="F135" i="30"/>
  <c r="D107" i="30"/>
  <c r="F94" i="30"/>
  <c r="J113" i="30"/>
  <c r="L113" i="30" s="1"/>
  <c r="L103" i="30"/>
  <c r="J100" i="30"/>
  <c r="L90" i="30"/>
  <c r="D142" i="30"/>
  <c r="F129" i="30"/>
  <c r="V36" i="30"/>
  <c r="X36" i="30" s="1"/>
  <c r="X33" i="30"/>
  <c r="D132" i="30"/>
  <c r="F119" i="30"/>
  <c r="J121" i="30"/>
  <c r="L121" i="30" s="1"/>
  <c r="L111" i="30"/>
  <c r="P68" i="30"/>
  <c r="R62" i="30"/>
  <c r="X34" i="30"/>
  <c r="V37" i="30"/>
  <c r="X37" i="30" s="1"/>
  <c r="J104" i="30"/>
  <c r="L94" i="30"/>
  <c r="D140" i="30"/>
  <c r="F127" i="30"/>
  <c r="D134" i="30"/>
  <c r="F121" i="30"/>
  <c r="F104" i="30"/>
  <c r="D117" i="30"/>
  <c r="J98" i="30"/>
  <c r="L88" i="30"/>
  <c r="D111" i="30"/>
  <c r="F98" i="30"/>
  <c r="R54" i="30"/>
  <c r="P60" i="30"/>
  <c r="J106" i="30"/>
  <c r="L96" i="30"/>
  <c r="P64" i="30"/>
  <c r="R58" i="30"/>
  <c r="D149" i="30" l="1"/>
  <c r="F149" i="30" s="1"/>
  <c r="F136" i="30"/>
  <c r="D130" i="30"/>
  <c r="F117" i="30"/>
  <c r="P66" i="30"/>
  <c r="R60" i="30"/>
  <c r="P74" i="30"/>
  <c r="R74" i="30" s="1"/>
  <c r="R68" i="30"/>
  <c r="F107" i="30"/>
  <c r="D120" i="30"/>
  <c r="R67" i="30"/>
  <c r="P73" i="30"/>
  <c r="R73" i="30" s="1"/>
  <c r="D147" i="30"/>
  <c r="F147" i="30" s="1"/>
  <c r="F134" i="30"/>
  <c r="J116" i="30"/>
  <c r="L116" i="30" s="1"/>
  <c r="L106" i="30"/>
  <c r="D155" i="30"/>
  <c r="F155" i="30" s="1"/>
  <c r="F142" i="30"/>
  <c r="D124" i="30"/>
  <c r="F111" i="30"/>
  <c r="D153" i="30"/>
  <c r="F153" i="30" s="1"/>
  <c r="F140" i="30"/>
  <c r="J110" i="30"/>
  <c r="L100" i="30"/>
  <c r="P70" i="30"/>
  <c r="R70" i="30" s="1"/>
  <c r="R64" i="30"/>
  <c r="J108" i="30"/>
  <c r="L98" i="30"/>
  <c r="J114" i="30"/>
  <c r="L114" i="30" s="1"/>
  <c r="L104" i="30"/>
  <c r="D145" i="30"/>
  <c r="F132" i="30"/>
  <c r="D139" i="30"/>
  <c r="F126" i="30"/>
  <c r="F139" i="30" l="1"/>
  <c r="D152" i="30"/>
  <c r="F152" i="30" s="1"/>
  <c r="J120" i="30"/>
  <c r="L120" i="30" s="1"/>
  <c r="L110" i="30"/>
  <c r="P72" i="30"/>
  <c r="R72" i="30" s="1"/>
  <c r="R66" i="30"/>
  <c r="F120" i="30"/>
  <c r="D133" i="30"/>
  <c r="D158" i="30"/>
  <c r="F158" i="30" s="1"/>
  <c r="F145" i="30"/>
  <c r="J118" i="30"/>
  <c r="L118" i="30" s="1"/>
  <c r="L108" i="30"/>
  <c r="D137" i="30"/>
  <c r="F124" i="30"/>
  <c r="D143" i="30"/>
  <c r="F130" i="30"/>
  <c r="D156" i="30" l="1"/>
  <c r="F156" i="30" s="1"/>
  <c r="F143" i="30"/>
  <c r="D150" i="30"/>
  <c r="F150" i="30" s="1"/>
  <c r="F137" i="30"/>
  <c r="F133" i="30"/>
  <c r="D146" i="30"/>
  <c r="F146" i="30" s="1"/>
</calcChain>
</file>

<file path=xl/comments1.xml><?xml version="1.0" encoding="utf-8"?>
<comments xmlns="http://schemas.openxmlformats.org/spreadsheetml/2006/main">
  <authors>
    <author>USUARIO310719</author>
  </authors>
  <commentList>
    <comment ref="N26" authorId="0" shapeId="0">
      <text>
        <r>
          <rPr>
            <b/>
            <sz val="9"/>
            <color indexed="81"/>
            <rFont val="Tahoma"/>
            <family val="2"/>
          </rPr>
          <t>USUARIO310719:</t>
        </r>
        <r>
          <rPr>
            <sz val="9"/>
            <color indexed="81"/>
            <rFont val="Tahoma"/>
            <family val="2"/>
          </rPr>
          <t xml:space="preserve">
AUMENTO DE 1,5%</t>
        </r>
      </text>
    </comment>
    <comment ref="P26" authorId="0" shapeId="0">
      <text>
        <r>
          <rPr>
            <b/>
            <sz val="9"/>
            <color indexed="81"/>
            <rFont val="Tahoma"/>
            <family val="2"/>
          </rPr>
          <t>USUARIO310719:</t>
        </r>
        <r>
          <rPr>
            <sz val="9"/>
            <color indexed="81"/>
            <rFont val="Tahoma"/>
            <family val="2"/>
          </rPr>
          <t xml:space="preserve">
AUMENTO DE 1,5%</t>
        </r>
      </text>
    </comment>
    <comment ref="R26" authorId="0" shapeId="0">
      <text>
        <r>
          <rPr>
            <b/>
            <sz val="9"/>
            <color indexed="81"/>
            <rFont val="Tahoma"/>
            <family val="2"/>
          </rPr>
          <t>USUARIO310719:</t>
        </r>
        <r>
          <rPr>
            <sz val="9"/>
            <color indexed="81"/>
            <rFont val="Tahoma"/>
            <family val="2"/>
          </rPr>
          <t xml:space="preserve">
AUMENTO DE 1,5%</t>
        </r>
      </text>
    </comment>
    <comment ref="N27" authorId="0" shapeId="0">
      <text>
        <r>
          <rPr>
            <b/>
            <sz val="9"/>
            <color indexed="81"/>
            <rFont val="Tahoma"/>
            <family val="2"/>
          </rPr>
          <t>USUARIO310719:</t>
        </r>
        <r>
          <rPr>
            <sz val="9"/>
            <color indexed="81"/>
            <rFont val="Tahoma"/>
            <family val="2"/>
          </rPr>
          <t xml:space="preserve">
AUMENTO DE 1,25%</t>
        </r>
      </text>
    </comment>
    <comment ref="P27" authorId="0" shapeId="0">
      <text>
        <r>
          <rPr>
            <b/>
            <sz val="9"/>
            <color indexed="81"/>
            <rFont val="Tahoma"/>
            <family val="2"/>
          </rPr>
          <t>USUARIO310719:</t>
        </r>
        <r>
          <rPr>
            <sz val="9"/>
            <color indexed="81"/>
            <rFont val="Tahoma"/>
            <family val="2"/>
          </rPr>
          <t xml:space="preserve">
AUMENTO DE 1,25%</t>
        </r>
      </text>
    </comment>
    <comment ref="R27" authorId="0" shapeId="0">
      <text>
        <r>
          <rPr>
            <b/>
            <sz val="9"/>
            <color indexed="81"/>
            <rFont val="Tahoma"/>
            <family val="2"/>
          </rPr>
          <t>USUARIO310719:</t>
        </r>
        <r>
          <rPr>
            <sz val="9"/>
            <color indexed="81"/>
            <rFont val="Tahoma"/>
            <family val="2"/>
          </rPr>
          <t xml:space="preserve">
AUMENTO DE 1,25%</t>
        </r>
      </text>
    </comment>
    <comment ref="N28" authorId="0" shapeId="0">
      <text>
        <r>
          <rPr>
            <b/>
            <sz val="9"/>
            <color indexed="81"/>
            <rFont val="Tahoma"/>
            <family val="2"/>
          </rPr>
          <t>USUARIO310719:</t>
        </r>
        <r>
          <rPr>
            <sz val="9"/>
            <color indexed="81"/>
            <rFont val="Tahoma"/>
            <family val="2"/>
          </rPr>
          <t xml:space="preserve">
AUMENTO DE 1%</t>
        </r>
      </text>
    </comment>
    <comment ref="P28" authorId="0" shapeId="0">
      <text>
        <r>
          <rPr>
            <b/>
            <sz val="9"/>
            <color indexed="81"/>
            <rFont val="Tahoma"/>
            <family val="2"/>
          </rPr>
          <t>USUARIO310719:</t>
        </r>
        <r>
          <rPr>
            <sz val="9"/>
            <color indexed="81"/>
            <rFont val="Tahoma"/>
            <family val="2"/>
          </rPr>
          <t xml:space="preserve">
AUMENTO DE 1%</t>
        </r>
      </text>
    </comment>
    <comment ref="R28" authorId="0" shapeId="0">
      <text>
        <r>
          <rPr>
            <b/>
            <sz val="9"/>
            <color indexed="81"/>
            <rFont val="Tahoma"/>
            <family val="2"/>
          </rPr>
          <t>USUARIO310719:</t>
        </r>
        <r>
          <rPr>
            <sz val="9"/>
            <color indexed="81"/>
            <rFont val="Tahoma"/>
            <family val="2"/>
          </rPr>
          <t xml:space="preserve">
AUMENTO DE 1%</t>
        </r>
      </text>
    </comment>
    <comment ref="N35" authorId="0" shapeId="0">
      <text>
        <r>
          <rPr>
            <b/>
            <sz val="9"/>
            <color indexed="81"/>
            <rFont val="Tahoma"/>
            <family val="2"/>
          </rPr>
          <t>USUARIO310719:</t>
        </r>
        <r>
          <rPr>
            <sz val="9"/>
            <color indexed="81"/>
            <rFont val="Tahoma"/>
            <family val="2"/>
          </rPr>
          <t xml:space="preserve">
REDUCIR EL 0,2%</t>
        </r>
      </text>
    </comment>
    <comment ref="P35" authorId="0" shapeId="0">
      <text>
        <r>
          <rPr>
            <b/>
            <sz val="9"/>
            <color indexed="81"/>
            <rFont val="Tahoma"/>
            <family val="2"/>
          </rPr>
          <t>USUARIO310719:</t>
        </r>
        <r>
          <rPr>
            <sz val="9"/>
            <color indexed="81"/>
            <rFont val="Tahoma"/>
            <family val="2"/>
          </rPr>
          <t xml:space="preserve">
REDUCIR EL 0,2%</t>
        </r>
      </text>
    </comment>
    <comment ref="R35" authorId="0" shapeId="0">
      <text>
        <r>
          <rPr>
            <b/>
            <sz val="9"/>
            <color indexed="81"/>
            <rFont val="Tahoma"/>
            <family val="2"/>
          </rPr>
          <t>USUARIO310719:</t>
        </r>
        <r>
          <rPr>
            <sz val="9"/>
            <color indexed="81"/>
            <rFont val="Tahoma"/>
            <family val="2"/>
          </rPr>
          <t xml:space="preserve">
REDUCIR EL 0,2%</t>
        </r>
      </text>
    </comment>
    <comment ref="N38" authorId="0" shapeId="0">
      <text>
        <r>
          <rPr>
            <b/>
            <sz val="9"/>
            <color indexed="81"/>
            <rFont val="Tahoma"/>
            <family val="2"/>
          </rPr>
          <t>USUARIO310719:</t>
        </r>
        <r>
          <rPr>
            <sz val="9"/>
            <color indexed="81"/>
            <rFont val="Tahoma"/>
            <family val="2"/>
          </rPr>
          <t xml:space="preserve">
REDUCIR EL 1%</t>
        </r>
      </text>
    </comment>
    <comment ref="P38" authorId="0" shapeId="0">
      <text>
        <r>
          <rPr>
            <b/>
            <sz val="9"/>
            <color indexed="81"/>
            <rFont val="Tahoma"/>
            <family val="2"/>
          </rPr>
          <t>USUARIO310719:</t>
        </r>
        <r>
          <rPr>
            <sz val="9"/>
            <color indexed="81"/>
            <rFont val="Tahoma"/>
            <family val="2"/>
          </rPr>
          <t xml:space="preserve">
REDUCIR EL 1%</t>
        </r>
      </text>
    </comment>
    <comment ref="R38" authorId="0" shapeId="0">
      <text>
        <r>
          <rPr>
            <b/>
            <sz val="9"/>
            <color indexed="81"/>
            <rFont val="Tahoma"/>
            <family val="2"/>
          </rPr>
          <t>USUARIO310719:</t>
        </r>
        <r>
          <rPr>
            <sz val="9"/>
            <color indexed="81"/>
            <rFont val="Tahoma"/>
            <family val="2"/>
          </rPr>
          <t xml:space="preserve">
REDUCIR EL 1%</t>
        </r>
      </text>
    </comment>
    <comment ref="N42" authorId="0" shapeId="0">
      <text>
        <r>
          <rPr>
            <b/>
            <sz val="9"/>
            <color indexed="81"/>
            <rFont val="Tahoma"/>
            <family val="2"/>
          </rPr>
          <t>USUARIO310719:</t>
        </r>
        <r>
          <rPr>
            <sz val="9"/>
            <color indexed="81"/>
            <rFont val="Tahoma"/>
            <family val="2"/>
          </rPr>
          <t xml:space="preserve">
AUMENTAR EL 0,1%</t>
        </r>
      </text>
    </comment>
    <comment ref="P42" authorId="0" shapeId="0">
      <text>
        <r>
          <rPr>
            <b/>
            <sz val="9"/>
            <color indexed="81"/>
            <rFont val="Tahoma"/>
            <family val="2"/>
          </rPr>
          <t>USUARIO310719:</t>
        </r>
        <r>
          <rPr>
            <sz val="9"/>
            <color indexed="81"/>
            <rFont val="Tahoma"/>
            <family val="2"/>
          </rPr>
          <t xml:space="preserve">
AUMENTAR EL 0,1%</t>
        </r>
      </text>
    </comment>
    <comment ref="R42" authorId="0" shapeId="0">
      <text>
        <r>
          <rPr>
            <b/>
            <sz val="9"/>
            <color indexed="81"/>
            <rFont val="Tahoma"/>
            <family val="2"/>
          </rPr>
          <t>USUARIO310719:</t>
        </r>
        <r>
          <rPr>
            <sz val="9"/>
            <color indexed="81"/>
            <rFont val="Tahoma"/>
            <family val="2"/>
          </rPr>
          <t xml:space="preserve">
AUMENTAR EL 0,1%</t>
        </r>
      </text>
    </comment>
    <comment ref="N44" authorId="0" shapeId="0">
      <text>
        <r>
          <rPr>
            <b/>
            <sz val="9"/>
            <color indexed="81"/>
            <rFont val="Tahoma"/>
            <family val="2"/>
          </rPr>
          <t>USUARIO310719:</t>
        </r>
        <r>
          <rPr>
            <sz val="9"/>
            <color indexed="81"/>
            <rFont val="Tahoma"/>
            <family val="2"/>
          </rPr>
          <t xml:space="preserve">
REDUCIR EL 0,25% CON RELACIÓN AL AÑO 2021</t>
        </r>
      </text>
    </comment>
    <comment ref="P44" authorId="0" shapeId="0">
      <text>
        <r>
          <rPr>
            <b/>
            <sz val="9"/>
            <color indexed="81"/>
            <rFont val="Tahoma"/>
            <family val="2"/>
          </rPr>
          <t>USUARIO310719:</t>
        </r>
        <r>
          <rPr>
            <sz val="9"/>
            <color indexed="81"/>
            <rFont val="Tahoma"/>
            <family val="2"/>
          </rPr>
          <t xml:space="preserve">
REDUCIR EL 0,25% CON RELACIÓN AL AÑO 2022</t>
        </r>
      </text>
    </comment>
    <comment ref="R44" authorId="0" shapeId="0">
      <text>
        <r>
          <rPr>
            <b/>
            <sz val="9"/>
            <color indexed="81"/>
            <rFont val="Tahoma"/>
            <family val="2"/>
          </rPr>
          <t>USUARIO310719:</t>
        </r>
        <r>
          <rPr>
            <sz val="9"/>
            <color indexed="81"/>
            <rFont val="Tahoma"/>
            <family val="2"/>
          </rPr>
          <t xml:space="preserve">
REDUCIR EL 0,25% CON RELACIÓN AL AÑO 2023</t>
        </r>
      </text>
    </comment>
    <comment ref="L45" authorId="0" shapeId="0">
      <text>
        <r>
          <rPr>
            <b/>
            <sz val="9"/>
            <color indexed="81"/>
            <rFont val="Tahoma"/>
            <family val="2"/>
          </rPr>
          <t>USUARIO310719:</t>
        </r>
        <r>
          <rPr>
            <sz val="9"/>
            <color indexed="81"/>
            <rFont val="Tahoma"/>
            <family val="2"/>
          </rPr>
          <t xml:space="preserve">
REDUCIR EL 1,5% DEL NIVEL DE CUMPLIMIENTO BAJO</t>
        </r>
      </text>
    </comment>
    <comment ref="N45" authorId="0" shapeId="0">
      <text>
        <r>
          <rPr>
            <b/>
            <sz val="9"/>
            <color indexed="81"/>
            <rFont val="Tahoma"/>
            <family val="2"/>
          </rPr>
          <t>USUARIO310719:</t>
        </r>
        <r>
          <rPr>
            <sz val="9"/>
            <color indexed="81"/>
            <rFont val="Tahoma"/>
            <family val="2"/>
          </rPr>
          <t xml:space="preserve">
REDUCIR EL 0,25% CON RELACIÓN AL AÑO 2021</t>
        </r>
      </text>
    </comment>
    <comment ref="P45" authorId="0" shapeId="0">
      <text>
        <r>
          <rPr>
            <b/>
            <sz val="9"/>
            <color indexed="81"/>
            <rFont val="Tahoma"/>
            <family val="2"/>
          </rPr>
          <t>USUARIO310719:</t>
        </r>
        <r>
          <rPr>
            <sz val="9"/>
            <color indexed="81"/>
            <rFont val="Tahoma"/>
            <family val="2"/>
          </rPr>
          <t xml:space="preserve">
REDUCIR EL 0,25% CON RELACIÓN AL AÑO 2022</t>
        </r>
      </text>
    </comment>
    <comment ref="R45" authorId="0" shapeId="0">
      <text>
        <r>
          <rPr>
            <b/>
            <sz val="9"/>
            <color indexed="81"/>
            <rFont val="Tahoma"/>
            <family val="2"/>
          </rPr>
          <t>USUARIO310719:</t>
        </r>
        <r>
          <rPr>
            <sz val="9"/>
            <color indexed="81"/>
            <rFont val="Tahoma"/>
            <family val="2"/>
          </rPr>
          <t xml:space="preserve">
REDUCIR EL 0,25% CON RELACIÓN AL AÑO 2023</t>
        </r>
      </text>
    </comment>
    <comment ref="N46" authorId="0" shapeId="0">
      <text>
        <r>
          <rPr>
            <b/>
            <sz val="9"/>
            <color indexed="81"/>
            <rFont val="Tahoma"/>
            <family val="2"/>
          </rPr>
          <t>USUARIO310719:</t>
        </r>
        <r>
          <rPr>
            <sz val="9"/>
            <color indexed="81"/>
            <rFont val="Tahoma"/>
            <family val="2"/>
          </rPr>
          <t xml:space="preserve">
REDUCIR EL 0,25% CON RELACIÓN AL AÑO 2021</t>
        </r>
      </text>
    </comment>
    <comment ref="P46" authorId="0" shapeId="0">
      <text>
        <r>
          <rPr>
            <b/>
            <sz val="9"/>
            <color indexed="81"/>
            <rFont val="Tahoma"/>
            <family val="2"/>
          </rPr>
          <t>USUARIO310719:</t>
        </r>
        <r>
          <rPr>
            <sz val="9"/>
            <color indexed="81"/>
            <rFont val="Tahoma"/>
            <family val="2"/>
          </rPr>
          <t xml:space="preserve">
REDUCIR EL 0,25% CON RELACIÓN AL AÑO 2022</t>
        </r>
      </text>
    </comment>
    <comment ref="R46" authorId="0" shapeId="0">
      <text>
        <r>
          <rPr>
            <b/>
            <sz val="9"/>
            <color indexed="81"/>
            <rFont val="Tahoma"/>
            <family val="2"/>
          </rPr>
          <t>USUARIO310719:</t>
        </r>
        <r>
          <rPr>
            <sz val="9"/>
            <color indexed="81"/>
            <rFont val="Tahoma"/>
            <family val="2"/>
          </rPr>
          <t xml:space="preserve">
REDUCIR EL 0,25% CON RELACIÓN AL AÑO 2023</t>
        </r>
      </text>
    </comment>
    <comment ref="N47" authorId="0" shapeId="0">
      <text>
        <r>
          <rPr>
            <b/>
            <sz val="9"/>
            <color indexed="81"/>
            <rFont val="Tahoma"/>
            <family val="2"/>
          </rPr>
          <t>USUARIO310719:</t>
        </r>
        <r>
          <rPr>
            <sz val="9"/>
            <color indexed="81"/>
            <rFont val="Tahoma"/>
            <family val="2"/>
          </rPr>
          <t xml:space="preserve">
REDUCIR EL 0,25% CON RELACIÓN AL AÑO 2021</t>
        </r>
      </text>
    </comment>
    <comment ref="P47" authorId="0" shapeId="0">
      <text>
        <r>
          <rPr>
            <b/>
            <sz val="9"/>
            <color indexed="81"/>
            <rFont val="Tahoma"/>
            <family val="2"/>
          </rPr>
          <t>USUARIO310719:</t>
        </r>
        <r>
          <rPr>
            <sz val="9"/>
            <color indexed="81"/>
            <rFont val="Tahoma"/>
            <family val="2"/>
          </rPr>
          <t xml:space="preserve">
REDUCIR EL 0,35% CON RELACIÓN AL AÑO 2022</t>
        </r>
      </text>
    </comment>
    <comment ref="R47" authorId="0" shapeId="0">
      <text>
        <r>
          <rPr>
            <b/>
            <sz val="9"/>
            <color indexed="81"/>
            <rFont val="Tahoma"/>
            <family val="2"/>
          </rPr>
          <t>USUARIO310719:</t>
        </r>
        <r>
          <rPr>
            <sz val="9"/>
            <color indexed="81"/>
            <rFont val="Tahoma"/>
            <family val="2"/>
          </rPr>
          <t xml:space="preserve">
REDUCIR EL 0,35% CON RELACIÓN AL AÑO 2023</t>
        </r>
      </text>
    </comment>
    <comment ref="N48" authorId="0" shapeId="0">
      <text>
        <r>
          <rPr>
            <b/>
            <sz val="9"/>
            <color indexed="81"/>
            <rFont val="Tahoma"/>
            <family val="2"/>
          </rPr>
          <t>USUARIO310719:</t>
        </r>
        <r>
          <rPr>
            <sz val="9"/>
            <color indexed="81"/>
            <rFont val="Tahoma"/>
            <family val="2"/>
          </rPr>
          <t xml:space="preserve">
REDUCIR EL 0,25% CON RELACIÓN AL AÑO 2021</t>
        </r>
      </text>
    </comment>
    <comment ref="P48" authorId="0" shapeId="0">
      <text>
        <r>
          <rPr>
            <b/>
            <sz val="9"/>
            <color indexed="81"/>
            <rFont val="Tahoma"/>
            <family val="2"/>
          </rPr>
          <t>USUARIO310719:</t>
        </r>
        <r>
          <rPr>
            <sz val="9"/>
            <color indexed="81"/>
            <rFont val="Tahoma"/>
            <family val="2"/>
          </rPr>
          <t xml:space="preserve">
REDUCIR EL 0,35% CON RELACIÓN AL AÑO 2022</t>
        </r>
      </text>
    </comment>
    <comment ref="R48" authorId="0" shapeId="0">
      <text>
        <r>
          <rPr>
            <b/>
            <sz val="9"/>
            <color indexed="81"/>
            <rFont val="Tahoma"/>
            <family val="2"/>
          </rPr>
          <t>USUARIO310719:</t>
        </r>
        <r>
          <rPr>
            <sz val="9"/>
            <color indexed="81"/>
            <rFont val="Tahoma"/>
            <family val="2"/>
          </rPr>
          <t xml:space="preserve">
REDUCIR EL 0,35% CON RELACIÓN AL AÑO 2023</t>
        </r>
      </text>
    </comment>
    <comment ref="N49" authorId="0" shapeId="0">
      <text>
        <r>
          <rPr>
            <b/>
            <sz val="9"/>
            <color indexed="81"/>
            <rFont val="Tahoma"/>
            <family val="2"/>
          </rPr>
          <t>USUARIO310719:</t>
        </r>
        <r>
          <rPr>
            <sz val="9"/>
            <color indexed="81"/>
            <rFont val="Tahoma"/>
            <family val="2"/>
          </rPr>
          <t xml:space="preserve">
REDUCIR EL 0,25% CON RELACIÓN AL AÑO 2021</t>
        </r>
      </text>
    </comment>
    <comment ref="P49" authorId="0" shapeId="0">
      <text>
        <r>
          <rPr>
            <b/>
            <sz val="9"/>
            <color indexed="81"/>
            <rFont val="Tahoma"/>
            <family val="2"/>
          </rPr>
          <t>USUARIO310719:</t>
        </r>
        <r>
          <rPr>
            <sz val="9"/>
            <color indexed="81"/>
            <rFont val="Tahoma"/>
            <family val="2"/>
          </rPr>
          <t xml:space="preserve">
REDUCIR EL 0,35% CON RELACIÓN AL AÑO 2022</t>
        </r>
      </text>
    </comment>
    <comment ref="R49" authorId="0" shapeId="0">
      <text>
        <r>
          <rPr>
            <b/>
            <sz val="9"/>
            <color indexed="81"/>
            <rFont val="Tahoma"/>
            <family val="2"/>
          </rPr>
          <t>USUARIO310719:</t>
        </r>
        <r>
          <rPr>
            <sz val="9"/>
            <color indexed="81"/>
            <rFont val="Tahoma"/>
            <family val="2"/>
          </rPr>
          <t xml:space="preserve">
REDUCIR EL 0,35% CON RELACIÓN AL AÑO 2023</t>
        </r>
      </text>
    </comment>
    <comment ref="N51" authorId="0" shapeId="0">
      <text>
        <r>
          <rPr>
            <b/>
            <sz val="9"/>
            <color indexed="81"/>
            <rFont val="Tahoma"/>
            <family val="2"/>
          </rPr>
          <t>USUARIO310719:</t>
        </r>
        <r>
          <rPr>
            <sz val="9"/>
            <color indexed="81"/>
            <rFont val="Tahoma"/>
            <family val="2"/>
          </rPr>
          <t xml:space="preserve">
AUMENTO DEL 1% CON RELACIÓN AL AÑO 2021</t>
        </r>
      </text>
    </comment>
    <comment ref="P51" authorId="0" shapeId="0">
      <text>
        <r>
          <rPr>
            <b/>
            <sz val="9"/>
            <color indexed="81"/>
            <rFont val="Tahoma"/>
            <family val="2"/>
          </rPr>
          <t>USUARIO310719:</t>
        </r>
        <r>
          <rPr>
            <sz val="9"/>
            <color indexed="81"/>
            <rFont val="Tahoma"/>
            <family val="2"/>
          </rPr>
          <t xml:space="preserve">
AUMENTO DEL 1% CON RELACIÓN AL AÑO 2022</t>
        </r>
      </text>
    </comment>
    <comment ref="R51" authorId="0" shapeId="0">
      <text>
        <r>
          <rPr>
            <b/>
            <sz val="9"/>
            <color indexed="81"/>
            <rFont val="Tahoma"/>
            <family val="2"/>
          </rPr>
          <t>USUARIO310719:</t>
        </r>
        <r>
          <rPr>
            <sz val="9"/>
            <color indexed="81"/>
            <rFont val="Tahoma"/>
            <family val="2"/>
          </rPr>
          <t xml:space="preserve">
AUMENTO DEL 1% CON RELACIÓN AL AÑO 2023</t>
        </r>
      </text>
    </comment>
    <comment ref="L53" authorId="0" shapeId="0">
      <text>
        <r>
          <rPr>
            <b/>
            <sz val="9"/>
            <color indexed="81"/>
            <rFont val="Tahoma"/>
            <family val="2"/>
          </rPr>
          <t>USUARIO310719:</t>
        </r>
        <r>
          <rPr>
            <sz val="9"/>
            <color indexed="81"/>
            <rFont val="Tahoma"/>
            <family val="2"/>
          </rPr>
          <t xml:space="preserve">
SE REDUCE EL 6% CON RELACIÓN AL NIVEL DE CUMPLIMIENTO BUENO</t>
        </r>
      </text>
    </comment>
    <comment ref="N53" authorId="0" shapeId="0">
      <text>
        <r>
          <rPr>
            <b/>
            <sz val="9"/>
            <color indexed="81"/>
            <rFont val="Tahoma"/>
            <family val="2"/>
          </rPr>
          <t>USUARIO310719:</t>
        </r>
        <r>
          <rPr>
            <sz val="9"/>
            <color indexed="81"/>
            <rFont val="Tahoma"/>
            <family val="2"/>
          </rPr>
          <t xml:space="preserve">
REDUCIR EL 1% CON RELACIÓN AL 2021</t>
        </r>
      </text>
    </comment>
    <comment ref="P53" authorId="0" shapeId="0">
      <text>
        <r>
          <rPr>
            <b/>
            <sz val="9"/>
            <color indexed="81"/>
            <rFont val="Tahoma"/>
            <family val="2"/>
          </rPr>
          <t>USUARIO310719:</t>
        </r>
        <r>
          <rPr>
            <sz val="9"/>
            <color indexed="81"/>
            <rFont val="Tahoma"/>
            <family val="2"/>
          </rPr>
          <t xml:space="preserve">
REDUCIR EL 1% CON RELACIÓN AL 2022</t>
        </r>
      </text>
    </comment>
    <comment ref="R53" authorId="0" shapeId="0">
      <text>
        <r>
          <rPr>
            <b/>
            <sz val="9"/>
            <color indexed="81"/>
            <rFont val="Tahoma"/>
            <family val="2"/>
          </rPr>
          <t>USUARIO310719:</t>
        </r>
        <r>
          <rPr>
            <sz val="9"/>
            <color indexed="81"/>
            <rFont val="Tahoma"/>
            <family val="2"/>
          </rPr>
          <t xml:space="preserve">
REDUCIR EL 1% CON RELACIÓN AL 2023</t>
        </r>
      </text>
    </comment>
    <comment ref="L54" authorId="0" shapeId="0">
      <text>
        <r>
          <rPr>
            <b/>
            <sz val="9"/>
            <color indexed="81"/>
            <rFont val="Tahoma"/>
            <family val="2"/>
          </rPr>
          <t>USUARIO310719:</t>
        </r>
        <r>
          <rPr>
            <sz val="9"/>
            <color indexed="81"/>
            <rFont val="Tahoma"/>
            <family val="2"/>
          </rPr>
          <t xml:space="preserve">
SE REDUCE EL 6% CON RELACIÓN AL NIVEL DE CUMPLIMIENTO MALO</t>
        </r>
      </text>
    </comment>
    <comment ref="N54" authorId="0" shapeId="0">
      <text>
        <r>
          <rPr>
            <b/>
            <sz val="9"/>
            <color indexed="81"/>
            <rFont val="Tahoma"/>
            <family val="2"/>
          </rPr>
          <t>USUARIO310719:</t>
        </r>
        <r>
          <rPr>
            <sz val="9"/>
            <color indexed="81"/>
            <rFont val="Tahoma"/>
            <family val="2"/>
          </rPr>
          <t xml:space="preserve">
REDUCIR EL 1% CON RELACIÓN AL 2021</t>
        </r>
      </text>
    </comment>
    <comment ref="P54" authorId="0" shapeId="0">
      <text>
        <r>
          <rPr>
            <b/>
            <sz val="9"/>
            <color indexed="81"/>
            <rFont val="Tahoma"/>
            <family val="2"/>
          </rPr>
          <t>USUARIO310719:</t>
        </r>
        <r>
          <rPr>
            <sz val="9"/>
            <color indexed="81"/>
            <rFont val="Tahoma"/>
            <family val="2"/>
          </rPr>
          <t xml:space="preserve">
REDUCIR EL 1% CON RELACIÓN AL 2022</t>
        </r>
      </text>
    </comment>
    <comment ref="R54" authorId="0" shapeId="0">
      <text>
        <r>
          <rPr>
            <b/>
            <sz val="9"/>
            <color indexed="81"/>
            <rFont val="Tahoma"/>
            <family val="2"/>
          </rPr>
          <t>USUARIO310719:</t>
        </r>
        <r>
          <rPr>
            <sz val="9"/>
            <color indexed="81"/>
            <rFont val="Tahoma"/>
            <family val="2"/>
          </rPr>
          <t xml:space="preserve">
REDUCIR EL 1% CON RELACIÓN AL 2023</t>
        </r>
      </text>
    </comment>
    <comment ref="N55" authorId="0" shapeId="0">
      <text>
        <r>
          <rPr>
            <b/>
            <sz val="9"/>
            <color indexed="81"/>
            <rFont val="Tahoma"/>
            <family val="2"/>
          </rPr>
          <t>USUARIO310719:</t>
        </r>
        <r>
          <rPr>
            <sz val="9"/>
            <color indexed="81"/>
            <rFont val="Tahoma"/>
            <family val="2"/>
          </rPr>
          <t xml:space="preserve">
REDUCIR EL 1% CON RELACIÓN AL 2021</t>
        </r>
      </text>
    </comment>
    <comment ref="P55" authorId="0" shapeId="0">
      <text>
        <r>
          <rPr>
            <b/>
            <sz val="9"/>
            <color indexed="81"/>
            <rFont val="Tahoma"/>
            <family val="2"/>
          </rPr>
          <t>USUARIO310719:</t>
        </r>
        <r>
          <rPr>
            <sz val="9"/>
            <color indexed="81"/>
            <rFont val="Tahoma"/>
            <family val="2"/>
          </rPr>
          <t xml:space="preserve">
REDUCIR EL 1% CON RELACIÓN AL 2022</t>
        </r>
      </text>
    </comment>
    <comment ref="R55" authorId="0" shapeId="0">
      <text>
        <r>
          <rPr>
            <b/>
            <sz val="9"/>
            <color indexed="81"/>
            <rFont val="Tahoma"/>
            <family val="2"/>
          </rPr>
          <t>USUARIO310719:</t>
        </r>
        <r>
          <rPr>
            <sz val="9"/>
            <color indexed="81"/>
            <rFont val="Tahoma"/>
            <family val="2"/>
          </rPr>
          <t xml:space="preserve">
REDUCIR EL 1% CON RELACIÓN AL 2023</t>
        </r>
      </text>
    </comment>
  </commentList>
</comments>
</file>

<file path=xl/comments2.xml><?xml version="1.0" encoding="utf-8"?>
<comments xmlns="http://schemas.openxmlformats.org/spreadsheetml/2006/main">
  <authors>
    <author>USUARIO310719</author>
  </authors>
  <commentList>
    <comment ref="L8" authorId="0" shapeId="0">
      <text>
        <r>
          <rPr>
            <b/>
            <sz val="9"/>
            <color indexed="81"/>
            <rFont val="Tahoma"/>
            <family val="2"/>
          </rPr>
          <t>USUARIO310719:</t>
        </r>
        <r>
          <rPr>
            <sz val="9"/>
            <color indexed="81"/>
            <rFont val="Tahoma"/>
            <family val="2"/>
          </rPr>
          <t xml:space="preserve">
AUMENTO DEL 3% CON RELACIÓN A LA LÍNEA BASE DEL NIVEL EXCELENTE</t>
        </r>
      </text>
    </comment>
    <comment ref="N8" authorId="0" shapeId="0">
      <text>
        <r>
          <rPr>
            <b/>
            <sz val="9"/>
            <color indexed="81"/>
            <rFont val="Tahoma"/>
            <family val="2"/>
          </rPr>
          <t>USUARIO310719:</t>
        </r>
        <r>
          <rPr>
            <sz val="9"/>
            <color indexed="81"/>
            <rFont val="Tahoma"/>
            <family val="2"/>
          </rPr>
          <t xml:space="preserve">
AUMENTO DEL 3% CON RELACIÓN AL 2021</t>
        </r>
      </text>
    </comment>
    <comment ref="P8" authorId="0" shapeId="0">
      <text>
        <r>
          <rPr>
            <b/>
            <sz val="9"/>
            <color indexed="81"/>
            <rFont val="Tahoma"/>
            <family val="2"/>
          </rPr>
          <t>USUARIO310719:</t>
        </r>
        <r>
          <rPr>
            <sz val="9"/>
            <color indexed="81"/>
            <rFont val="Tahoma"/>
            <family val="2"/>
          </rPr>
          <t xml:space="preserve">
AUMENTO DEL 3% CON RELACIÓN AL 2022</t>
        </r>
      </text>
    </comment>
    <comment ref="R8" authorId="0" shapeId="0">
      <text>
        <r>
          <rPr>
            <b/>
            <sz val="9"/>
            <color indexed="81"/>
            <rFont val="Tahoma"/>
            <family val="2"/>
          </rPr>
          <t>USUARIO310719:</t>
        </r>
        <r>
          <rPr>
            <sz val="9"/>
            <color indexed="81"/>
            <rFont val="Tahoma"/>
            <family val="2"/>
          </rPr>
          <t xml:space="preserve">
AUMENTO DEL 3% CON RELACIÓN AL 2023</t>
        </r>
      </text>
    </comment>
    <comment ref="L9" authorId="0" shapeId="0">
      <text>
        <r>
          <rPr>
            <b/>
            <sz val="9"/>
            <color indexed="81"/>
            <rFont val="Tahoma"/>
            <family val="2"/>
          </rPr>
          <t>USUARIO310719:</t>
        </r>
        <r>
          <rPr>
            <sz val="9"/>
            <color indexed="81"/>
            <rFont val="Tahoma"/>
            <family val="2"/>
          </rPr>
          <t xml:space="preserve">
REDUCIR EL 2% CON RELACIÓN A LA LÍNEA BASE DEL NIVEL BUENO</t>
        </r>
      </text>
    </comment>
    <comment ref="N9" authorId="0" shapeId="0">
      <text>
        <r>
          <rPr>
            <b/>
            <sz val="9"/>
            <color indexed="81"/>
            <rFont val="Tahoma"/>
            <family val="2"/>
          </rPr>
          <t>USUARIO310719:</t>
        </r>
        <r>
          <rPr>
            <sz val="9"/>
            <color indexed="81"/>
            <rFont val="Tahoma"/>
            <family val="2"/>
          </rPr>
          <t xml:space="preserve">
REDUCIR EL 2% CON RELACIÓN AL 2021</t>
        </r>
      </text>
    </comment>
    <comment ref="P9" authorId="0" shapeId="0">
      <text>
        <r>
          <rPr>
            <b/>
            <sz val="9"/>
            <color indexed="81"/>
            <rFont val="Tahoma"/>
            <family val="2"/>
          </rPr>
          <t>USUARIO310719:</t>
        </r>
        <r>
          <rPr>
            <sz val="9"/>
            <color indexed="81"/>
            <rFont val="Tahoma"/>
            <family val="2"/>
          </rPr>
          <t xml:space="preserve">
REDUCIR EL 2,5% CON RELACIÓN AL 2022</t>
        </r>
      </text>
    </comment>
    <comment ref="R9" authorId="0" shapeId="0">
      <text>
        <r>
          <rPr>
            <b/>
            <sz val="9"/>
            <color indexed="81"/>
            <rFont val="Tahoma"/>
            <family val="2"/>
          </rPr>
          <t>USUARIO310719:</t>
        </r>
        <r>
          <rPr>
            <sz val="9"/>
            <color indexed="81"/>
            <rFont val="Tahoma"/>
            <family val="2"/>
          </rPr>
          <t xml:space="preserve">
REDUCIR EL 3% CON RELACIÓN AL 2023</t>
        </r>
      </text>
    </comment>
    <comment ref="L10" authorId="0" shapeId="0">
      <text>
        <r>
          <rPr>
            <b/>
            <sz val="9"/>
            <color indexed="81"/>
            <rFont val="Tahoma"/>
            <family val="2"/>
          </rPr>
          <t>USUARIO310719:</t>
        </r>
        <r>
          <rPr>
            <sz val="9"/>
            <color indexed="81"/>
            <rFont val="Tahoma"/>
            <family val="2"/>
          </rPr>
          <t xml:space="preserve">
REDUCIR EL 1% CON RELACIÓN A LA LINEA BASE DEL NIVEL MALO</t>
        </r>
      </text>
    </comment>
    <comment ref="N10" authorId="0" shapeId="0">
      <text>
        <r>
          <rPr>
            <b/>
            <sz val="9"/>
            <color indexed="81"/>
            <rFont val="Tahoma"/>
            <family val="2"/>
          </rPr>
          <t>USUARIO310719:</t>
        </r>
        <r>
          <rPr>
            <sz val="9"/>
            <color indexed="81"/>
            <rFont val="Tahoma"/>
            <family val="2"/>
          </rPr>
          <t xml:space="preserve">
REDUCIR EL 1% CON RELACIÓN AL 2021</t>
        </r>
      </text>
    </comment>
    <comment ref="P10" authorId="0" shapeId="0">
      <text>
        <r>
          <rPr>
            <b/>
            <sz val="9"/>
            <color indexed="81"/>
            <rFont val="Tahoma"/>
            <family val="2"/>
          </rPr>
          <t>USUARIO310719:</t>
        </r>
        <r>
          <rPr>
            <sz val="9"/>
            <color indexed="81"/>
            <rFont val="Tahoma"/>
            <family val="2"/>
          </rPr>
          <t xml:space="preserve">
REDUCIR EL 0,5% CON RELACIÓN AL 2022</t>
        </r>
      </text>
    </comment>
    <comment ref="R10" authorId="0" shapeId="0">
      <text>
        <r>
          <rPr>
            <b/>
            <sz val="9"/>
            <color indexed="81"/>
            <rFont val="Tahoma"/>
            <family val="2"/>
          </rPr>
          <t>USUARIO310719:</t>
        </r>
        <r>
          <rPr>
            <sz val="9"/>
            <color indexed="81"/>
            <rFont val="Tahoma"/>
            <family val="2"/>
          </rPr>
          <t xml:space="preserve">
MANTENER EL NIVEL DE CUMPLIMIENTO IGUAL AL AÑO 2023</t>
        </r>
      </text>
    </comment>
    <comment ref="L11" authorId="0" shapeId="0">
      <text>
        <r>
          <rPr>
            <b/>
            <sz val="9"/>
            <color indexed="81"/>
            <rFont val="Tahoma"/>
            <family val="2"/>
          </rPr>
          <t>USUARIO310719:</t>
        </r>
        <r>
          <rPr>
            <sz val="9"/>
            <color indexed="81"/>
            <rFont val="Tahoma"/>
            <family val="2"/>
          </rPr>
          <t xml:space="preserve">
AUMENTAR EL 7% CON RELACIÓN A LA LINEA BASE DEL NIVEL EXCELENTE</t>
        </r>
      </text>
    </comment>
    <comment ref="N11" authorId="0" shapeId="0">
      <text>
        <r>
          <rPr>
            <b/>
            <sz val="9"/>
            <color indexed="81"/>
            <rFont val="Tahoma"/>
            <family val="2"/>
          </rPr>
          <t>USUARIO310719:</t>
        </r>
        <r>
          <rPr>
            <sz val="9"/>
            <color indexed="81"/>
            <rFont val="Tahoma"/>
            <family val="2"/>
          </rPr>
          <t xml:space="preserve">
AUMENTAR EL 8% CON RELACIÓN AL AÑO 2021</t>
        </r>
      </text>
    </comment>
    <comment ref="P11" authorId="0" shapeId="0">
      <text>
        <r>
          <rPr>
            <b/>
            <sz val="9"/>
            <color indexed="81"/>
            <rFont val="Tahoma"/>
            <family val="2"/>
          </rPr>
          <t>USUARIO310719:</t>
        </r>
        <r>
          <rPr>
            <sz val="9"/>
            <color indexed="81"/>
            <rFont val="Tahoma"/>
            <family val="2"/>
          </rPr>
          <t xml:space="preserve">
AUMENTAR EL 9% CON RELACIÓN AL AÑO 2022</t>
        </r>
      </text>
    </comment>
    <comment ref="R11" authorId="0" shapeId="0">
      <text>
        <r>
          <rPr>
            <b/>
            <sz val="9"/>
            <color indexed="81"/>
            <rFont val="Tahoma"/>
            <family val="2"/>
          </rPr>
          <t>USUARIO310719:</t>
        </r>
        <r>
          <rPr>
            <sz val="9"/>
            <color indexed="81"/>
            <rFont val="Tahoma"/>
            <family val="2"/>
          </rPr>
          <t xml:space="preserve">
AUMENTAR EL 10% CON RELACIÓN AL AÑO 2023</t>
        </r>
      </text>
    </comment>
    <comment ref="L12" authorId="0" shapeId="0">
      <text>
        <r>
          <rPr>
            <b/>
            <sz val="9"/>
            <color indexed="81"/>
            <rFont val="Tahoma"/>
            <family val="2"/>
          </rPr>
          <t>USUARIO310719:</t>
        </r>
        <r>
          <rPr>
            <sz val="9"/>
            <color indexed="81"/>
            <rFont val="Tahoma"/>
            <family val="2"/>
          </rPr>
          <t xml:space="preserve">
REDUCIR EL 4% CON RELACIÓN A LA LINEA BASE DEL NIVEL BUENO</t>
        </r>
      </text>
    </comment>
    <comment ref="N12" authorId="0" shapeId="0">
      <text>
        <r>
          <rPr>
            <b/>
            <sz val="9"/>
            <color indexed="81"/>
            <rFont val="Tahoma"/>
            <family val="2"/>
          </rPr>
          <t>USUARIO310719:</t>
        </r>
        <r>
          <rPr>
            <sz val="9"/>
            <color indexed="81"/>
            <rFont val="Tahoma"/>
            <family val="2"/>
          </rPr>
          <t xml:space="preserve">
REDUCIR EL 5% CON RELACIÓN AL AÑO 2021</t>
        </r>
      </text>
    </comment>
    <comment ref="P12" authorId="0" shapeId="0">
      <text>
        <r>
          <rPr>
            <b/>
            <sz val="9"/>
            <color indexed="81"/>
            <rFont val="Tahoma"/>
            <family val="2"/>
          </rPr>
          <t>USUARIO310719:</t>
        </r>
        <r>
          <rPr>
            <sz val="9"/>
            <color indexed="81"/>
            <rFont val="Tahoma"/>
            <family val="2"/>
          </rPr>
          <t xml:space="preserve">
REDUCIR EL 6% CON RELACIÓN AL AÑO 2022</t>
        </r>
      </text>
    </comment>
    <comment ref="Q12" authorId="0" shapeId="0">
      <text>
        <r>
          <rPr>
            <b/>
            <sz val="9"/>
            <color indexed="81"/>
            <rFont val="Tahoma"/>
            <family val="2"/>
          </rPr>
          <t>USUARIO310719:</t>
        </r>
        <r>
          <rPr>
            <sz val="9"/>
            <color indexed="81"/>
            <rFont val="Tahoma"/>
            <family val="2"/>
          </rPr>
          <t xml:space="preserve">
REDUCIR EL 5% CON RELACIÓN AL AÑO 2021</t>
        </r>
      </text>
    </comment>
    <comment ref="R12" authorId="0" shapeId="0">
      <text>
        <r>
          <rPr>
            <b/>
            <sz val="9"/>
            <color indexed="81"/>
            <rFont val="Tahoma"/>
            <family val="2"/>
          </rPr>
          <t>USUARIO310719:</t>
        </r>
        <r>
          <rPr>
            <sz val="9"/>
            <color indexed="81"/>
            <rFont val="Tahoma"/>
            <family val="2"/>
          </rPr>
          <t xml:space="preserve">
REDUCIR EL 7% CON RELACIÓN AL AÑO 2023</t>
        </r>
      </text>
    </comment>
    <comment ref="L13" authorId="0" shapeId="0">
      <text>
        <r>
          <rPr>
            <b/>
            <sz val="9"/>
            <color indexed="81"/>
            <rFont val="Tahoma"/>
            <family val="2"/>
          </rPr>
          <t>USUARIO310719:</t>
        </r>
        <r>
          <rPr>
            <sz val="9"/>
            <color indexed="81"/>
            <rFont val="Tahoma"/>
            <family val="2"/>
          </rPr>
          <t xml:space="preserve">
REDUCIR EL 3% CON RELACIÓN A LA LINEA BASE DEL NIVEL MALO</t>
        </r>
      </text>
    </comment>
    <comment ref="N13" authorId="0" shapeId="0">
      <text>
        <r>
          <rPr>
            <b/>
            <sz val="9"/>
            <color indexed="81"/>
            <rFont val="Tahoma"/>
            <family val="2"/>
          </rPr>
          <t>USUARIO310719:</t>
        </r>
        <r>
          <rPr>
            <sz val="9"/>
            <color indexed="81"/>
            <rFont val="Tahoma"/>
            <family val="2"/>
          </rPr>
          <t xml:space="preserve">
REDUCIR EL 3% CON RELACIÓN AL AÑO 2021</t>
        </r>
      </text>
    </comment>
    <comment ref="P13" authorId="0" shapeId="0">
      <text>
        <r>
          <rPr>
            <b/>
            <sz val="9"/>
            <color indexed="81"/>
            <rFont val="Tahoma"/>
            <family val="2"/>
          </rPr>
          <t>USUARIO310719:</t>
        </r>
        <r>
          <rPr>
            <sz val="9"/>
            <color indexed="81"/>
            <rFont val="Tahoma"/>
            <family val="2"/>
          </rPr>
          <t xml:space="preserve">
REDUCIR EL 3% CON RELACIÓN AL AÑO 2022</t>
        </r>
      </text>
    </comment>
    <comment ref="Q13" authorId="0" shapeId="0">
      <text>
        <r>
          <rPr>
            <b/>
            <sz val="9"/>
            <color indexed="81"/>
            <rFont val="Tahoma"/>
            <family val="2"/>
          </rPr>
          <t>USUARIO310719:</t>
        </r>
        <r>
          <rPr>
            <sz val="9"/>
            <color indexed="81"/>
            <rFont val="Tahoma"/>
            <family val="2"/>
          </rPr>
          <t xml:space="preserve">
REDUCIR EL 5% CON RELACIÓN AL AÑO 2021</t>
        </r>
      </text>
    </comment>
    <comment ref="R13" authorId="0" shapeId="0">
      <text>
        <r>
          <rPr>
            <b/>
            <sz val="9"/>
            <color indexed="81"/>
            <rFont val="Tahoma"/>
            <family val="2"/>
          </rPr>
          <t>USUARIO310719:</t>
        </r>
        <r>
          <rPr>
            <sz val="9"/>
            <color indexed="81"/>
            <rFont val="Tahoma"/>
            <family val="2"/>
          </rPr>
          <t xml:space="preserve">
REDUCIR EL 3% CON RELACIÓN AL AÑO 2023</t>
        </r>
      </text>
    </comment>
    <comment ref="L14" authorId="0" shapeId="0">
      <text>
        <r>
          <rPr>
            <b/>
            <sz val="9"/>
            <color indexed="81"/>
            <rFont val="Tahoma"/>
            <family val="2"/>
          </rPr>
          <t>USUARIO310719:</t>
        </r>
        <r>
          <rPr>
            <sz val="9"/>
            <color indexed="81"/>
            <rFont val="Tahoma"/>
            <family val="2"/>
          </rPr>
          <t xml:space="preserve">
AUMENTO DEL 6% CON RELACIÓN A LA LINEA BASE</t>
        </r>
      </text>
    </comment>
    <comment ref="N14" authorId="0" shapeId="0">
      <text>
        <r>
          <rPr>
            <b/>
            <sz val="9"/>
            <color indexed="81"/>
            <rFont val="Tahoma"/>
            <family val="2"/>
          </rPr>
          <t>USUARIO310719:</t>
        </r>
        <r>
          <rPr>
            <sz val="9"/>
            <color indexed="81"/>
            <rFont val="Tahoma"/>
            <family val="2"/>
          </rPr>
          <t xml:space="preserve">
AUMENTO DEL 7% CON RELACIÓN AL AÑO 2021</t>
        </r>
      </text>
    </comment>
    <comment ref="P14" authorId="0" shapeId="0">
      <text>
        <r>
          <rPr>
            <b/>
            <sz val="9"/>
            <color indexed="81"/>
            <rFont val="Tahoma"/>
            <family val="2"/>
          </rPr>
          <t>USUARIO310719:</t>
        </r>
        <r>
          <rPr>
            <sz val="9"/>
            <color indexed="81"/>
            <rFont val="Tahoma"/>
            <family val="2"/>
          </rPr>
          <t xml:space="preserve">
AUMENTO DEL 8% CON RELACIÓN AL AÑO 2022</t>
        </r>
      </text>
    </comment>
    <comment ref="Q14" authorId="0" shapeId="0">
      <text>
        <r>
          <rPr>
            <b/>
            <sz val="9"/>
            <color indexed="81"/>
            <rFont val="Tahoma"/>
            <family val="2"/>
          </rPr>
          <t>USUARIO310719:</t>
        </r>
        <r>
          <rPr>
            <sz val="9"/>
            <color indexed="81"/>
            <rFont val="Tahoma"/>
            <family val="2"/>
          </rPr>
          <t xml:space="preserve">
AUMENTO DEL 7% CON RELACIÓN AL AÑO 2021</t>
        </r>
      </text>
    </comment>
    <comment ref="R14" authorId="0" shapeId="0">
      <text>
        <r>
          <rPr>
            <b/>
            <sz val="9"/>
            <color indexed="81"/>
            <rFont val="Tahoma"/>
            <family val="2"/>
          </rPr>
          <t>USUARIO310719:</t>
        </r>
        <r>
          <rPr>
            <sz val="9"/>
            <color indexed="81"/>
            <rFont val="Tahoma"/>
            <family val="2"/>
          </rPr>
          <t xml:space="preserve">
AUMENTO DEL 9% CON RELACIÓN AL AÑO 2023</t>
        </r>
      </text>
    </comment>
    <comment ref="L15" authorId="0" shapeId="0">
      <text>
        <r>
          <rPr>
            <b/>
            <sz val="9"/>
            <color indexed="81"/>
            <rFont val="Tahoma"/>
            <family val="2"/>
          </rPr>
          <t>USUARIO310719:</t>
        </r>
        <r>
          <rPr>
            <sz val="9"/>
            <color indexed="81"/>
            <rFont val="Tahoma"/>
            <family val="2"/>
          </rPr>
          <t xml:space="preserve">
REDUCIR EL 4% CON RELACIÓN A LA LINEA BASE </t>
        </r>
      </text>
    </comment>
    <comment ref="N15" authorId="0" shapeId="0">
      <text>
        <r>
          <rPr>
            <b/>
            <sz val="9"/>
            <color indexed="81"/>
            <rFont val="Tahoma"/>
            <family val="2"/>
          </rPr>
          <t>USUARIO310719:</t>
        </r>
        <r>
          <rPr>
            <sz val="9"/>
            <color indexed="81"/>
            <rFont val="Tahoma"/>
            <family val="2"/>
          </rPr>
          <t xml:space="preserve">
REDUCIR EL 5% CON RELACIÓN AL 2021</t>
        </r>
      </text>
    </comment>
    <comment ref="P15" authorId="0" shapeId="0">
      <text>
        <r>
          <rPr>
            <b/>
            <sz val="9"/>
            <color indexed="81"/>
            <rFont val="Tahoma"/>
            <family val="2"/>
          </rPr>
          <t>USUARIO310719:</t>
        </r>
        <r>
          <rPr>
            <sz val="9"/>
            <color indexed="81"/>
            <rFont val="Tahoma"/>
            <family val="2"/>
          </rPr>
          <t xml:space="preserve">
REDUCIR EL 6% CON RELACIÓN AL 2022</t>
        </r>
      </text>
    </comment>
    <comment ref="R15" authorId="0" shapeId="0">
      <text>
        <r>
          <rPr>
            <b/>
            <sz val="9"/>
            <color indexed="81"/>
            <rFont val="Tahoma"/>
            <family val="2"/>
          </rPr>
          <t>USUARIO310719:</t>
        </r>
        <r>
          <rPr>
            <sz val="9"/>
            <color indexed="81"/>
            <rFont val="Tahoma"/>
            <family val="2"/>
          </rPr>
          <t xml:space="preserve">
REDUCIR EL 7% CON RELACIÓN AL 2023</t>
        </r>
      </text>
    </comment>
    <comment ref="L16" authorId="0" shapeId="0">
      <text>
        <r>
          <rPr>
            <b/>
            <sz val="9"/>
            <color indexed="81"/>
            <rFont val="Tahoma"/>
            <family val="2"/>
          </rPr>
          <t>USUARIO310719:</t>
        </r>
        <r>
          <rPr>
            <sz val="9"/>
            <color indexed="81"/>
            <rFont val="Tahoma"/>
            <family val="2"/>
          </rPr>
          <t xml:space="preserve">
REDUCIR EL 2% CON RELACIÓN A LA LÍNEA BASE</t>
        </r>
      </text>
    </comment>
    <comment ref="N16" authorId="0" shapeId="0">
      <text>
        <r>
          <rPr>
            <b/>
            <sz val="9"/>
            <color indexed="81"/>
            <rFont val="Tahoma"/>
            <family val="2"/>
          </rPr>
          <t>USUARIO310719:</t>
        </r>
        <r>
          <rPr>
            <sz val="9"/>
            <color indexed="81"/>
            <rFont val="Tahoma"/>
            <family val="2"/>
          </rPr>
          <t xml:space="preserve">
REDUCIR EL 2% CON RELACIÓN AL 2021</t>
        </r>
      </text>
    </comment>
    <comment ref="P16" authorId="0" shapeId="0">
      <text>
        <r>
          <rPr>
            <b/>
            <sz val="9"/>
            <color indexed="81"/>
            <rFont val="Tahoma"/>
            <family val="2"/>
          </rPr>
          <t>USUARIO310719:</t>
        </r>
        <r>
          <rPr>
            <sz val="9"/>
            <color indexed="81"/>
            <rFont val="Tahoma"/>
            <family val="2"/>
          </rPr>
          <t xml:space="preserve">
REDUCIR EL 2% CON RELACIÓN AL 2022</t>
        </r>
      </text>
    </comment>
    <comment ref="R16" authorId="0" shapeId="0">
      <text>
        <r>
          <rPr>
            <b/>
            <sz val="9"/>
            <color indexed="81"/>
            <rFont val="Tahoma"/>
            <family val="2"/>
          </rPr>
          <t>USUARIO310719:</t>
        </r>
        <r>
          <rPr>
            <sz val="9"/>
            <color indexed="81"/>
            <rFont val="Tahoma"/>
            <family val="2"/>
          </rPr>
          <t xml:space="preserve">
REDUCIR EL 2% CON RELACIÓN AL 2023</t>
        </r>
      </text>
    </comment>
    <comment ref="L17" authorId="0" shapeId="0">
      <text>
        <r>
          <rPr>
            <b/>
            <sz val="9"/>
            <color indexed="81"/>
            <rFont val="Tahoma"/>
            <family val="2"/>
          </rPr>
          <t>USUARIO310719:</t>
        </r>
        <r>
          <rPr>
            <sz val="9"/>
            <color indexed="81"/>
            <rFont val="Tahoma"/>
            <family val="2"/>
          </rPr>
          <t xml:space="preserve">
AUMENTO DEL 6% CON RELACIÓN A LA LINEA BASE</t>
        </r>
      </text>
    </comment>
    <comment ref="N17" authorId="0" shapeId="0">
      <text>
        <r>
          <rPr>
            <b/>
            <sz val="9"/>
            <color indexed="81"/>
            <rFont val="Tahoma"/>
            <family val="2"/>
          </rPr>
          <t>USUARIO310719:</t>
        </r>
        <r>
          <rPr>
            <sz val="9"/>
            <color indexed="81"/>
            <rFont val="Tahoma"/>
            <family val="2"/>
          </rPr>
          <t xml:space="preserve">
AUMENTO DEL 7% CON RELACIÓN AL AÑO 2021</t>
        </r>
      </text>
    </comment>
    <comment ref="P17" authorId="0" shapeId="0">
      <text>
        <r>
          <rPr>
            <b/>
            <sz val="9"/>
            <color indexed="81"/>
            <rFont val="Tahoma"/>
            <family val="2"/>
          </rPr>
          <t>USUARIO310719:</t>
        </r>
        <r>
          <rPr>
            <sz val="9"/>
            <color indexed="81"/>
            <rFont val="Tahoma"/>
            <family val="2"/>
          </rPr>
          <t xml:space="preserve">
AUMENTO DEL 8% CON RELACIÓN AL AÑO 2022</t>
        </r>
      </text>
    </comment>
    <comment ref="Q17" authorId="0" shapeId="0">
      <text>
        <r>
          <rPr>
            <b/>
            <sz val="9"/>
            <color indexed="81"/>
            <rFont val="Tahoma"/>
            <family val="2"/>
          </rPr>
          <t>USUARIO310719:</t>
        </r>
        <r>
          <rPr>
            <sz val="9"/>
            <color indexed="81"/>
            <rFont val="Tahoma"/>
            <family val="2"/>
          </rPr>
          <t xml:space="preserve">
AUMENTO DEL 7% CON RELACIÓN AL AÑO 2021</t>
        </r>
      </text>
    </comment>
    <comment ref="R17" authorId="0" shapeId="0">
      <text>
        <r>
          <rPr>
            <b/>
            <sz val="9"/>
            <color indexed="81"/>
            <rFont val="Tahoma"/>
            <family val="2"/>
          </rPr>
          <t>USUARIO310719:</t>
        </r>
        <r>
          <rPr>
            <sz val="9"/>
            <color indexed="81"/>
            <rFont val="Tahoma"/>
            <family val="2"/>
          </rPr>
          <t xml:space="preserve">
AUMENTO DEL 9% CON RELACIÓN AL AÑO 2023</t>
        </r>
      </text>
    </comment>
    <comment ref="L18" authorId="0" shapeId="0">
      <text>
        <r>
          <rPr>
            <b/>
            <sz val="9"/>
            <color indexed="81"/>
            <rFont val="Tahoma"/>
            <family val="2"/>
          </rPr>
          <t>USUARIO310719:</t>
        </r>
        <r>
          <rPr>
            <sz val="9"/>
            <color indexed="81"/>
            <rFont val="Tahoma"/>
            <family val="2"/>
          </rPr>
          <t xml:space="preserve">
REDUCIR EL 4% CON RELACIÓN A LA LINEA BASE </t>
        </r>
      </text>
    </comment>
    <comment ref="N18" authorId="0" shapeId="0">
      <text>
        <r>
          <rPr>
            <b/>
            <sz val="9"/>
            <color indexed="81"/>
            <rFont val="Tahoma"/>
            <family val="2"/>
          </rPr>
          <t>USUARIO310719:</t>
        </r>
        <r>
          <rPr>
            <sz val="9"/>
            <color indexed="81"/>
            <rFont val="Tahoma"/>
            <family val="2"/>
          </rPr>
          <t xml:space="preserve">
REDUCIR EL 5% CON RELACIÓN AL 2021</t>
        </r>
      </text>
    </comment>
    <comment ref="P18" authorId="0" shapeId="0">
      <text>
        <r>
          <rPr>
            <b/>
            <sz val="9"/>
            <color indexed="81"/>
            <rFont val="Tahoma"/>
            <family val="2"/>
          </rPr>
          <t>USUARIO310719:</t>
        </r>
        <r>
          <rPr>
            <sz val="9"/>
            <color indexed="81"/>
            <rFont val="Tahoma"/>
            <family val="2"/>
          </rPr>
          <t xml:space="preserve">
REDUCIR EL 6% CON RELACIÓN AL 2022</t>
        </r>
      </text>
    </comment>
    <comment ref="R18" authorId="0" shapeId="0">
      <text>
        <r>
          <rPr>
            <b/>
            <sz val="9"/>
            <color indexed="81"/>
            <rFont val="Tahoma"/>
            <family val="2"/>
          </rPr>
          <t>USUARIO310719:</t>
        </r>
        <r>
          <rPr>
            <sz val="9"/>
            <color indexed="81"/>
            <rFont val="Tahoma"/>
            <family val="2"/>
          </rPr>
          <t xml:space="preserve">
REDUCIR EL 7% CON RELACIÓN AL 2023</t>
        </r>
      </text>
    </comment>
    <comment ref="L19" authorId="0" shapeId="0">
      <text>
        <r>
          <rPr>
            <b/>
            <sz val="9"/>
            <color indexed="81"/>
            <rFont val="Tahoma"/>
            <family val="2"/>
          </rPr>
          <t>USUARIO310719:</t>
        </r>
        <r>
          <rPr>
            <sz val="9"/>
            <color indexed="81"/>
            <rFont val="Tahoma"/>
            <family val="2"/>
          </rPr>
          <t xml:space="preserve">
REDUCIR EL 2% CON RELACIÓN A LA LINEA BASE </t>
        </r>
      </text>
    </comment>
    <comment ref="N19" authorId="0" shapeId="0">
      <text>
        <r>
          <rPr>
            <b/>
            <sz val="9"/>
            <color indexed="81"/>
            <rFont val="Tahoma"/>
            <family val="2"/>
          </rPr>
          <t>USUARIO310719:</t>
        </r>
        <r>
          <rPr>
            <sz val="9"/>
            <color indexed="81"/>
            <rFont val="Tahoma"/>
            <family val="2"/>
          </rPr>
          <t xml:space="preserve">
REDUCIR EL 2% CON RELACIÓN AL 2021</t>
        </r>
      </text>
    </comment>
    <comment ref="P19" authorId="0" shapeId="0">
      <text>
        <r>
          <rPr>
            <b/>
            <sz val="9"/>
            <color indexed="81"/>
            <rFont val="Tahoma"/>
            <family val="2"/>
          </rPr>
          <t>USUARIO310719:</t>
        </r>
        <r>
          <rPr>
            <sz val="9"/>
            <color indexed="81"/>
            <rFont val="Tahoma"/>
            <family val="2"/>
          </rPr>
          <t xml:space="preserve">
REDUCIR EL 2% CON RELACIÓN AL 2022</t>
        </r>
      </text>
    </comment>
    <comment ref="R19" authorId="0" shapeId="0">
      <text>
        <r>
          <rPr>
            <b/>
            <sz val="9"/>
            <color indexed="81"/>
            <rFont val="Tahoma"/>
            <family val="2"/>
          </rPr>
          <t>USUARIO310719:</t>
        </r>
        <r>
          <rPr>
            <sz val="9"/>
            <color indexed="81"/>
            <rFont val="Tahoma"/>
            <family val="2"/>
          </rPr>
          <t xml:space="preserve">
REDUCIR EL 2% CON RELACIÓN AL 2023</t>
        </r>
      </text>
    </comment>
    <comment ref="L20" authorId="0" shapeId="0">
      <text>
        <r>
          <rPr>
            <b/>
            <sz val="9"/>
            <color indexed="81"/>
            <rFont val="Tahoma"/>
            <family val="2"/>
          </rPr>
          <t>USUARIO310719:</t>
        </r>
        <r>
          <rPr>
            <sz val="9"/>
            <color indexed="81"/>
            <rFont val="Tahoma"/>
            <family val="2"/>
          </rPr>
          <t xml:space="preserve">
AUMENTO DEL 1,5% DEL VALOR DEL INDICADOR BUENO</t>
        </r>
      </text>
    </comment>
    <comment ref="N20" authorId="0" shapeId="0">
      <text>
        <r>
          <rPr>
            <b/>
            <sz val="9"/>
            <color indexed="81"/>
            <rFont val="Tahoma"/>
            <family val="2"/>
          </rPr>
          <t>USUARIO310719:</t>
        </r>
        <r>
          <rPr>
            <sz val="9"/>
            <color indexed="81"/>
            <rFont val="Tahoma"/>
            <family val="2"/>
          </rPr>
          <t xml:space="preserve">
AUMENTO DEL 1,5% DEL VALOR DEL INDICADOR BUENO</t>
        </r>
      </text>
    </comment>
    <comment ref="P20" authorId="0" shapeId="0">
      <text>
        <r>
          <rPr>
            <b/>
            <sz val="9"/>
            <color indexed="81"/>
            <rFont val="Tahoma"/>
            <family val="2"/>
          </rPr>
          <t>USUARIO310719:</t>
        </r>
        <r>
          <rPr>
            <sz val="9"/>
            <color indexed="81"/>
            <rFont val="Tahoma"/>
            <family val="2"/>
          </rPr>
          <t xml:space="preserve">
AUMENTO DEL 1,5% DEL VALOR DEL INDICADOR BUENO</t>
        </r>
      </text>
    </comment>
    <comment ref="R20" authorId="0" shapeId="0">
      <text>
        <r>
          <rPr>
            <b/>
            <sz val="9"/>
            <color indexed="81"/>
            <rFont val="Tahoma"/>
            <family val="2"/>
          </rPr>
          <t>USUARIO310719:</t>
        </r>
        <r>
          <rPr>
            <sz val="9"/>
            <color indexed="81"/>
            <rFont val="Tahoma"/>
            <family val="2"/>
          </rPr>
          <t xml:space="preserve">
AUMENTO DEL 1,5% DEL VALOR DEL INDICADOR BUENO</t>
        </r>
      </text>
    </comment>
    <comment ref="L21" authorId="0" shapeId="0">
      <text>
        <r>
          <rPr>
            <b/>
            <sz val="9"/>
            <color indexed="81"/>
            <rFont val="Tahoma"/>
            <family val="2"/>
          </rPr>
          <t>USUARIO310719:</t>
        </r>
        <r>
          <rPr>
            <sz val="9"/>
            <color indexed="81"/>
            <rFont val="Tahoma"/>
            <family val="2"/>
          </rPr>
          <t xml:space="preserve">
AUMENTO DEL 1,5% DEL VALOR DEL INDICADOR MALO</t>
        </r>
      </text>
    </comment>
    <comment ref="N21" authorId="0" shapeId="0">
      <text>
        <r>
          <rPr>
            <b/>
            <sz val="9"/>
            <color indexed="81"/>
            <rFont val="Tahoma"/>
            <family val="2"/>
          </rPr>
          <t>USUARIO310719:</t>
        </r>
        <r>
          <rPr>
            <sz val="9"/>
            <color indexed="81"/>
            <rFont val="Tahoma"/>
            <family val="2"/>
          </rPr>
          <t xml:space="preserve">
AUMENTO DEL 1,5% DEL VALOR DEL INDICADOR MALO</t>
        </r>
      </text>
    </comment>
    <comment ref="P21" authorId="0" shapeId="0">
      <text>
        <r>
          <rPr>
            <b/>
            <sz val="9"/>
            <color indexed="81"/>
            <rFont val="Tahoma"/>
            <family val="2"/>
          </rPr>
          <t>USUARIO310719:</t>
        </r>
        <r>
          <rPr>
            <sz val="9"/>
            <color indexed="81"/>
            <rFont val="Tahoma"/>
            <family val="2"/>
          </rPr>
          <t xml:space="preserve">
AUMENTO DEL 1,5% DEL VALOR DEL INDICADOR MALO</t>
        </r>
      </text>
    </comment>
    <comment ref="R21" authorId="0" shapeId="0">
      <text>
        <r>
          <rPr>
            <b/>
            <sz val="9"/>
            <color indexed="81"/>
            <rFont val="Tahoma"/>
            <family val="2"/>
          </rPr>
          <t>USUARIO310719:</t>
        </r>
        <r>
          <rPr>
            <sz val="9"/>
            <color indexed="81"/>
            <rFont val="Tahoma"/>
            <family val="2"/>
          </rPr>
          <t xml:space="preserve">
AUMENTO DEL 1,5% DEL VALOR DEL INDICADOR MALO</t>
        </r>
      </text>
    </comment>
    <comment ref="L22" authorId="0" shapeId="0">
      <text>
        <r>
          <rPr>
            <b/>
            <sz val="9"/>
            <color indexed="81"/>
            <rFont val="Tahoma"/>
            <family val="2"/>
          </rPr>
          <t>USUARIO310719:</t>
        </r>
        <r>
          <rPr>
            <sz val="9"/>
            <color indexed="81"/>
            <rFont val="Tahoma"/>
            <family val="2"/>
          </rPr>
          <t xml:space="preserve">
SE INICIA CON EL VALOR DE LA LINEA BASE</t>
        </r>
      </text>
    </comment>
    <comment ref="N22" authorId="0" shapeId="0">
      <text>
        <r>
          <rPr>
            <b/>
            <sz val="9"/>
            <color indexed="81"/>
            <rFont val="Tahoma"/>
            <family val="2"/>
          </rPr>
          <t>USUARIO310719:</t>
        </r>
        <r>
          <rPr>
            <sz val="9"/>
            <color indexed="81"/>
            <rFont val="Tahoma"/>
            <family val="2"/>
          </rPr>
          <t xml:space="preserve">
AUMENTO DEL 3% CON RELACIÓN AL AÑO 2021</t>
        </r>
      </text>
    </comment>
    <comment ref="P22" authorId="0" shapeId="0">
      <text>
        <r>
          <rPr>
            <b/>
            <sz val="9"/>
            <color indexed="81"/>
            <rFont val="Tahoma"/>
            <family val="2"/>
          </rPr>
          <t>USUARIO310719:</t>
        </r>
        <r>
          <rPr>
            <sz val="9"/>
            <color indexed="81"/>
            <rFont val="Tahoma"/>
            <family val="2"/>
          </rPr>
          <t xml:space="preserve">
AUMENTO DEL 3% CON RELACIÓN AL AÑO 2022</t>
        </r>
      </text>
    </comment>
    <comment ref="R22" authorId="0" shapeId="0">
      <text>
        <r>
          <rPr>
            <b/>
            <sz val="9"/>
            <color indexed="81"/>
            <rFont val="Tahoma"/>
            <family val="2"/>
          </rPr>
          <t>USUARIO310719:</t>
        </r>
        <r>
          <rPr>
            <sz val="9"/>
            <color indexed="81"/>
            <rFont val="Tahoma"/>
            <family val="2"/>
          </rPr>
          <t xml:space="preserve">
AUMENTO DEL 3% CON RELACIÓN AL AÑO 2023</t>
        </r>
      </text>
    </comment>
    <comment ref="L38" authorId="0" shapeId="0">
      <text>
        <r>
          <rPr>
            <b/>
            <sz val="9"/>
            <color indexed="81"/>
            <rFont val="Tahoma"/>
            <family val="2"/>
          </rPr>
          <t>USUARIO310719:</t>
        </r>
        <r>
          <rPr>
            <sz val="9"/>
            <color indexed="81"/>
            <rFont val="Tahoma"/>
            <family val="2"/>
          </rPr>
          <t xml:space="preserve">
% DE CRECIMIENTO DEL AHORRO EN RELACIÓN A SEPTIEMBRE 2020</t>
        </r>
      </text>
    </comment>
    <comment ref="N38" authorId="0" shapeId="0">
      <text>
        <r>
          <rPr>
            <b/>
            <sz val="9"/>
            <color indexed="81"/>
            <rFont val="Tahoma"/>
            <family val="2"/>
          </rPr>
          <t>USUARIO310719:</t>
        </r>
        <r>
          <rPr>
            <sz val="9"/>
            <color indexed="81"/>
            <rFont val="Tahoma"/>
            <family val="2"/>
          </rPr>
          <t xml:space="preserve">
% DE CRECIMIENTO DEL AHORRO EN RELACIÓN A SEPTIEMBRE 2020</t>
        </r>
      </text>
    </comment>
    <comment ref="O38" authorId="0" shapeId="0">
      <text>
        <r>
          <rPr>
            <b/>
            <sz val="9"/>
            <color indexed="81"/>
            <rFont val="Tahoma"/>
            <family val="2"/>
          </rPr>
          <t>USUARIO310719:</t>
        </r>
        <r>
          <rPr>
            <sz val="9"/>
            <color indexed="81"/>
            <rFont val="Tahoma"/>
            <family val="2"/>
          </rPr>
          <t xml:space="preserve">
% DE CRECIMIENTO DEL AHORRO EN RELACIÓN A SEPTIEMBRE 2020</t>
        </r>
      </text>
    </comment>
    <comment ref="P38" authorId="0" shapeId="0">
      <text>
        <r>
          <rPr>
            <b/>
            <sz val="9"/>
            <color indexed="81"/>
            <rFont val="Tahoma"/>
            <family val="2"/>
          </rPr>
          <t>USUARIO310719:</t>
        </r>
        <r>
          <rPr>
            <sz val="9"/>
            <color indexed="81"/>
            <rFont val="Tahoma"/>
            <family val="2"/>
          </rPr>
          <t xml:space="preserve">
% DE CRECIMIENTO DEL AHORRO EN RELACIÓN A SEPTIEMBRE 2020</t>
        </r>
      </text>
    </comment>
    <comment ref="Q38" authorId="0" shapeId="0">
      <text>
        <r>
          <rPr>
            <b/>
            <sz val="9"/>
            <color indexed="81"/>
            <rFont val="Tahoma"/>
            <family val="2"/>
          </rPr>
          <t>USUARIO310719:</t>
        </r>
        <r>
          <rPr>
            <sz val="9"/>
            <color indexed="81"/>
            <rFont val="Tahoma"/>
            <family val="2"/>
          </rPr>
          <t xml:space="preserve">
% DE CRECIMIENTO DEL AHORRO EN RELACIÓN A SEPTIEMBRE 2020</t>
        </r>
      </text>
    </comment>
    <comment ref="R38" authorId="0" shapeId="0">
      <text>
        <r>
          <rPr>
            <b/>
            <sz val="9"/>
            <color indexed="81"/>
            <rFont val="Tahoma"/>
            <family val="2"/>
          </rPr>
          <t>USUARIO310719:</t>
        </r>
        <r>
          <rPr>
            <sz val="9"/>
            <color indexed="81"/>
            <rFont val="Tahoma"/>
            <family val="2"/>
          </rPr>
          <t xml:space="preserve">
% DE CRECIMIENTO DEL AHORRO EN RELACIÓN A SEPTIEMBRE 2020</t>
        </r>
      </text>
    </comment>
    <comment ref="L40" authorId="0" shapeId="0">
      <text>
        <r>
          <rPr>
            <b/>
            <sz val="9"/>
            <color indexed="81"/>
            <rFont val="Tahoma"/>
            <family val="2"/>
          </rPr>
          <t>USUARIO310719:</t>
        </r>
        <r>
          <rPr>
            <sz val="9"/>
            <color indexed="81"/>
            <rFont val="Tahoma"/>
            <family val="2"/>
          </rPr>
          <t xml:space="preserve">
% DE CRECIMIENTO DEL AHORRO EN RELACIÓN A SEPTIEMBRE 2020</t>
        </r>
      </text>
    </comment>
    <comment ref="N40" authorId="0" shapeId="0">
      <text>
        <r>
          <rPr>
            <b/>
            <sz val="9"/>
            <color indexed="81"/>
            <rFont val="Tahoma"/>
            <family val="2"/>
          </rPr>
          <t>USUARIO310719:</t>
        </r>
        <r>
          <rPr>
            <sz val="9"/>
            <color indexed="81"/>
            <rFont val="Tahoma"/>
            <family val="2"/>
          </rPr>
          <t xml:space="preserve">
% DE CRECIMIENTO DEL AHORRO EN RELACIÓN A SEPTIEMBRE 2020</t>
        </r>
      </text>
    </comment>
    <comment ref="O40" authorId="0" shapeId="0">
      <text>
        <r>
          <rPr>
            <b/>
            <sz val="9"/>
            <color indexed="81"/>
            <rFont val="Tahoma"/>
            <family val="2"/>
          </rPr>
          <t>USUARIO310719:</t>
        </r>
        <r>
          <rPr>
            <sz val="9"/>
            <color indexed="81"/>
            <rFont val="Tahoma"/>
            <family val="2"/>
          </rPr>
          <t xml:space="preserve">
% DE CRECIMIENTO DEL AHORRO EN RELACIÓN A SEPTIEMBRE 2020</t>
        </r>
      </text>
    </comment>
    <comment ref="P40" authorId="0" shapeId="0">
      <text>
        <r>
          <rPr>
            <b/>
            <sz val="9"/>
            <color indexed="81"/>
            <rFont val="Tahoma"/>
            <family val="2"/>
          </rPr>
          <t>USUARIO310719:</t>
        </r>
        <r>
          <rPr>
            <sz val="9"/>
            <color indexed="81"/>
            <rFont val="Tahoma"/>
            <family val="2"/>
          </rPr>
          <t xml:space="preserve">
% DE CRECIMIENTO DEL AHORRO EN RELACIÓN A SEPTIEMBRE 2020</t>
        </r>
      </text>
    </comment>
    <comment ref="Q40" authorId="0" shapeId="0">
      <text>
        <r>
          <rPr>
            <b/>
            <sz val="9"/>
            <color indexed="81"/>
            <rFont val="Tahoma"/>
            <family val="2"/>
          </rPr>
          <t>USUARIO310719:</t>
        </r>
        <r>
          <rPr>
            <sz val="9"/>
            <color indexed="81"/>
            <rFont val="Tahoma"/>
            <family val="2"/>
          </rPr>
          <t xml:space="preserve">
% DE CRECIMIENTO DEL AHORRO EN RELACIÓN A SEPTIEMBRE 2020</t>
        </r>
      </text>
    </comment>
    <comment ref="R40" authorId="0" shapeId="0">
      <text>
        <r>
          <rPr>
            <b/>
            <sz val="9"/>
            <color indexed="81"/>
            <rFont val="Tahoma"/>
            <family val="2"/>
          </rPr>
          <t>USUARIO310719:</t>
        </r>
        <r>
          <rPr>
            <sz val="9"/>
            <color indexed="81"/>
            <rFont val="Tahoma"/>
            <family val="2"/>
          </rPr>
          <t xml:space="preserve">
% DE CRECIMIENTO DEL AHORRO EN RELACIÓN A SEPTIEMBRE 2020</t>
        </r>
      </text>
    </comment>
    <comment ref="L42" authorId="0" shapeId="0">
      <text>
        <r>
          <rPr>
            <b/>
            <sz val="9"/>
            <color indexed="81"/>
            <rFont val="Tahoma"/>
            <family val="2"/>
          </rPr>
          <t>USUARIO310719:</t>
        </r>
        <r>
          <rPr>
            <sz val="9"/>
            <color indexed="81"/>
            <rFont val="Tahoma"/>
            <family val="2"/>
          </rPr>
          <t xml:space="preserve">
% DE CRECIMIENTO DEL AHORRO EN RELACIÓN A SEPTIEMBRE 2020</t>
        </r>
      </text>
    </comment>
    <comment ref="N42" authorId="0" shapeId="0">
      <text>
        <r>
          <rPr>
            <b/>
            <sz val="9"/>
            <color indexed="81"/>
            <rFont val="Tahoma"/>
            <family val="2"/>
          </rPr>
          <t>USUARIO310719:</t>
        </r>
        <r>
          <rPr>
            <sz val="9"/>
            <color indexed="81"/>
            <rFont val="Tahoma"/>
            <family val="2"/>
          </rPr>
          <t xml:space="preserve">
% DE CRECIMIENTO DEL AHORRO EN RELACIÓN A SEPTIEMBRE 2020</t>
        </r>
      </text>
    </comment>
    <comment ref="O42" authorId="0" shapeId="0">
      <text>
        <r>
          <rPr>
            <b/>
            <sz val="9"/>
            <color indexed="81"/>
            <rFont val="Tahoma"/>
            <family val="2"/>
          </rPr>
          <t>USUARIO310719:</t>
        </r>
        <r>
          <rPr>
            <sz val="9"/>
            <color indexed="81"/>
            <rFont val="Tahoma"/>
            <family val="2"/>
          </rPr>
          <t xml:space="preserve">
% DE CRECIMIENTO DEL AHORRO EN RELACIÓN A SEPTIEMBRE 2020</t>
        </r>
      </text>
    </comment>
    <comment ref="P42" authorId="0" shapeId="0">
      <text>
        <r>
          <rPr>
            <b/>
            <sz val="9"/>
            <color indexed="81"/>
            <rFont val="Tahoma"/>
            <family val="2"/>
          </rPr>
          <t>USUARIO310719:</t>
        </r>
        <r>
          <rPr>
            <sz val="9"/>
            <color indexed="81"/>
            <rFont val="Tahoma"/>
            <family val="2"/>
          </rPr>
          <t xml:space="preserve">
% DE CRECIMIENTO DEL AHORRO EN RELACIÓN A SEPTIEMBRE 2020</t>
        </r>
      </text>
    </comment>
    <comment ref="Q42" authorId="0" shapeId="0">
      <text>
        <r>
          <rPr>
            <b/>
            <sz val="9"/>
            <color indexed="81"/>
            <rFont val="Tahoma"/>
            <family val="2"/>
          </rPr>
          <t>USUARIO310719:</t>
        </r>
        <r>
          <rPr>
            <sz val="9"/>
            <color indexed="81"/>
            <rFont val="Tahoma"/>
            <family val="2"/>
          </rPr>
          <t xml:space="preserve">
% DE CRECIMIENTO DEL AHORRO EN RELACIÓN A SEPTIEMBRE 2020</t>
        </r>
      </text>
    </comment>
    <comment ref="R42" authorId="0" shapeId="0">
      <text>
        <r>
          <rPr>
            <b/>
            <sz val="9"/>
            <color indexed="81"/>
            <rFont val="Tahoma"/>
            <family val="2"/>
          </rPr>
          <t>USUARIO310719:</t>
        </r>
        <r>
          <rPr>
            <sz val="9"/>
            <color indexed="81"/>
            <rFont val="Tahoma"/>
            <family val="2"/>
          </rPr>
          <t xml:space="preserve">
% DE CRECIMIENTO DEL AHORRO EN RELACIÓN A SEPTIEMBRE 2020</t>
        </r>
      </text>
    </comment>
  </commentList>
</comments>
</file>

<file path=xl/comments3.xml><?xml version="1.0" encoding="utf-8"?>
<comments xmlns="http://schemas.openxmlformats.org/spreadsheetml/2006/main">
  <authors>
    <author>USUARIO310719</author>
  </authors>
  <commentList>
    <comment ref="L82" authorId="0" shapeId="0">
      <text>
        <r>
          <rPr>
            <b/>
            <sz val="9"/>
            <color indexed="81"/>
            <rFont val="Tahoma"/>
            <family val="2"/>
          </rPr>
          <t>USUARIO310719:</t>
        </r>
        <r>
          <rPr>
            <sz val="9"/>
            <color indexed="81"/>
            <rFont val="Tahoma"/>
            <family val="2"/>
          </rPr>
          <t xml:space="preserve">
REDUCIR EL 1,5% DEL NIVEL DE CUMPLIMIENTO BAJO</t>
        </r>
      </text>
    </comment>
    <comment ref="L102" authorId="0" shapeId="0">
      <text>
        <r>
          <rPr>
            <b/>
            <sz val="9"/>
            <color indexed="81"/>
            <rFont val="Tahoma"/>
            <family val="2"/>
          </rPr>
          <t>USUARIO310719:</t>
        </r>
        <r>
          <rPr>
            <sz val="9"/>
            <color indexed="81"/>
            <rFont val="Tahoma"/>
            <family val="2"/>
          </rPr>
          <t xml:space="preserve">
SE REDUCE EL 6% CON RELACIÓN AL NIVEL DE CUMPLIMIENTO BUENO</t>
        </r>
      </text>
    </comment>
    <comment ref="L103" authorId="0" shapeId="0">
      <text>
        <r>
          <rPr>
            <b/>
            <sz val="9"/>
            <color indexed="81"/>
            <rFont val="Tahoma"/>
            <family val="2"/>
          </rPr>
          <t>USUARIO310719:</t>
        </r>
        <r>
          <rPr>
            <sz val="9"/>
            <color indexed="81"/>
            <rFont val="Tahoma"/>
            <family val="2"/>
          </rPr>
          <t xml:space="preserve">
SE REDUCE EL 6% CON RELACIÓN AL NIVEL DE CUMPLIMIENTO MALO</t>
        </r>
      </text>
    </comment>
    <comment ref="L111" authorId="0" shapeId="0">
      <text>
        <r>
          <rPr>
            <b/>
            <sz val="9"/>
            <color indexed="81"/>
            <rFont val="Tahoma"/>
            <family val="2"/>
          </rPr>
          <t>USUARIO310719:</t>
        </r>
        <r>
          <rPr>
            <sz val="9"/>
            <color indexed="81"/>
            <rFont val="Tahoma"/>
            <family val="2"/>
          </rPr>
          <t xml:space="preserve">
AUMENTO DEL 3% CON RELACIÓN A LA LÍNEA BASE DEL NIVEL EXCELENTE</t>
        </r>
      </text>
    </comment>
    <comment ref="L112" authorId="0" shapeId="0">
      <text>
        <r>
          <rPr>
            <b/>
            <sz val="9"/>
            <color indexed="81"/>
            <rFont val="Tahoma"/>
            <family val="2"/>
          </rPr>
          <t>USUARIO310719:</t>
        </r>
        <r>
          <rPr>
            <sz val="9"/>
            <color indexed="81"/>
            <rFont val="Tahoma"/>
            <family val="2"/>
          </rPr>
          <t xml:space="preserve">
REDUCIR EL 2% CON RELACIÓN A LA LÍNEA BASE DEL NIVEL BUENO</t>
        </r>
      </text>
    </comment>
    <comment ref="L113" authorId="0" shapeId="0">
      <text>
        <r>
          <rPr>
            <b/>
            <sz val="9"/>
            <color indexed="81"/>
            <rFont val="Tahoma"/>
            <family val="2"/>
          </rPr>
          <t>USUARIO310719:</t>
        </r>
        <r>
          <rPr>
            <sz val="9"/>
            <color indexed="81"/>
            <rFont val="Tahoma"/>
            <family val="2"/>
          </rPr>
          <t xml:space="preserve">
REDUCIR EL 1% CON RELACIÓN A LA LINEA BASE DEL NIVEL MALO</t>
        </r>
      </text>
    </comment>
    <comment ref="L118" authorId="0" shapeId="0">
      <text>
        <r>
          <rPr>
            <b/>
            <sz val="9"/>
            <color indexed="81"/>
            <rFont val="Tahoma"/>
            <family val="2"/>
          </rPr>
          <t>USUARIO310719:</t>
        </r>
        <r>
          <rPr>
            <sz val="9"/>
            <color indexed="81"/>
            <rFont val="Tahoma"/>
            <family val="2"/>
          </rPr>
          <t xml:space="preserve">
AUMENTAR EL 7% CON RELACIÓN A LA LINEA BASE DEL NIVEL EXCELENTE</t>
        </r>
      </text>
    </comment>
    <comment ref="L119" authorId="0" shapeId="0">
      <text>
        <r>
          <rPr>
            <b/>
            <sz val="9"/>
            <color indexed="81"/>
            <rFont val="Tahoma"/>
            <family val="2"/>
          </rPr>
          <t>USUARIO310719:</t>
        </r>
        <r>
          <rPr>
            <sz val="9"/>
            <color indexed="81"/>
            <rFont val="Tahoma"/>
            <family val="2"/>
          </rPr>
          <t xml:space="preserve">
REDUCIR EL 4% CON RELACIÓN A LA LINEA BASE DEL NIVEL BUENO</t>
        </r>
      </text>
    </comment>
    <comment ref="L120" authorId="0" shapeId="0">
      <text>
        <r>
          <rPr>
            <b/>
            <sz val="9"/>
            <color indexed="81"/>
            <rFont val="Tahoma"/>
            <family val="2"/>
          </rPr>
          <t>USUARIO310719:</t>
        </r>
        <r>
          <rPr>
            <sz val="9"/>
            <color indexed="81"/>
            <rFont val="Tahoma"/>
            <family val="2"/>
          </rPr>
          <t xml:space="preserve">
REDUCIR EL 3% CON RELACIÓN A LA LINEA BASE DEL NIVEL MALO</t>
        </r>
      </text>
    </comment>
    <comment ref="L125" authorId="0" shapeId="0">
      <text>
        <r>
          <rPr>
            <b/>
            <sz val="9"/>
            <color indexed="81"/>
            <rFont val="Tahoma"/>
            <family val="2"/>
          </rPr>
          <t>USUARIO310719:</t>
        </r>
        <r>
          <rPr>
            <sz val="9"/>
            <color indexed="81"/>
            <rFont val="Tahoma"/>
            <family val="2"/>
          </rPr>
          <t xml:space="preserve">
AUMENTO DEL 6% CON RELACIÓN A LA LINEA BASE</t>
        </r>
      </text>
    </comment>
    <comment ref="L126" authorId="0" shapeId="0">
      <text>
        <r>
          <rPr>
            <b/>
            <sz val="9"/>
            <color indexed="81"/>
            <rFont val="Tahoma"/>
            <family val="2"/>
          </rPr>
          <t>USUARIO310719:</t>
        </r>
        <r>
          <rPr>
            <sz val="9"/>
            <color indexed="81"/>
            <rFont val="Tahoma"/>
            <family val="2"/>
          </rPr>
          <t xml:space="preserve">
REDUCIR EL 4% CON RELACIÓN A LA LINEA BASE </t>
        </r>
      </text>
    </comment>
    <comment ref="L127" authorId="0" shapeId="0">
      <text>
        <r>
          <rPr>
            <b/>
            <sz val="9"/>
            <color indexed="81"/>
            <rFont val="Tahoma"/>
            <family val="2"/>
          </rPr>
          <t>USUARIO310719:</t>
        </r>
        <r>
          <rPr>
            <sz val="9"/>
            <color indexed="81"/>
            <rFont val="Tahoma"/>
            <family val="2"/>
          </rPr>
          <t xml:space="preserve">
REDUCIR EL 2% CON RELACIÓN A LA LÍNEA BASE</t>
        </r>
      </text>
    </comment>
    <comment ref="L132" authorId="0" shapeId="0">
      <text>
        <r>
          <rPr>
            <b/>
            <sz val="9"/>
            <color indexed="81"/>
            <rFont val="Tahoma"/>
            <family val="2"/>
          </rPr>
          <t>USUARIO310719:</t>
        </r>
        <r>
          <rPr>
            <sz val="9"/>
            <color indexed="81"/>
            <rFont val="Tahoma"/>
            <family val="2"/>
          </rPr>
          <t xml:space="preserve">
AUMENTO DEL 6% CON RELACIÓN A LA LINEA BASE</t>
        </r>
      </text>
    </comment>
    <comment ref="L133" authorId="0" shapeId="0">
      <text>
        <r>
          <rPr>
            <b/>
            <sz val="9"/>
            <color indexed="81"/>
            <rFont val="Tahoma"/>
            <family val="2"/>
          </rPr>
          <t>USUARIO310719:</t>
        </r>
        <r>
          <rPr>
            <sz val="9"/>
            <color indexed="81"/>
            <rFont val="Tahoma"/>
            <family val="2"/>
          </rPr>
          <t xml:space="preserve">
REDUCIR EL 4% CON RELACIÓN A LA LINEA BASE </t>
        </r>
      </text>
    </comment>
    <comment ref="L134" authorId="0" shapeId="0">
      <text>
        <r>
          <rPr>
            <b/>
            <sz val="9"/>
            <color indexed="81"/>
            <rFont val="Tahoma"/>
            <family val="2"/>
          </rPr>
          <t>USUARIO310719:</t>
        </r>
        <r>
          <rPr>
            <sz val="9"/>
            <color indexed="81"/>
            <rFont val="Tahoma"/>
            <family val="2"/>
          </rPr>
          <t xml:space="preserve">
REDUCIR EL 2% CON RELACIÓN A LA LINEA BASE </t>
        </r>
      </text>
    </comment>
    <comment ref="L139" authorId="0" shapeId="0">
      <text>
        <r>
          <rPr>
            <b/>
            <sz val="9"/>
            <color indexed="81"/>
            <rFont val="Tahoma"/>
            <family val="2"/>
          </rPr>
          <t>USUARIO310719:</t>
        </r>
        <r>
          <rPr>
            <sz val="9"/>
            <color indexed="81"/>
            <rFont val="Tahoma"/>
            <family val="2"/>
          </rPr>
          <t xml:space="preserve">
AUMENTO DEL 1,5% DEL VALOR DEL INDICADOR BUENO</t>
        </r>
      </text>
    </comment>
    <comment ref="L140" authorId="0" shapeId="0">
      <text>
        <r>
          <rPr>
            <b/>
            <sz val="9"/>
            <color indexed="81"/>
            <rFont val="Tahoma"/>
            <family val="2"/>
          </rPr>
          <t>USUARIO310719:</t>
        </r>
        <r>
          <rPr>
            <sz val="9"/>
            <color indexed="81"/>
            <rFont val="Tahoma"/>
            <family val="2"/>
          </rPr>
          <t xml:space="preserve">
AUMENTO DEL 1,5% DEL VALOR DEL INDICADOR MALO</t>
        </r>
      </text>
    </comment>
    <comment ref="L141" authorId="0" shapeId="0">
      <text>
        <r>
          <rPr>
            <b/>
            <sz val="9"/>
            <color indexed="81"/>
            <rFont val="Tahoma"/>
            <family val="2"/>
          </rPr>
          <t>USUARIO310719:</t>
        </r>
        <r>
          <rPr>
            <sz val="9"/>
            <color indexed="81"/>
            <rFont val="Tahoma"/>
            <family val="2"/>
          </rPr>
          <t xml:space="preserve">
SE INICIA CON EL VALOR DE LA LINEA BASE</t>
        </r>
      </text>
    </comment>
  </commentList>
</comments>
</file>

<file path=xl/sharedStrings.xml><?xml version="1.0" encoding="utf-8"?>
<sst xmlns="http://schemas.openxmlformats.org/spreadsheetml/2006/main" count="3148" uniqueCount="528">
  <si>
    <t>PLANIFICACIÓN ESTRATÉGICA COOPERATIVA DE AHORRO Y CRÉDITO SANTA ANITA LTA.</t>
  </si>
  <si>
    <t>Año de inicio de planificación</t>
  </si>
  <si>
    <t>Planificación para cuantos años</t>
  </si>
  <si>
    <t>4 años</t>
  </si>
  <si>
    <t>La Unión de Organizaciones Campesinas e Indígenas de Cotacachi, UNORCAC, dirigentes y técnicos deciden crear una Cooperativa de Ahorro y Crédito para el sector rural de Cotacachi. La Cooperativa de Ahorro y Crédito Santa Anita, es aprobada por el Ministerio de Bienestar Social con Acuerdo Ministerial No, 00347 el 3 de diciembre del 2001 y se registró en la Dirección Nacional de Cooperativa con el No. 6467 en la misma fecha, con 22 socios fundadores.
La Cooperativa Santa Anita, es una institución que nació con la finalidad de brindar acceso al ahorro al ahorro y crédito a las 43 comunidades indígenas del ámbito de incidencia de la UNORCAC.
La Institución cuenta al 30 de Septiembre del 2017 con 12.286 asociados, distribuidos en sus zonas de atención: Imbabura y Carchi.
La Cooperativa de Ahorro y Crédito “Santa Anita” para la prestación de sus servicios cuenta con oficinas en Cotacachi, Imantag, Atuntaqui, Ibarra, Mira (Parcelas) y San Rafael.</t>
  </si>
  <si>
    <t>RESEÑA HISTÓRICA</t>
  </si>
  <si>
    <t>MISIÓN</t>
  </si>
  <si>
    <t xml:space="preserve">VISIÓN </t>
  </si>
  <si>
    <t>VALORES Y PRINCIPIOS</t>
  </si>
  <si>
    <t xml:space="preserve">Además de los valores universales de honestidad, lealtad e integridad, los siguientes valores operativos son fundamentales  y representan nuestro compromiso con los socios, clientes, directivos y personal, con el objetivo de que la Cooperativa Santa Anita sea reconocida. </t>
  </si>
  <si>
    <t>VALORES</t>
  </si>
  <si>
    <t>Principio de práctica: Que vamos a hacer</t>
  </si>
  <si>
    <r>
      <t>Solidaridad:</t>
    </r>
    <r>
      <rPr>
        <sz val="14"/>
        <color theme="1"/>
        <rFont val="Calibri"/>
        <family val="2"/>
        <scheme val="minor"/>
      </rPr>
      <t xml:space="preserve"> Creemos que el éxito en el logro de nuestra misión, nuestros objetivos organizacionales y en el apoyo a nuestros socios y clientes está determinado en el respeto a cada persona.</t>
    </r>
  </si>
  <si>
    <t>• Nos mantendremos unidos, apoyándonos unos a otros y trabajando para alcanzar un objetivo común.</t>
  </si>
  <si>
    <t>• Si tenemos un problema, usaremos la colaboración y la orientación trabajando juntos para resolverlo.</t>
  </si>
  <si>
    <t>• Nuestro respeto por cada persona se demostrará a través de políticas y regulaciones que requieren un trato equitativo e imparcial.</t>
  </si>
  <si>
    <r>
      <t>Empoderamiento:</t>
    </r>
    <r>
      <rPr>
        <sz val="14"/>
        <color theme="1"/>
        <rFont val="Calibri"/>
        <family val="2"/>
        <scheme val="minor"/>
      </rPr>
      <t xml:space="preserve"> si bien nuestro negocio es sobre finanzas, nuestra vocación es asesorar a las personas. Estamos comprometidos a apoyar a cada persona trabajando para que alcance sus metas y desarrollar su capacidad.</t>
    </r>
  </si>
  <si>
    <t>• Apoyaremos a nuestros socios y clientes en el cumplimiento de sus necesidades de desarrollo social y comercial a través de la educación y asesoría financiera.</t>
  </si>
  <si>
    <t>• Apoyaremos a nuestros colaboradores en su desarrollo personal y profesional.</t>
  </si>
  <si>
    <t>• Alentaremos a todos nuestros asociados a participar en eventos donde se escuche su voz.</t>
  </si>
  <si>
    <r>
      <t>Transparencia:</t>
    </r>
    <r>
      <rPr>
        <sz val="14"/>
        <color theme="1"/>
        <rFont val="Calibri"/>
        <family val="2"/>
        <scheme val="minor"/>
      </rPr>
      <t xml:space="preserve"> creamos confianza con nuestros clientes, socios y personal mediante un compromiso con la honestidad, la apertura y la integridad.</t>
    </r>
  </si>
  <si>
    <t>• Nos comprometemos a presentar nuestra información corporativa en formatos simples, claros y directos.</t>
  </si>
  <si>
    <t>• Respetaremos la confidencialidad de la información según lo exige la ley o las buenas prácticas comerciales, informando lo que se debe y protegiendo la información de lo que es nuestro por integridad.</t>
  </si>
  <si>
    <r>
      <rPr>
        <b/>
        <sz val="14"/>
        <color theme="1"/>
        <rFont val="Calibri"/>
        <family val="2"/>
        <scheme val="minor"/>
      </rPr>
      <t>Responsabilidad compartida:</t>
    </r>
    <r>
      <rPr>
        <sz val="14"/>
        <color theme="1"/>
        <rFont val="Calibri"/>
        <family val="2"/>
        <scheme val="minor"/>
      </rPr>
      <t xml:space="preserve"> Entendemos que todos compartimos la responsabilidad del éxito de la Cooperativa Santa Anita y que el trabajo de cada uno de nosotros contribuye para lograrlo.</t>
    </r>
  </si>
  <si>
    <t>• Cuando trabajamos con socios, los educamos sobre la necesidad de aceptar la responsabilidad de los compromisos que hacen.</t>
  </si>
  <si>
    <t>• Capacitar a nuestro personal para mostrar cómo la contribución personal conduce al éxito de la organización.</t>
  </si>
  <si>
    <t>• Esperamos que todos los miembros de nuestro personal demuestren de manera activa y constante un compromiso con nuestra misión y nuestros valores fundamentales operativos.</t>
  </si>
  <si>
    <t>• Nos aseguraremos de que nuestros socios y clientes estén al tanto de todos los detalles de cualquier trámite que realicen.                                                                                       • Haremos que nuestra información organizacional esté disponible de manera oportuna y completa.</t>
  </si>
  <si>
    <t>PERSPECTIVA 1</t>
  </si>
  <si>
    <t>FINANCIERA</t>
  </si>
  <si>
    <t>1. Crecimiento de Cartera</t>
  </si>
  <si>
    <t>2. Incremento fuentes de financiamiento</t>
  </si>
  <si>
    <t xml:space="preserve">3. Mejoramiento de la Solidez </t>
  </si>
  <si>
    <t>4. Administración de Liquidez institucional</t>
  </si>
  <si>
    <t>5. Administración Eficiente de Gastos</t>
  </si>
  <si>
    <t>6. Administración Activos Improductivos</t>
  </si>
  <si>
    <t>OBJETIVOS</t>
  </si>
  <si>
    <t>INDICADOR</t>
  </si>
  <si>
    <t>Cartera por vencer del periodo (menos cartera por vencer del año anterior)/Cartera del año anterior</t>
  </si>
  <si>
    <t>Captaciones del periodo (menos captaciones del año anterior)/Captaciones del año anterior</t>
  </si>
  <si>
    <t>Financiamiento del periodo (menos financiamiento del año anterior)/Financiamiento del año anterior</t>
  </si>
  <si>
    <t>Patrimonio técnico/activos y contingentes ponderados por riesgo</t>
  </si>
  <si>
    <t xml:space="preserve">Liquidez estructural de primera            </t>
  </si>
  <si>
    <t>Liquidez estructural de segunda línea</t>
  </si>
  <si>
    <t xml:space="preserve">Gasto de personal estimado/activo promedio </t>
  </si>
  <si>
    <t>Margen neto de intereses</t>
  </si>
  <si>
    <t>Activos improductivos/total de activos</t>
  </si>
  <si>
    <t>Cartera improductiva/cartera bruta</t>
  </si>
  <si>
    <t>Cobertura de provisiones legales= Provisión constituida/provisión específica (C02)</t>
  </si>
  <si>
    <t>Activos improductivos/(pasivos sin costo de financiamiento + patrimoninio)</t>
  </si>
  <si>
    <t>PERSPECTIVA 2</t>
  </si>
  <si>
    <t>1. Mejoramiento de la relación con socios y clientes</t>
  </si>
  <si>
    <t>Imagen Institucional</t>
  </si>
  <si>
    <t xml:space="preserve"> Satisfacción productos de crédito                 </t>
  </si>
  <si>
    <t xml:space="preserve">Satisfacción Productos de Ahorro        </t>
  </si>
  <si>
    <t>Satisfacción servicio al cliente</t>
  </si>
  <si>
    <t>2. Impulsar y Mantener la Fidelización de Socios y Clientes</t>
  </si>
  <si>
    <t>Total de socios activos/Total de socios activos e inactivos</t>
  </si>
  <si>
    <t>Saldo total del ahorro / Número de Cuenta Ahorristas</t>
  </si>
  <si>
    <t>3. Crecimiento de mercado en la zona de cobertura</t>
  </si>
  <si>
    <t xml:space="preserve">4. Balance Social y Educación </t>
  </si>
  <si>
    <t>Medición del balance social</t>
  </si>
  <si>
    <t>1. Estandarización de procesos Institucionales KPI-KRI</t>
  </si>
  <si>
    <t>Gestión documental elaborada/Gestión documental planificada</t>
  </si>
  <si>
    <t>Documentación de eventos de riesgo levantados/número de procesos documentados</t>
  </si>
  <si>
    <t>Requerimientos mínimos cumplidos/Requerimientos por normativa</t>
  </si>
  <si>
    <t>2. Seguridad Física, Electrónica y Lógica</t>
  </si>
  <si>
    <t>3. Fortalecer el soporte del área de TI del cliente interno</t>
  </si>
  <si>
    <t>Número de Ticket solucionados/Número de tickets ingresados</t>
  </si>
  <si>
    <t>Cumplimiento de acuerdo de niveles de servicio</t>
  </si>
  <si>
    <t>PROCESOS</t>
  </si>
  <si>
    <t>Ser una Cooperativa de Ahorro y Crédito sostenible, reconocida por preservar la inclusión social, promover la calidad humana en nuestra gente, brindar productos y servicios para satisfacer las necesidades financieras de socios y clientes.</t>
  </si>
  <si>
    <t>Avance del Plan Estratégico</t>
  </si>
  <si>
    <t>Clima Laboral</t>
  </si>
  <si>
    <t>Indicador de Gobernanza</t>
  </si>
  <si>
    <t>2. Fortalecer la gestión de Talento Humano en la parte de Relaciones Humanas</t>
  </si>
  <si>
    <t>3. Fortalecimiento de la Gobernanza Institucional</t>
  </si>
  <si>
    <t>PERSPECTIVA 3</t>
  </si>
  <si>
    <t>NIVEL DE CUMPLIMIENTO</t>
  </si>
  <si>
    <t>AÑO 2021</t>
  </si>
  <si>
    <t>EXCELENTE</t>
  </si>
  <si>
    <t xml:space="preserve">BUENO </t>
  </si>
  <si>
    <t>MALO</t>
  </si>
  <si>
    <t>AÑO 2022</t>
  </si>
  <si>
    <t>AÑO 2023</t>
  </si>
  <si>
    <t>AÑO 2024</t>
  </si>
  <si>
    <t>META</t>
  </si>
  <si>
    <t>LÍNEA BASE</t>
  </si>
  <si>
    <t>Grado de absorción de margen financiero                                      Gastos de operación/Sumatoria de los ingresos-gastos del giro de negocio</t>
  </si>
  <si>
    <t>&gt; 101%</t>
  </si>
  <si>
    <t>&gt; 102%</t>
  </si>
  <si>
    <t>&gt; 103%</t>
  </si>
  <si>
    <t>&gt; 104%</t>
  </si>
  <si>
    <t xml:space="preserve">Imagen institucional </t>
  </si>
  <si>
    <t>Satisfacción de productos de crédito</t>
  </si>
  <si>
    <t>PROCESOS E INNOVACIÓN</t>
  </si>
  <si>
    <t>CLIENTES Y MERCADO</t>
  </si>
  <si>
    <t>GESTIÓN ESTRATÉGICA</t>
  </si>
  <si>
    <t>GESTIÓN DE NEGOCIOS</t>
  </si>
  <si>
    <t>GESTIÓN DE SOPORTE</t>
  </si>
  <si>
    <t>Adm. Riesgo Operativo</t>
  </si>
  <si>
    <t>Adm. Riesgo Financiero</t>
  </si>
  <si>
    <t>BUENO</t>
  </si>
  <si>
    <t>PERSPECTIVA 4</t>
  </si>
  <si>
    <t>APRENDIZAJE Y CONOCIMIENTOS</t>
  </si>
  <si>
    <t>1. Transformar un Modelo de  Cultura Organizacional</t>
  </si>
  <si>
    <t>ACTIVIDADES</t>
  </si>
  <si>
    <t>PERSONAL DE APOYO</t>
  </si>
  <si>
    <t>ENERO</t>
  </si>
  <si>
    <t>FEBRERO</t>
  </si>
  <si>
    <t>MARZO</t>
  </si>
  <si>
    <t>ABRIL</t>
  </si>
  <si>
    <t>MAYO</t>
  </si>
  <si>
    <t>JUNIO</t>
  </si>
  <si>
    <t>JULIO</t>
  </si>
  <si>
    <t>AGOSTO</t>
  </si>
  <si>
    <t>SEPTIEMBRE</t>
  </si>
  <si>
    <t>OCTUBRE</t>
  </si>
  <si>
    <t>NOVIEMBRE</t>
  </si>
  <si>
    <t>DICIEMBRE</t>
  </si>
  <si>
    <t>• Rediseño o creación de productos</t>
  </si>
  <si>
    <t>• Estabilizar y mejorar la calidad de cartera</t>
  </si>
  <si>
    <t>PROGRAMACIÓN</t>
  </si>
  <si>
    <t>• Rediseño de productos de ahorro</t>
  </si>
  <si>
    <t>• Potencializar la colocación Lendwithcare</t>
  </si>
  <si>
    <t xml:space="preserve">• Analizar y Gestionar el cobro de reservas en los créditos </t>
  </si>
  <si>
    <t>• Mantener y Mejorar la liquidez</t>
  </si>
  <si>
    <t>• Mantener activas fuentes de contingencia de liquidez</t>
  </si>
  <si>
    <t>• Manejo de Proyectos sociales</t>
  </si>
  <si>
    <t>• Reducción cartera en riesgo</t>
  </si>
  <si>
    <t xml:space="preserve">• Reducción del interés diferido de cartera </t>
  </si>
  <si>
    <t>• Ejecución del Plan de Mejora de los indicadores de Balance Social ( reforma normativa)</t>
  </si>
  <si>
    <t>• Plan de formación a la comunidad</t>
  </si>
  <si>
    <t>Responsables de Áreas</t>
  </si>
  <si>
    <t xml:space="preserve">• Elaboración de informe de Balance Social anual </t>
  </si>
  <si>
    <t>Mejorar metodología del programa de educación financiera</t>
  </si>
  <si>
    <t>• Evaluación del programa</t>
  </si>
  <si>
    <t xml:space="preserve">• Elaborar programa y material didáctico dando cumplimiento a la normativa con relación a los programas de educación financiera </t>
  </si>
  <si>
    <t xml:space="preserve">• Realizar capacitaciones </t>
  </si>
  <si>
    <t>RESPONSABLE</t>
  </si>
  <si>
    <t>Gestor Social y Marketing</t>
  </si>
  <si>
    <t>Gerencia, Cumplimiento, Auditoria, Negocios, Talento Humano, Riesgos, Operaciones</t>
  </si>
  <si>
    <t>Gerencia, Responsables de Áreas</t>
  </si>
  <si>
    <t>Gerencia, Negocio y Operaciones</t>
  </si>
  <si>
    <t>Proveedores externos</t>
  </si>
  <si>
    <t>Todas la áreas</t>
  </si>
  <si>
    <t>•  Generar y Ejecutar Estrategias de Negocio y marketing enfocados a mejorar el relacionamiento, posicionamiento de los productos y servicios.</t>
  </si>
  <si>
    <t>• Ejecución de proyectos sociales</t>
  </si>
  <si>
    <t xml:space="preserve">• Plan de medios anual </t>
  </si>
  <si>
    <t>• Estrategia en redes</t>
  </si>
  <si>
    <t>• Elaboración de productos comunicacionales</t>
  </si>
  <si>
    <t>Gerencia, Negocios y Financiero</t>
  </si>
  <si>
    <t>Negocios, Operaciones, Proveedores externos</t>
  </si>
  <si>
    <t xml:space="preserve">• Implementar una herramienta propia de medición de satisfacción del cliente </t>
  </si>
  <si>
    <t>1. Transformar el Modelo de  Cultura Organizacional</t>
  </si>
  <si>
    <t>Gerencia, Responsable de Talento Humano y Financiero</t>
  </si>
  <si>
    <t>• Establecer la metodología para la medición de la atención al cliente</t>
  </si>
  <si>
    <t>• Plan de Activación y Actualización de Cuentas</t>
  </si>
  <si>
    <t>• Plan de Beneficios para socios</t>
  </si>
  <si>
    <t>• Plan de optimización en tiempos de entrega de productos y servicios.</t>
  </si>
  <si>
    <t>• Análisis de Factibilidad de nuevos nichos de mercado</t>
  </si>
  <si>
    <t>• Potencializar las oficinas existentes</t>
  </si>
  <si>
    <t>• Generar alianzas con proveedores de servicios financieros</t>
  </si>
  <si>
    <t>• Levantamiento de procesos institucionales</t>
  </si>
  <si>
    <t>• Seguimiento del plan de continuidad ante la emergencia sanitaria COVID-19</t>
  </si>
  <si>
    <t>• Automatización de los procesos</t>
  </si>
  <si>
    <t>• Certificación de Seguridad de las oficinas de la Coac. Santa Anita Ltda.</t>
  </si>
  <si>
    <t>• Estudios de factibilidad para la implementación de desarrollos y aplicaciones para la optimización de procesos</t>
  </si>
  <si>
    <t>• Plan de Adquisiciones hardware y software</t>
  </si>
  <si>
    <t>• Fortalecer las competencias con capacitación específica por área</t>
  </si>
  <si>
    <t>• Elaboración el Plan de Carrera</t>
  </si>
  <si>
    <t xml:space="preserve">• Generar un plan de incentivos monetarios y no monetarios </t>
  </si>
  <si>
    <t>• Actualización de la Estructura Organizacional y actualización del Manual de Funciones.</t>
  </si>
  <si>
    <t>• Fortalecer el trabajo en equipo y responsabilidad compartida</t>
  </si>
  <si>
    <t>• Fortalecer las competencias en motivación y liderazgo del área de Talento Humano</t>
  </si>
  <si>
    <t xml:space="preserve">• Ejecutar  Evaluaciones de Desempeño </t>
  </si>
  <si>
    <t>• Plan de proceso de sucesión de directivos</t>
  </si>
  <si>
    <t xml:space="preserve">• Plan de Capacitación a nuevos directivos y Representantes a la  Asamblea </t>
  </si>
  <si>
    <t>• Seguimiento al Plan de Mejora de Gobernanza</t>
  </si>
  <si>
    <t>CUMPLIMIENTO</t>
  </si>
  <si>
    <t>Planificado</t>
  </si>
  <si>
    <t>Asistente de Procesos y Seguridades Integrales</t>
  </si>
  <si>
    <t>Dueños de Procesos</t>
  </si>
  <si>
    <t>2. Seguridad Física, Electrónica, Lógica y Salud Ocupacional</t>
  </si>
  <si>
    <t>• Actualización políticas captaciones y procesos</t>
  </si>
  <si>
    <t>Activos improductivos/(pasivos sin costo de financiamiento + patrimonio)</t>
  </si>
  <si>
    <t>• Mejoramiento continuo</t>
  </si>
  <si>
    <t>• Ejecución de procesos de Control, prevención de lavado de activos, Auditoría y Gestión de Riesgos.</t>
  </si>
  <si>
    <t xml:space="preserve">• Campaña para mejorar la comunicación efectiva interna </t>
  </si>
  <si>
    <t>• Establecer una política de prevención como mecanismo de corrección antes de la sanción</t>
  </si>
  <si>
    <t>• Levantamiento de acuerdo de niveles de servicio</t>
  </si>
  <si>
    <t xml:space="preserve">• Seguimiento del Sistema de Gestión de Seguridad y Salud Ocupacional </t>
  </si>
  <si>
    <t>Crecimiento de socios con crédito = Socios con crédito al año anterior/Crecimiento de socios con crédito anual</t>
  </si>
  <si>
    <t>Crecimiento de número de socios depósitos a plazo fijo</t>
  </si>
  <si>
    <t>Jefe de Negocios</t>
  </si>
  <si>
    <t>Gerencia, Administrador de Riesgos, Asistente de Procesos, Administradores de Cartera</t>
  </si>
  <si>
    <t>• Generar bases preferenciales</t>
  </si>
  <si>
    <t>• Contratación de Asesor de Crédito</t>
  </si>
  <si>
    <t>• Evaluación y seguimiento de productividad del área de crédito</t>
  </si>
  <si>
    <t>Gerencia, Administrador de Cartera</t>
  </si>
  <si>
    <t>Gerencia, Administrador de Cartera, Asesores de Crédito, Asesores de Captaciones, Gestores de Cobranza, Asistente de Procesos</t>
  </si>
  <si>
    <t>Gerencia, Administradores de Cartera</t>
  </si>
  <si>
    <t>Gerencia, Responsable de TTHH</t>
  </si>
  <si>
    <t xml:space="preserve">• Incremento del monto promedio de crédito </t>
  </si>
  <si>
    <t>Aministradores de Cartera, Asesores de Crédito</t>
  </si>
  <si>
    <t>ENTREGABLE</t>
  </si>
  <si>
    <t>• Establecer Modelo de Negocios  (sistemática comercial)</t>
  </si>
  <si>
    <t>• Actualización de Políticas y metodologías (colocación y cobranza)</t>
  </si>
  <si>
    <t>• Incrementar en número de créditos financiados en la plataforma Lend withcare</t>
  </si>
  <si>
    <t>• Gestionar una nueva fuente de financiamiento (local o internacional)</t>
  </si>
  <si>
    <t>• Revisión de tasas de interes activas y pasivas</t>
  </si>
  <si>
    <t xml:space="preserve">Gerencia, Jefe de Negocios, Fábrica de Crédito, Administradores de Cartera, Asesores de Crédito, </t>
  </si>
  <si>
    <t>Gerencia</t>
  </si>
  <si>
    <t>Contador General, Oficial de Cumplimiento, Analista de Crédito, Jefe de Negocios</t>
  </si>
  <si>
    <t>• Evaluación y seguimiento de productividad del área de captaciones</t>
  </si>
  <si>
    <t>Captaciones del periodo (menos captaciones del año anterior)/Captaciones del año anterior                                          (57%)</t>
  </si>
  <si>
    <t>Crecimiento de ahorro a la vista</t>
  </si>
  <si>
    <t>PRESUPUESTO</t>
  </si>
  <si>
    <t>• Implementar el servicio de Coopertiva en Linea</t>
  </si>
  <si>
    <t>• Mejorar la atención al cliente</t>
  </si>
  <si>
    <t>Informe trimestral de la RFD</t>
  </si>
  <si>
    <t>Informe de la Jefatura de Negocios</t>
  </si>
  <si>
    <t>Reporte de plataforma de créditos adjudicados</t>
  </si>
  <si>
    <t>Contrato de Crédito</t>
  </si>
  <si>
    <t>• Incremento del Fondeo por ahorro a la vista.</t>
  </si>
  <si>
    <t>Asesor de Captaciones, Asistentes Operativos</t>
  </si>
  <si>
    <t>Estados Financieros</t>
  </si>
  <si>
    <t xml:space="preserve">• Incremento de obligaciones con el público Plazo Fijo </t>
  </si>
  <si>
    <t>Informe de Evaluación</t>
  </si>
  <si>
    <t>Gerencia, Administrador de Riesgos, Asesores de Captaciones, Gestor Social y de Marketing</t>
  </si>
  <si>
    <t>Manual de Captaciones Aprobado</t>
  </si>
  <si>
    <t>Comité de Riesgos</t>
  </si>
  <si>
    <t>• Análisis de tasa de costo de financiamiento</t>
  </si>
  <si>
    <t>Comité de Activos y Pasivos</t>
  </si>
  <si>
    <t>Reporte mensual</t>
  </si>
  <si>
    <t>Gerencia, Fábrica de Crédito, Gestor Social y de Marketing, Asesores de Crédito</t>
  </si>
  <si>
    <t>Reporte mensual, Contrato de la linea</t>
  </si>
  <si>
    <t>• Incremento certificados de aportaciónpor apertura de cuentas nuevas</t>
  </si>
  <si>
    <t>Gerente, Comité de Activos y Pasivos</t>
  </si>
  <si>
    <t>Manual de Crédito Aprobado</t>
  </si>
  <si>
    <t>Patrimonio técnico/activos y contingentes ponderados por riesgo                                                                                                                   11,51%</t>
  </si>
  <si>
    <t>• Plan externo de comunicación (focus group, entrevistas, etc. Socialización de Manual de Quejas y Reclamos)</t>
  </si>
  <si>
    <t>Gerente, Administrador de Riesgos, Financiero, Jefe de Negocios</t>
  </si>
  <si>
    <t>Informes Bimensuiales del Admin. Riesgos</t>
  </si>
  <si>
    <t>Gerente</t>
  </si>
  <si>
    <t>Administrador de Riesgos, Financiero, Jefe de Negocios</t>
  </si>
  <si>
    <t>Contratos, Informes de monitoreo de CONAFIPS, carta de aporbación de linea de crédito FINANCOOP</t>
  </si>
  <si>
    <t>• Actualizar políticas y metodologias de tesorería y riesgos de liquidez</t>
  </si>
  <si>
    <t>Contador General</t>
  </si>
  <si>
    <t>Gerencia, Administrador de Riesgos</t>
  </si>
  <si>
    <t>Manual de Tesoreria y Riesgos Actualizado</t>
  </si>
  <si>
    <t xml:space="preserve">• Seguimiento al cumplimiento normativo sobre los límites establecidos </t>
  </si>
  <si>
    <t xml:space="preserve">Administrador de Riesgos </t>
  </si>
  <si>
    <t>Gerencia, Contador General</t>
  </si>
  <si>
    <t xml:space="preserve">Liquidez estructural de primera línea            </t>
  </si>
  <si>
    <t>• Definir estrategias de fondeo a traves de plazos fijos de montos pequeños a mayores plazos y con tasas competetitivas</t>
  </si>
  <si>
    <t>Consejo de Administración y Comité de Riesgos</t>
  </si>
  <si>
    <t>Acta del Consejo aprobada la propuesta</t>
  </si>
  <si>
    <t>• Analisar la actualización de Política de Incentivos del área de negocios</t>
  </si>
  <si>
    <t>Consejo de Administración, Comité de Riesgos</t>
  </si>
  <si>
    <t>Informe de Gerencia</t>
  </si>
  <si>
    <t>• Ejecución del plan anual de vacaciones</t>
  </si>
  <si>
    <t>• Distribución de bonificación de ruboros grabados y no grabados en roles de pagos de acuerdo a lo establecido en normativa</t>
  </si>
  <si>
    <t>Responsable de TTHH</t>
  </si>
  <si>
    <t>Gerente, Jefaturas</t>
  </si>
  <si>
    <t>Solicitud de vacaciones aprobadas</t>
  </si>
  <si>
    <t>Auditoria Externa, Gerencia, Contador General</t>
  </si>
  <si>
    <t>Roles actualizados</t>
  </si>
  <si>
    <t>Contador General, Gestor Social y de Marketing</t>
  </si>
  <si>
    <t>Proyecto aprobado</t>
  </si>
  <si>
    <t>• Congeliamiento del sueldo fijo de todos los empleados</t>
  </si>
  <si>
    <t>Consejo de Administración</t>
  </si>
  <si>
    <t>Reporte de Roles de Pago</t>
  </si>
  <si>
    <t>• Seguimiento al indicador del grado de absorción y cumplimiento del plan entregado por la SEPS</t>
  </si>
  <si>
    <t>Grado de absorción de margen financiero=Gastos de operación/Sumatoria de los ingresos-gastos del giro de negocio</t>
  </si>
  <si>
    <t>• Aplicación de la metodologia de fijación de tasas de interes emitida por la Junta de Regulación</t>
  </si>
  <si>
    <t>• Establecer capacitaciones específicas de negociación y técnicas de ventas a captadores de la Cooperativa</t>
  </si>
  <si>
    <t>• Diseñar un esquema de metas para captaciones basado en monto, plazo y trasa promedio</t>
  </si>
  <si>
    <t>Gerencia, Administrador de Riesgos, Talento Humano</t>
  </si>
  <si>
    <t>Esquema aprobado</t>
  </si>
  <si>
    <t>Informe de Jefe de Negocios</t>
  </si>
  <si>
    <t>• Seguimiento del indicador del Margen neto de intereses</t>
  </si>
  <si>
    <t>Comité de Activos y Pasivos, Admisnitrador de Riesgos</t>
  </si>
  <si>
    <t>Informe financiero de Gerencia</t>
  </si>
  <si>
    <t>• Ejecución del plan de adquisiciones</t>
  </si>
  <si>
    <t>Consejo de Administración, Comité de Activos y Pasivos, Jefaturas.</t>
  </si>
  <si>
    <t>Análisis Financiero por Gerencia</t>
  </si>
  <si>
    <t>Administrador de Cartera, Gestores de Cobranza, Asesores de Crédito.</t>
  </si>
  <si>
    <t>Gerencia, Administrador de Riesgo, Administrador de Cartera, TIC´s, Gestore de Cobranza, Asesor de Crédito</t>
  </si>
  <si>
    <t>Balance Financiero por Gerencia</t>
  </si>
  <si>
    <t>Administrador de Cartera, Gestores de Cobranza</t>
  </si>
  <si>
    <t>• Establecer procesos de recuperación con el personal de Cobranzas para mitigar o disminuir el nivel de castigos de cartera</t>
  </si>
  <si>
    <t>Actualización del Manual de Cartera Vencida</t>
  </si>
  <si>
    <t>• Dar continuidad a los procesos de condonación de intereses</t>
  </si>
  <si>
    <t>Consejo de Administración, Jefe de Negocios y Contador General</t>
  </si>
  <si>
    <t>Actas de condonación y reporte</t>
  </si>
  <si>
    <t xml:space="preserve">• Aplicar la figura de reestructuras a los créditos vencidos totales que se encuentren con mayores a 2 años </t>
  </si>
  <si>
    <t>Infiorme de Jefe de Negocios</t>
  </si>
  <si>
    <t>• Analizar la contratación de una cobrado externa para créditos castigados de difícil recuperación para Gestores de Cobranza</t>
  </si>
  <si>
    <t>Contrato</t>
  </si>
  <si>
    <t>• Monitoreo del indicador</t>
  </si>
  <si>
    <t>Gerencia, Jefe de Negocios, Administradores de Cartera, Asesores de Crédito</t>
  </si>
  <si>
    <t>Administrador de Riesgos</t>
  </si>
  <si>
    <t>• Diseñar el Manual de Administración del Riesgo Operativo y Legal, con avance del 40%</t>
  </si>
  <si>
    <t>Manual com el avancel del 40%</t>
  </si>
  <si>
    <t>• Actualizar el Plan de Contingencia de TI</t>
  </si>
  <si>
    <t>Responsable de TIC´S</t>
  </si>
  <si>
    <t>Plan de contingencia actualizado</t>
  </si>
  <si>
    <t>Consejo de Admisnitración, CAIR, Gerencia, Administrador de Riesgos, Asistente de Procesos</t>
  </si>
  <si>
    <t>• Levantamiento de eventos de Riesgo por procesos documentados</t>
  </si>
  <si>
    <t>Comité de Riesgos y Dueños de Procesos</t>
  </si>
  <si>
    <t>Actas de levantamiento de eventos de Riesgo</t>
  </si>
  <si>
    <t>• Documentar los indicadores claves de riesgos y definir los límites mínimos y máximos</t>
  </si>
  <si>
    <t>Tablero de indicadores</t>
  </si>
  <si>
    <t>• Actualizar las políticas y metodologias relacionadas con riesgos financiera</t>
  </si>
  <si>
    <t>Documentos aprobados</t>
  </si>
  <si>
    <t>Alta Gerencia</t>
  </si>
  <si>
    <t>Proceso automatizado</t>
  </si>
  <si>
    <t>Políticas institucionales evaluadas/número de políticas totales</t>
  </si>
  <si>
    <t>Dueños de los procesos</t>
  </si>
  <si>
    <t>Personal de cada área</t>
  </si>
  <si>
    <t>Auditoria o Oficial de Cumplimiento</t>
  </si>
  <si>
    <t>Consejo de Administración y Consejo de Vigilancia</t>
  </si>
  <si>
    <t>Actividades ejecutadas/Actividades planificadas</t>
  </si>
  <si>
    <t>• Analizar el cambio de empresa de seguridad</t>
  </si>
  <si>
    <t>Talento Humano</t>
  </si>
  <si>
    <t>Oficial de Seguridades</t>
  </si>
  <si>
    <t>Gerencia y Proveedor Externo</t>
  </si>
  <si>
    <t>Comité Paritario, Médico Ocupacional</t>
  </si>
  <si>
    <t xml:space="preserve">• Gobernanza: Actualización de la Normativa </t>
  </si>
  <si>
    <t>• Proceso de Elecciones</t>
  </si>
  <si>
    <t>Auditoria, Consejo de Administración</t>
  </si>
  <si>
    <t>Presidente Consejo Administración</t>
  </si>
  <si>
    <t>Gerencia, Secretaria</t>
  </si>
  <si>
    <t xml:space="preserve">Informe de la Junta Electroal </t>
  </si>
  <si>
    <t>Normativa actualizada</t>
  </si>
  <si>
    <t>• Elaboración del Plan Anual de Consejo de Administración, Plan Anual de Vigilancia</t>
  </si>
  <si>
    <t>Ptresidentes de Consejos</t>
  </si>
  <si>
    <t>Gerencia, Auditoria Interna</t>
  </si>
  <si>
    <t>Plan anual aprobado</t>
  </si>
  <si>
    <t>Gestor Social y Marketing, Secretaria</t>
  </si>
  <si>
    <t>Encuestas y registros de asistencia</t>
  </si>
  <si>
    <t>• Supervición de las practicas de relacionmiento con los grupos de interes</t>
  </si>
  <si>
    <t>Auditoria Interna</t>
  </si>
  <si>
    <t>Gerencia, Gestor Social y Marketing</t>
  </si>
  <si>
    <t>Informe de Auditoria</t>
  </si>
  <si>
    <t>• Elaboración de un informe estadistico de operaciones de crédito y captaciones otorgado a personas excluidas</t>
  </si>
  <si>
    <t>Informe estadístico</t>
  </si>
  <si>
    <t>• Realizar proceso de clasificación de información de carácter confidencial o reservada</t>
  </si>
  <si>
    <t>Jefes Departamentales y Asistente de Procesos y Seguridades Integrales</t>
  </si>
  <si>
    <t>Planificación</t>
  </si>
  <si>
    <t>Capacitador Externo, Auditoria Interna y Secretaria</t>
  </si>
  <si>
    <t>Aprobación de capacitación</t>
  </si>
  <si>
    <t>Auditoria, Gestor Social y de Marketing, Secretaria</t>
  </si>
  <si>
    <t>• Gestión de Asamblea de Posesión de nuevos directivos</t>
  </si>
  <si>
    <t>Acta de posesión</t>
  </si>
  <si>
    <t>Comité de Gobernanza</t>
  </si>
  <si>
    <t>Actas del Consejo</t>
  </si>
  <si>
    <t>Matriz de información</t>
  </si>
  <si>
    <t>Actas Comité Paritario</t>
  </si>
  <si>
    <t>Informes de Auditoria y Cumplimiento</t>
  </si>
  <si>
    <t>Gerencia, Gestor Social y Marketing, Área de Negocios</t>
  </si>
  <si>
    <t>Camapañas de publicidad</t>
  </si>
  <si>
    <t>Gerencia, Asistente de Procesos, Analista de Crédito, Admisnitradores de Cartera, Asesores de Crédito</t>
  </si>
  <si>
    <t>Gerencia, Responsable de Talento Humano, Área Operativa y Asesores de Captaciones</t>
  </si>
  <si>
    <t>Alta Gerencia, Gestor Social y de Marketing</t>
  </si>
  <si>
    <t>Documento del Proyecto</t>
  </si>
  <si>
    <t>Consejo de Administración, Alta Gerencia</t>
  </si>
  <si>
    <t>• Análisis de proyecto de continuidad de tarjeta de débito</t>
  </si>
  <si>
    <t xml:space="preserve">Resolución del Consejo </t>
  </si>
  <si>
    <t>• Implementar proyecto de tarjeta de débito</t>
  </si>
  <si>
    <t>Contrato y acta entrega de desarrollo</t>
  </si>
  <si>
    <t>Contrato del servicio</t>
  </si>
  <si>
    <t>Coordinador de Operaciones</t>
  </si>
  <si>
    <t>Informe de socios activos y pasivos</t>
  </si>
  <si>
    <t>Coordinador de Operaciones , Gestor Social y Marketing</t>
  </si>
  <si>
    <t>Informe de beneficios de Coordinador de operaciones</t>
  </si>
  <si>
    <t>Departamento de Negocios</t>
  </si>
  <si>
    <t>• Realización y ejecución de plan para retención de clientes ( ciclo de vida del socio o cliente)</t>
  </si>
  <si>
    <t>Plan e informe de Jefe de Negocios</t>
  </si>
  <si>
    <t xml:space="preserve">Acta de Reunión </t>
  </si>
  <si>
    <t>Estados Financieros por oficinas</t>
  </si>
  <si>
    <t>Contrato con proveedores de servicio</t>
  </si>
  <si>
    <t>Acta de Consejo Administración</t>
  </si>
  <si>
    <t>Gerencia, Jefes de Departamentos, Organismos Externos</t>
  </si>
  <si>
    <t>Certificados o Actas de Asistencia</t>
  </si>
  <si>
    <t>Gerencia, Jefe de Negocios, Coordinador de Operaciones, Organismos Externos, Asistente Administrativo</t>
  </si>
  <si>
    <t>Gerencia, Jefes de Áreas, Asistente de Procesos</t>
  </si>
  <si>
    <t>Plan de Carrera Aprobado</t>
  </si>
  <si>
    <t>Consejo de Administración, Gerencia, Jefes Departamentales</t>
  </si>
  <si>
    <t>Documento de incentivos aprobado</t>
  </si>
  <si>
    <t>Consejo Administración, Gerencia, Analista de Riesgos, Asistente de Procesos</t>
  </si>
  <si>
    <t xml:space="preserve">Manual aprobado </t>
  </si>
  <si>
    <t>Gerencia, Organismo Externo</t>
  </si>
  <si>
    <t>Actas de participación y evaluación</t>
  </si>
  <si>
    <t>Gerencia, Jefes Departamentales, TIC´s</t>
  </si>
  <si>
    <t>Informe de resultados por parte de TTHH</t>
  </si>
  <si>
    <t>Resposable de TTHH</t>
  </si>
  <si>
    <t>Gerencia, Jefes Departamentales</t>
  </si>
  <si>
    <t>Política aprobada</t>
  </si>
  <si>
    <t>MATRIZ DEL PERFIL COMPETITIVO COOPERATIVA DE AHORRO Y CREDITO SANTA ANITA</t>
  </si>
  <si>
    <t>SANTA ANITA</t>
  </si>
  <si>
    <t>ATUNTAQUI</t>
  </si>
  <si>
    <t>UNION EL EJIDO</t>
  </si>
  <si>
    <t>PILAHUIN TIO</t>
  </si>
  <si>
    <t>ARTESANOS</t>
  </si>
  <si>
    <t>MUSHUC RUNA</t>
  </si>
  <si>
    <t xml:space="preserve">FACTORES </t>
  </si>
  <si>
    <t>Seguridad y Confianza</t>
  </si>
  <si>
    <t xml:space="preserve">Transparencia </t>
  </si>
  <si>
    <t xml:space="preserve">Eficiencia y agilidad </t>
  </si>
  <si>
    <t>Servicio al cliente</t>
  </si>
  <si>
    <t xml:space="preserve">Productos y Servicios </t>
  </si>
  <si>
    <t>Imagen e infraestructura</t>
  </si>
  <si>
    <t xml:space="preserve">Ubicación física </t>
  </si>
  <si>
    <t>Tecnología e innovación (canales electrónicos)</t>
  </si>
  <si>
    <t xml:space="preserve">Inclusión financiera </t>
  </si>
  <si>
    <t>Total Resultado</t>
  </si>
  <si>
    <t>Importancia</t>
  </si>
  <si>
    <t>Ponderación porcentual</t>
  </si>
  <si>
    <t xml:space="preserve">Clasificación  </t>
  </si>
  <si>
    <t>Resultado Ponderado</t>
  </si>
  <si>
    <t>AGENCIA COTACAHI</t>
  </si>
  <si>
    <t>AGENCIA ATUNTAQUI</t>
  </si>
  <si>
    <t xml:space="preserve"> ATUNTAQUI</t>
  </si>
  <si>
    <t>SAN ANTONIO</t>
  </si>
  <si>
    <t>PABLO MUÑOZ VEGA</t>
  </si>
  <si>
    <t>FACTORES CLAVES DEL ÉXITO</t>
  </si>
  <si>
    <t>AGENCIA IBARRA</t>
  </si>
  <si>
    <t>PABLO MUÑOZ</t>
  </si>
  <si>
    <t>CACMU</t>
  </si>
  <si>
    <t>total resultado</t>
  </si>
  <si>
    <t>29 DE OCTUBRE</t>
  </si>
  <si>
    <t>TULCÁN</t>
  </si>
  <si>
    <t>Transparencia</t>
  </si>
  <si>
    <t>Eficiencia y agilidad</t>
  </si>
  <si>
    <t>Productos y Servicios</t>
  </si>
  <si>
    <t>Ubicación física</t>
  </si>
  <si>
    <t>Inclusión financiera</t>
  </si>
  <si>
    <t>AGENCIA SAN RAFAEL</t>
  </si>
  <si>
    <t>SAN GABRIEL</t>
  </si>
  <si>
    <t>Orgnismo Externo</t>
  </si>
  <si>
    <t>1. Transformar el Modelo de Cultura Organizacional</t>
  </si>
  <si>
    <t>APRENDIZAJE</t>
  </si>
  <si>
    <t>Responsable de TIC´s</t>
  </si>
  <si>
    <t>Asistente de TIC´S</t>
  </si>
  <si>
    <t>Gerencia, Jefe de Negocios, Financiero, Coordinador de Operaciones, Asistentes TIC´s</t>
  </si>
  <si>
    <t>Responsable de TIC´S, Asistente de Procesos</t>
  </si>
  <si>
    <t>Jefe Departamentales, Asistentes de TIC´s</t>
  </si>
  <si>
    <t>• Elaboración de encuestas y focus grup para conocer expectativas de socios y clientes sobre el Buen Gobierno Cooperativo</t>
  </si>
  <si>
    <t>Normativa Aprobada</t>
  </si>
  <si>
    <t>Normativa Actualizada</t>
  </si>
  <si>
    <t>Informe y resgistros</t>
  </si>
  <si>
    <t>• Crear la Unidad de Seguridades</t>
  </si>
  <si>
    <t>Certificado emitido por MT</t>
  </si>
  <si>
    <t>Plan aprobado</t>
  </si>
  <si>
    <t>Herramienta</t>
  </si>
  <si>
    <t xml:space="preserve">Plan de medios anual </t>
  </si>
  <si>
    <t>Informe de publicaciones en redes</t>
  </si>
  <si>
    <t>Cuñas, Spot</t>
  </si>
  <si>
    <t>Informe y la metodologia</t>
  </si>
  <si>
    <t xml:space="preserve">Informe </t>
  </si>
  <si>
    <t xml:space="preserve">Plan aprobado </t>
  </si>
  <si>
    <t>Programa y folletos actualizados</t>
  </si>
  <si>
    <t>Informe</t>
  </si>
  <si>
    <t>Registros de asistencia, Informe</t>
  </si>
  <si>
    <t>Campaña documentada</t>
  </si>
  <si>
    <t>CRECIMIENTO (VALORES ABSOLUTOS)</t>
  </si>
  <si>
    <t>Informe Mensual</t>
  </si>
  <si>
    <t>Manual Aprobado</t>
  </si>
  <si>
    <t>Intructivo Aprobado</t>
  </si>
  <si>
    <t>Informe Gerencial</t>
  </si>
  <si>
    <t>Contrato Legalizado</t>
  </si>
  <si>
    <t xml:space="preserve">Informe Jefatura </t>
  </si>
  <si>
    <t>Documento de plan de mejora</t>
  </si>
  <si>
    <t>Acción de Personal</t>
  </si>
  <si>
    <t>• Implementación de las políticas institucionales establecidas</t>
  </si>
  <si>
    <t>“Somos una Cooperativa de Ahorro y Crédito confiable y solvente del sector financiero Popular y Solidario que ofrece productos y servicios  dirigidos a nuestros socios y clientes en la región sierra Norte del País, impulsando el crecimiento económico,cuidado al medio ambiente, desarrollo social e inclusión financiera de la comunidad..”</t>
  </si>
  <si>
    <t>Cobertura de provisiones legales</t>
  </si>
  <si>
    <t>Financiamiento del periodo</t>
  </si>
  <si>
    <t>Captaciones del periodo</t>
  </si>
  <si>
    <t>CLIENTES</t>
  </si>
  <si>
    <t>Documentación de indicadores claves de riesgo levantados/número de procesos documentados</t>
  </si>
  <si>
    <t xml:space="preserve">Gasto de personal </t>
  </si>
  <si>
    <t xml:space="preserve">Grado de absorción </t>
  </si>
  <si>
    <t>Activos improductivos</t>
  </si>
  <si>
    <t>Cartera improductiva</t>
  </si>
  <si>
    <t>Crecimiento de Cartera</t>
  </si>
  <si>
    <t xml:space="preserve">Mejoramiento de la Solidez </t>
  </si>
  <si>
    <t>MES</t>
  </si>
  <si>
    <t>DIFERENCIA</t>
  </si>
  <si>
    <t>Etiquetas de fila</t>
  </si>
  <si>
    <t>Total general</t>
  </si>
  <si>
    <t>Suma de META</t>
  </si>
  <si>
    <t>Suma de CUMPLIMIENTO</t>
  </si>
  <si>
    <t>Suma de DIFERENCIA</t>
  </si>
  <si>
    <t>Crecimiento de socios con crédito</t>
  </si>
  <si>
    <t>PERSPECTIVA CLIENTE</t>
  </si>
  <si>
    <t>PERSPECTIVA FINANCIERA</t>
  </si>
  <si>
    <t>PERSPECTIVA PROCESOS</t>
  </si>
  <si>
    <t>Gestión documental</t>
  </si>
  <si>
    <t>Documentación de eventos de riesgo levantados</t>
  </si>
  <si>
    <t>Políticas institucionales evaluadas</t>
  </si>
  <si>
    <t>Cumplimiento seguridades físicas</t>
  </si>
  <si>
    <t>Ticket solucionados</t>
  </si>
  <si>
    <t>PERSPECTIVA APRENDIZAJE Y CONOCIMIENTOS</t>
  </si>
  <si>
    <t>E</t>
  </si>
  <si>
    <t>F</t>
  </si>
  <si>
    <t>M</t>
  </si>
  <si>
    <t>A</t>
  </si>
  <si>
    <t>J</t>
  </si>
  <si>
    <t>S</t>
  </si>
  <si>
    <t>O</t>
  </si>
  <si>
    <t>N</t>
  </si>
  <si>
    <t>D</t>
  </si>
  <si>
    <t>SUMA</t>
  </si>
  <si>
    <t>ELEGIR</t>
  </si>
  <si>
    <t>%</t>
  </si>
  <si>
    <t>$</t>
  </si>
  <si>
    <t xml:space="preserve">Satisfacción productos de crédito                 </t>
  </si>
  <si>
    <t>X</t>
  </si>
  <si>
    <t>Y</t>
  </si>
  <si>
    <t>CUMPLIDO</t>
  </si>
  <si>
    <t>INCUMPLIDO</t>
  </si>
  <si>
    <t xml:space="preserve">Crecimiento de socios con crédito </t>
  </si>
  <si>
    <t>Reprogramar a Octubre</t>
  </si>
  <si>
    <t>Las adquisiciones se estan realizando en base a las necesidades que se estan presentando y nuevas contrataciones de personal</t>
  </si>
  <si>
    <t>Se estan realizando configuraciones en el help desk para automatizar el cumplimiento de niveles de servicio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</si>
</sst>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quot;$&quot;* #,##0.00_ ;_ &quot;$&quot;* \-#,##0.00_ ;_ &quot;$&quot;* &quot;-&quot;??_ ;_ @_ "/>
    <numFmt numFmtId="165" formatCode="0.0%"/>
    <numFmt numFmtId="166" formatCode="0.000%"/>
  </numFmts>
  <fonts count="36" x14ac:knownFonts="1">
    <font>
      <sz val="11"/>
      <color theme="1"/>
      <name val="Calibri"/>
      <family val="2"/>
      <scheme val="minor"/>
    </font>
    <font>
      <sz val="12"/>
      <color theme="1"/>
      <name val="Calibri"/>
      <family val="2"/>
      <scheme val="minor"/>
    </font>
    <font>
      <b/>
      <sz val="14"/>
      <color theme="1"/>
      <name val="Calibri"/>
      <family val="2"/>
      <scheme val="minor"/>
    </font>
    <font>
      <b/>
      <sz val="16"/>
      <color theme="1"/>
      <name val="Calibri"/>
      <family val="2"/>
      <scheme val="minor"/>
    </font>
    <font>
      <b/>
      <sz val="11"/>
      <color theme="1" tint="0.34998626667073579"/>
      <name val="Calibri"/>
      <family val="2"/>
      <scheme val="minor"/>
    </font>
    <font>
      <b/>
      <sz val="14"/>
      <color theme="1" tint="0.34998626667073579"/>
      <name val="Calibri"/>
      <family val="2"/>
      <scheme val="minor"/>
    </font>
    <font>
      <b/>
      <sz val="22"/>
      <color theme="1" tint="0.34998626667073579"/>
      <name val="Calibri"/>
      <family val="2"/>
      <scheme val="minor"/>
    </font>
    <font>
      <sz val="14"/>
      <color theme="1"/>
      <name val="Calibri"/>
      <family val="2"/>
      <scheme val="minor"/>
    </font>
    <font>
      <b/>
      <sz val="18"/>
      <color theme="1" tint="0.34998626667073579"/>
      <name val="Calibri"/>
      <family val="2"/>
      <scheme val="minor"/>
    </font>
    <font>
      <b/>
      <sz val="16"/>
      <color theme="1" tint="0.34998626667073579"/>
      <name val="Calibri"/>
      <family val="2"/>
      <scheme val="minor"/>
    </font>
    <font>
      <sz val="11"/>
      <name val="Tahoma"/>
      <family val="2"/>
    </font>
    <font>
      <b/>
      <sz val="12"/>
      <color theme="1" tint="0.34998626667073579"/>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2"/>
      <name val="Calibri"/>
      <family val="2"/>
      <scheme val="minor"/>
    </font>
    <font>
      <b/>
      <sz val="12"/>
      <name val="Calibri"/>
      <family val="2"/>
      <scheme val="minor"/>
    </font>
    <font>
      <u/>
      <sz val="11"/>
      <color theme="10"/>
      <name val="Calibri"/>
      <family val="2"/>
      <scheme val="minor"/>
    </font>
    <font>
      <b/>
      <sz val="11"/>
      <color theme="2" tint="-0.499984740745262"/>
      <name val="Calibri"/>
      <family val="2"/>
      <scheme val="minor"/>
    </font>
    <font>
      <b/>
      <u/>
      <sz val="11"/>
      <color theme="10"/>
      <name val="Calibri"/>
      <family val="2"/>
      <scheme val="minor"/>
    </font>
    <font>
      <b/>
      <u/>
      <sz val="11"/>
      <color rgb="FF0070C0"/>
      <name val="Calibri"/>
      <family val="2"/>
      <scheme val="minor"/>
    </font>
    <font>
      <b/>
      <sz val="11"/>
      <color rgb="FF0070C0"/>
      <name val="Calibri"/>
      <family val="2"/>
      <scheme val="minor"/>
    </font>
    <font>
      <sz val="11"/>
      <color theme="5" tint="0.59999389629810485"/>
      <name val="Calibri"/>
      <family val="2"/>
      <scheme val="minor"/>
    </font>
    <font>
      <sz val="11"/>
      <color theme="5" tint="-0.249977111117893"/>
      <name val="Calibri"/>
      <family val="2"/>
      <scheme val="minor"/>
    </font>
    <font>
      <b/>
      <sz val="10"/>
      <color theme="1"/>
      <name val="Calibri"/>
      <family val="2"/>
      <scheme val="minor"/>
    </font>
    <font>
      <b/>
      <sz val="9"/>
      <color theme="1"/>
      <name val="Calibri"/>
      <family val="2"/>
      <scheme val="minor"/>
    </font>
    <font>
      <b/>
      <sz val="12"/>
      <color theme="1"/>
      <name val="Calibri"/>
      <family val="2"/>
      <scheme val="minor"/>
    </font>
    <font>
      <b/>
      <sz val="10"/>
      <name val="Calibri"/>
      <family val="2"/>
      <scheme val="minor"/>
    </font>
    <font>
      <sz val="10"/>
      <color theme="1"/>
      <name val="Calibri"/>
      <family val="2"/>
      <scheme val="minor"/>
    </font>
    <font>
      <sz val="11"/>
      <color theme="0" tint="-0.499984740745262"/>
      <name val="Calibri"/>
      <family val="2"/>
      <scheme val="minor"/>
    </font>
    <font>
      <sz val="11"/>
      <color theme="0" tint="-4.9989318521683403E-2"/>
      <name val="Calibri"/>
      <family val="2"/>
      <scheme val="minor"/>
    </font>
    <font>
      <sz val="12"/>
      <color theme="0" tint="-4.9989318521683403E-2"/>
      <name val="Calibri"/>
      <family val="2"/>
      <scheme val="minor"/>
    </font>
    <font>
      <sz val="28"/>
      <color theme="1"/>
      <name val="Calibri"/>
      <family val="2"/>
      <scheme val="minor"/>
    </font>
    <font>
      <sz val="11"/>
      <name val="Calibri"/>
      <family val="2"/>
      <scheme val="minor"/>
    </font>
  </fonts>
  <fills count="22">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3" tint="0.79998168889431442"/>
        <bgColor indexed="64"/>
      </patternFill>
    </fill>
    <fill>
      <patternFill patternType="solid">
        <fgColor theme="1" tint="0.14999847407452621"/>
        <bgColor indexed="64"/>
      </patternFill>
    </fill>
    <fill>
      <patternFill patternType="solid">
        <fgColor theme="7" tint="0.39997558519241921"/>
        <bgColor indexed="64"/>
      </patternFill>
    </fill>
    <fill>
      <patternFill patternType="solid">
        <fgColor rgb="FFEBF1DE"/>
        <bgColor rgb="FFEBF1DE"/>
      </patternFill>
    </fill>
    <fill>
      <patternFill patternType="solid">
        <fgColor theme="0"/>
        <bgColor indexed="64"/>
      </patternFill>
    </fill>
    <fill>
      <patternFill patternType="solid">
        <fgColor rgb="FFFF0000"/>
        <bgColor indexed="64"/>
      </patternFill>
    </fill>
    <fill>
      <patternFill patternType="solid">
        <fgColor rgb="FF00B050"/>
        <bgColor indexed="64"/>
      </patternFill>
    </fill>
    <fill>
      <patternFill patternType="solid">
        <fgColor rgb="FFFFFF00"/>
        <bgColor indexed="64"/>
      </patternFill>
    </fill>
    <fill>
      <patternFill patternType="solid">
        <fgColor theme="9" tint="0.59999389629810485"/>
        <bgColor indexed="64"/>
      </patternFill>
    </fill>
    <fill>
      <patternFill patternType="solid">
        <fgColor rgb="FFFFFFFF"/>
        <bgColor indexed="64"/>
      </patternFill>
    </fill>
    <fill>
      <patternFill patternType="solid">
        <fgColor rgb="FF92D050"/>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theme="8" tint="-0.249977111117893"/>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right/>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indexed="64"/>
      </right>
      <top style="thin">
        <color theme="0" tint="-0.34998626667073579"/>
      </top>
      <bottom style="thin">
        <color indexed="64"/>
      </bottom>
      <diagonal/>
    </border>
    <border>
      <left style="thin">
        <color indexed="64"/>
      </left>
      <right style="thin">
        <color indexed="64"/>
      </right>
      <top style="thin">
        <color theme="0" tint="-0.34998626667073579"/>
      </top>
      <bottom style="thin">
        <color indexed="64"/>
      </bottom>
      <diagonal/>
    </border>
    <border>
      <left style="thin">
        <color indexed="64"/>
      </left>
      <right style="thin">
        <color theme="0" tint="-0.34998626667073579"/>
      </right>
      <top style="thin">
        <color theme="0" tint="-0.34998626667073579"/>
      </top>
      <bottom style="thin">
        <color indexed="64"/>
      </bottom>
      <diagonal/>
    </border>
    <border>
      <left style="thin">
        <color theme="0" tint="-0.34998626667073579"/>
      </left>
      <right style="thin">
        <color indexed="64"/>
      </right>
      <top style="thin">
        <color indexed="64"/>
      </top>
      <bottom style="thin">
        <color indexed="64"/>
      </bottom>
      <diagonal/>
    </border>
    <border>
      <left style="thin">
        <color indexed="64"/>
      </left>
      <right style="thin">
        <color theme="0" tint="-0.34998626667073579"/>
      </right>
      <top style="thin">
        <color indexed="64"/>
      </top>
      <bottom style="thin">
        <color indexed="64"/>
      </bottom>
      <diagonal/>
    </border>
    <border>
      <left style="thin">
        <color theme="0" tint="-0.34998626667073579"/>
      </left>
      <right style="thin">
        <color indexed="64"/>
      </right>
      <top style="thin">
        <color indexed="64"/>
      </top>
      <bottom style="thin">
        <color theme="0" tint="-0.34998626667073579"/>
      </bottom>
      <diagonal/>
    </border>
    <border>
      <left style="thin">
        <color indexed="64"/>
      </left>
      <right style="thin">
        <color indexed="64"/>
      </right>
      <top style="thin">
        <color indexed="64"/>
      </top>
      <bottom style="thin">
        <color theme="0" tint="-0.34998626667073579"/>
      </bottom>
      <diagonal/>
    </border>
    <border>
      <left style="thin">
        <color indexed="64"/>
      </left>
      <right style="thin">
        <color theme="0" tint="-0.34998626667073579"/>
      </right>
      <top style="thin">
        <color indexed="64"/>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2" tint="-0.249977111117893"/>
      </top>
      <bottom style="thin">
        <color theme="2" tint="-0.249977111117893"/>
      </bottom>
      <diagonal/>
    </border>
    <border>
      <left/>
      <right style="thin">
        <color theme="2" tint="-0.249977111117893"/>
      </right>
      <top/>
      <bottom/>
      <diagonal/>
    </border>
    <border>
      <left style="thin">
        <color theme="2" tint="-0.249977111117893"/>
      </left>
      <right/>
      <top/>
      <bottom/>
      <diagonal/>
    </border>
    <border>
      <left/>
      <right/>
      <top style="thin">
        <color theme="2" tint="-0.249977111117893"/>
      </top>
      <bottom/>
      <diagonal/>
    </border>
    <border>
      <left style="thin">
        <color theme="2" tint="-0.249977111117893"/>
      </left>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top style="thin">
        <color theme="2" tint="-0.249977111117893"/>
      </top>
      <bottom/>
      <diagonal/>
    </border>
    <border>
      <left/>
      <right style="thin">
        <color theme="2" tint="-0.249977111117893"/>
      </right>
      <top style="thin">
        <color theme="2" tint="-0.249977111117893"/>
      </top>
      <bottom/>
      <diagonal/>
    </border>
    <border>
      <left style="thin">
        <color theme="2" tint="-0.249977111117893"/>
      </left>
      <right/>
      <top/>
      <bottom style="thin">
        <color theme="2" tint="-0.249977111117893"/>
      </bottom>
      <diagonal/>
    </border>
    <border>
      <left/>
      <right/>
      <top/>
      <bottom style="thin">
        <color theme="2" tint="-0.249977111117893"/>
      </bottom>
      <diagonal/>
    </border>
    <border>
      <left/>
      <right style="thin">
        <color theme="2" tint="-0.249977111117893"/>
      </right>
      <top/>
      <bottom style="thin">
        <color theme="2" tint="-0.249977111117893"/>
      </bottom>
      <diagonal/>
    </border>
    <border>
      <left/>
      <right style="thin">
        <color theme="2" tint="-0.249977111117893"/>
      </right>
      <top/>
      <bottom style="thin">
        <color theme="0" tint="-0.34998626667073579"/>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right style="thin">
        <color theme="2" tint="-0.249977111117893"/>
      </right>
      <top style="thin">
        <color theme="0" tint="-0.34998626667073579"/>
      </top>
      <bottom/>
      <diagonal/>
    </border>
    <border>
      <left style="thin">
        <color theme="2" tint="-0.249977111117893"/>
      </left>
      <right/>
      <top/>
      <bottom style="thin">
        <color theme="0" tint="-0.34998626667073579"/>
      </bottom>
      <diagonal/>
    </border>
    <border>
      <left style="thin">
        <color theme="2" tint="-0.249977111117893"/>
      </left>
      <right/>
      <top style="thin">
        <color theme="0" tint="-0.34998626667073579"/>
      </top>
      <bottom/>
      <diagonal/>
    </border>
    <border>
      <left style="thin">
        <color theme="2" tint="-0.249977111117893"/>
      </left>
      <right style="thin">
        <color theme="2" tint="-0.249977111117893"/>
      </right>
      <top style="thin">
        <color theme="0" tint="-0.34998626667073579"/>
      </top>
      <bottom/>
      <diagonal/>
    </border>
    <border>
      <left style="thin">
        <color theme="0" tint="-0.34998626667073579"/>
      </left>
      <right/>
      <top style="thin">
        <color theme="2" tint="-0.249977111117893"/>
      </top>
      <bottom/>
      <diagonal/>
    </border>
    <border>
      <left style="thin">
        <color theme="0" tint="-0.34998626667073579"/>
      </left>
      <right style="thin">
        <color theme="0" tint="-0.34998626667073579"/>
      </right>
      <top style="thin">
        <color theme="2" tint="-0.249977111117893"/>
      </top>
      <bottom style="thin">
        <color theme="2" tint="-0.249977111117893"/>
      </bottom>
      <diagonal/>
    </border>
    <border>
      <left style="thin">
        <color theme="0" tint="-0.34998626667073579"/>
      </left>
      <right style="thin">
        <color theme="0" tint="-0.34998626667073579"/>
      </right>
      <top style="thin">
        <color theme="2" tint="-0.249977111117893"/>
      </top>
      <bottom style="thin">
        <color theme="0" tint="-0.34998626667073579"/>
      </bottom>
      <diagonal/>
    </border>
    <border>
      <left style="thin">
        <color theme="0" tint="-0.34998626667073579"/>
      </left>
      <right/>
      <top/>
      <bottom style="thin">
        <color theme="2" tint="-0.249977111117893"/>
      </bottom>
      <diagonal/>
    </border>
    <border>
      <left/>
      <right style="thin">
        <color theme="0" tint="-0.34998626667073579"/>
      </right>
      <top style="thin">
        <color theme="2" tint="-0.249977111117893"/>
      </top>
      <bottom/>
      <diagonal/>
    </border>
    <border>
      <left/>
      <right style="thin">
        <color theme="0" tint="-0.34998626667073579"/>
      </right>
      <top/>
      <bottom style="thin">
        <color theme="2" tint="-0.249977111117893"/>
      </bottom>
      <diagonal/>
    </border>
    <border>
      <left style="thin">
        <color theme="0" tint="-0.34998626667073579"/>
      </left>
      <right style="thin">
        <color theme="2" tint="-0.249977111117893"/>
      </right>
      <top style="thin">
        <color theme="2" tint="-0.249977111117893"/>
      </top>
      <bottom/>
      <diagonal/>
    </border>
    <border>
      <left style="thin">
        <color theme="0" tint="-0.34998626667073579"/>
      </left>
      <right style="thin">
        <color theme="2" tint="-0.249977111117893"/>
      </right>
      <top/>
      <bottom style="thin">
        <color theme="2" tint="-0.249977111117893"/>
      </bottom>
      <diagonal/>
    </border>
    <border>
      <left style="thin">
        <color theme="0" tint="-0.34998626667073579"/>
      </left>
      <right style="thin">
        <color theme="0" tint="-0.34998626667073579"/>
      </right>
      <top/>
      <bottom style="thin">
        <color theme="0" tint="-0.34998626667073579"/>
      </bottom>
      <diagonal/>
    </border>
    <border>
      <left/>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theme="1"/>
      </bottom>
      <diagonal/>
    </border>
    <border>
      <left style="thin">
        <color indexed="64"/>
      </left>
      <right/>
      <top/>
      <bottom style="thin">
        <color indexed="64"/>
      </bottom>
      <diagonal/>
    </border>
    <border>
      <left style="thin">
        <color theme="1"/>
      </left>
      <right style="thin">
        <color theme="1"/>
      </right>
      <top style="thin">
        <color theme="1"/>
      </top>
      <bottom style="thin">
        <color theme="1"/>
      </bottom>
      <diagonal/>
    </border>
    <border>
      <left style="thin">
        <color indexed="64"/>
      </left>
      <right/>
      <top style="thin">
        <color indexed="64"/>
      </top>
      <bottom/>
      <diagonal/>
    </border>
    <border>
      <left/>
      <right style="thin">
        <color indexed="64"/>
      </right>
      <top style="thin">
        <color indexed="64"/>
      </top>
      <bottom style="thin">
        <color theme="1"/>
      </bottom>
      <diagonal/>
    </border>
    <border>
      <left/>
      <right/>
      <top style="thin">
        <color indexed="64"/>
      </top>
      <bottom/>
      <diagonal/>
    </border>
    <border>
      <left/>
      <right/>
      <top style="thin">
        <color theme="1"/>
      </top>
      <bottom style="thin">
        <color theme="1"/>
      </bottom>
      <diagonal/>
    </border>
  </borders>
  <cellStyleXfs count="6">
    <xf numFmtId="0" fontId="0" fillId="0" borderId="0"/>
    <xf numFmtId="0" fontId="10" fillId="8" borderId="0" applyFont="0" applyBorder="0" applyAlignment="0"/>
    <xf numFmtId="164" fontId="12" fillId="0" borderId="0" applyFont="0" applyFill="0" applyBorder="0" applyAlignment="0" applyProtection="0"/>
    <xf numFmtId="9" fontId="12" fillId="0" borderId="0" applyFont="0" applyFill="0" applyBorder="0" applyAlignment="0" applyProtection="0"/>
    <xf numFmtId="0" fontId="19" fillId="0" borderId="0" applyNumberFormat="0" applyFill="0" applyBorder="0" applyAlignment="0" applyProtection="0"/>
    <xf numFmtId="164" fontId="12" fillId="0" borderId="0" applyFont="0" applyFill="0" applyBorder="0" applyAlignment="0" applyProtection="0"/>
  </cellStyleXfs>
  <cellXfs count="907">
    <xf numFmtId="0" fontId="0" fillId="0" borderId="0" xfId="0"/>
    <xf numFmtId="0" fontId="0" fillId="4" borderId="0" xfId="0" applyFill="1"/>
    <xf numFmtId="0" fontId="0" fillId="6" borderId="0" xfId="0" applyFill="1"/>
    <xf numFmtId="0" fontId="2" fillId="0" borderId="0" xfId="0" applyFont="1" applyFill="1" applyBorder="1" applyAlignment="1">
      <alignment vertical="center" wrapText="1"/>
    </xf>
    <xf numFmtId="0" fontId="6" fillId="0" borderId="0" xfId="0" applyFont="1" applyFill="1" applyBorder="1" applyAlignment="1">
      <alignment vertical="center"/>
    </xf>
    <xf numFmtId="0" fontId="0" fillId="0" borderId="0" xfId="0" applyAlignment="1">
      <alignment vertical="center"/>
    </xf>
    <xf numFmtId="0" fontId="4" fillId="0" borderId="0" xfId="0" applyFont="1" applyFill="1" applyAlignment="1">
      <alignment vertical="center"/>
    </xf>
    <xf numFmtId="0" fontId="1" fillId="0" borderId="0" xfId="0" applyFont="1"/>
    <xf numFmtId="0" fontId="11" fillId="0" borderId="0" xfId="0" applyFont="1" applyFill="1" applyAlignment="1">
      <alignment vertical="center"/>
    </xf>
    <xf numFmtId="0" fontId="0" fillId="0" borderId="0" xfId="0" applyAlignment="1">
      <alignment horizontal="left" vertical="center" indent="1"/>
    </xf>
    <xf numFmtId="0" fontId="14" fillId="6" borderId="0" xfId="0" applyFont="1" applyFill="1"/>
    <xf numFmtId="0" fontId="11" fillId="9" borderId="0" xfId="0" applyFont="1" applyFill="1" applyBorder="1" applyAlignment="1">
      <alignment vertical="center"/>
    </xf>
    <xf numFmtId="0" fontId="0" fillId="9" borderId="0" xfId="0" applyFill="1" applyBorder="1"/>
    <xf numFmtId="0" fontId="4" fillId="9" borderId="0" xfId="0" applyFont="1" applyFill="1" applyBorder="1" applyAlignment="1">
      <alignment vertical="center"/>
    </xf>
    <xf numFmtId="0" fontId="0" fillId="9" borderId="0" xfId="0" applyFill="1" applyBorder="1" applyAlignment="1">
      <alignment vertical="center" wrapText="1"/>
    </xf>
    <xf numFmtId="0" fontId="0" fillId="9" borderId="0" xfId="0" applyFill="1" applyBorder="1" applyAlignment="1">
      <alignment vertical="center"/>
    </xf>
    <xf numFmtId="0" fontId="0" fillId="0" borderId="0" xfId="0" applyAlignment="1">
      <alignment horizontal="center" vertical="center"/>
    </xf>
    <xf numFmtId="0" fontId="0" fillId="9" borderId="0" xfId="0" applyFill="1" applyBorder="1" applyAlignment="1">
      <alignment horizontal="center" vertical="center"/>
    </xf>
    <xf numFmtId="0" fontId="0" fillId="6" borderId="0" xfId="0" applyFill="1" applyAlignment="1">
      <alignment horizontal="center" vertical="center"/>
    </xf>
    <xf numFmtId="0" fontId="0" fillId="4" borderId="0" xfId="0" applyFill="1" applyAlignment="1">
      <alignment horizontal="center" vertical="center"/>
    </xf>
    <xf numFmtId="10" fontId="0" fillId="9" borderId="27" xfId="3" applyNumberFormat="1" applyFont="1" applyFill="1" applyBorder="1" applyAlignment="1">
      <alignment horizontal="center" vertical="center" wrapText="1"/>
    </xf>
    <xf numFmtId="164" fontId="1" fillId="9" borderId="27" xfId="2" applyFont="1" applyFill="1" applyBorder="1" applyAlignment="1">
      <alignment horizontal="center" vertical="center" wrapText="1"/>
    </xf>
    <xf numFmtId="9" fontId="1" fillId="9" borderId="27" xfId="3" applyFont="1" applyFill="1" applyBorder="1" applyAlignment="1">
      <alignment horizontal="center" vertical="center" wrapText="1"/>
    </xf>
    <xf numFmtId="164" fontId="1" fillId="9" borderId="27" xfId="0" applyNumberFormat="1" applyFont="1" applyFill="1" applyBorder="1" applyAlignment="1">
      <alignment horizontal="center" vertical="center" wrapText="1"/>
    </xf>
    <xf numFmtId="164" fontId="0" fillId="9" borderId="27" xfId="0" applyNumberFormat="1" applyFill="1" applyBorder="1" applyAlignment="1">
      <alignment horizontal="center" vertical="center" wrapText="1"/>
    </xf>
    <xf numFmtId="10" fontId="1" fillId="9" borderId="36" xfId="3" applyNumberFormat="1" applyFont="1" applyFill="1" applyBorder="1" applyAlignment="1">
      <alignment horizontal="center" vertical="center" wrapText="1"/>
    </xf>
    <xf numFmtId="9" fontId="1" fillId="9" borderId="36" xfId="3" applyFont="1" applyFill="1" applyBorder="1" applyAlignment="1">
      <alignment horizontal="center" vertical="center" wrapText="1"/>
    </xf>
    <xf numFmtId="0" fontId="4" fillId="2" borderId="27" xfId="0" applyFont="1" applyFill="1" applyBorder="1" applyAlignment="1">
      <alignment horizontal="center" vertical="center"/>
    </xf>
    <xf numFmtId="164" fontId="0" fillId="9" borderId="27" xfId="2" applyFont="1" applyFill="1" applyBorder="1" applyAlignment="1">
      <alignment horizontal="center" vertical="center" wrapText="1"/>
    </xf>
    <xf numFmtId="0" fontId="11" fillId="2" borderId="27" xfId="0" applyFont="1" applyFill="1" applyBorder="1" applyAlignment="1">
      <alignment horizontal="center" vertical="center"/>
    </xf>
    <xf numFmtId="0" fontId="4" fillId="2" borderId="27" xfId="0" applyFont="1" applyFill="1" applyBorder="1" applyAlignment="1">
      <alignment horizontal="center" vertical="center"/>
    </xf>
    <xf numFmtId="0" fontId="0" fillId="9" borderId="27" xfId="0" applyFill="1" applyBorder="1" applyAlignment="1">
      <alignment horizontal="center" vertical="center" wrapText="1"/>
    </xf>
    <xf numFmtId="0" fontId="0" fillId="9" borderId="27" xfId="0" applyFill="1" applyBorder="1" applyAlignment="1">
      <alignment vertical="center" wrapText="1"/>
    </xf>
    <xf numFmtId="0" fontId="0" fillId="9" borderId="27" xfId="0" applyFill="1" applyBorder="1" applyAlignment="1">
      <alignment vertical="center"/>
    </xf>
    <xf numFmtId="10" fontId="1" fillId="9" borderId="33" xfId="3" applyNumberFormat="1" applyFont="1" applyFill="1" applyBorder="1" applyAlignment="1">
      <alignment horizontal="center" vertical="center" wrapText="1"/>
    </xf>
    <xf numFmtId="164" fontId="1" fillId="9" borderId="28" xfId="2" applyFont="1" applyFill="1" applyBorder="1" applyAlignment="1">
      <alignment horizontal="center" vertical="center" wrapText="1"/>
    </xf>
    <xf numFmtId="9" fontId="1" fillId="9" borderId="28" xfId="3" applyFont="1" applyFill="1" applyBorder="1" applyAlignment="1">
      <alignment horizontal="center" vertical="center" wrapText="1"/>
    </xf>
    <xf numFmtId="164" fontId="1" fillId="9" borderId="28" xfId="0" applyNumberFormat="1" applyFont="1" applyFill="1" applyBorder="1" applyAlignment="1">
      <alignment horizontal="center" vertical="center" wrapText="1"/>
    </xf>
    <xf numFmtId="0" fontId="13" fillId="11" borderId="27" xfId="0" applyFont="1" applyFill="1" applyBorder="1" applyAlignment="1">
      <alignment horizontal="center" vertical="center"/>
    </xf>
    <xf numFmtId="0" fontId="13" fillId="12" borderId="27" xfId="0" applyFont="1" applyFill="1" applyBorder="1" applyAlignment="1">
      <alignment horizontal="center" vertical="center"/>
    </xf>
    <xf numFmtId="0" fontId="13" fillId="10" borderId="27" xfId="0" applyFont="1" applyFill="1" applyBorder="1" applyAlignment="1">
      <alignment horizontal="center" vertical="center"/>
    </xf>
    <xf numFmtId="0" fontId="0" fillId="9" borderId="27" xfId="0" applyFill="1" applyBorder="1" applyAlignment="1">
      <alignment horizontal="center" vertical="center"/>
    </xf>
    <xf numFmtId="0" fontId="1" fillId="6" borderId="0" xfId="0" applyFont="1" applyFill="1" applyAlignment="1">
      <alignment horizontal="center" vertical="center"/>
    </xf>
    <xf numFmtId="0" fontId="1" fillId="4" borderId="0" xfId="0" applyFont="1" applyFill="1" applyAlignment="1">
      <alignment horizontal="center" vertical="center"/>
    </xf>
    <xf numFmtId="0" fontId="1" fillId="0" borderId="0" xfId="0" applyFont="1" applyAlignment="1">
      <alignment horizontal="center" vertical="center"/>
    </xf>
    <xf numFmtId="17" fontId="1" fillId="0" borderId="0" xfId="0" applyNumberFormat="1" applyFont="1" applyAlignment="1">
      <alignment horizontal="center" vertical="center"/>
    </xf>
    <xf numFmtId="17" fontId="1" fillId="0" borderId="29" xfId="0" applyNumberFormat="1" applyFont="1" applyBorder="1" applyAlignment="1">
      <alignment horizontal="center" vertical="center"/>
    </xf>
    <xf numFmtId="17" fontId="1" fillId="0" borderId="37" xfId="0" applyNumberFormat="1" applyFont="1" applyBorder="1" applyAlignment="1">
      <alignment horizontal="center" vertical="center"/>
    </xf>
    <xf numFmtId="164" fontId="1" fillId="0" borderId="35" xfId="2" applyFont="1" applyBorder="1" applyAlignment="1">
      <alignment vertical="center" wrapText="1"/>
    </xf>
    <xf numFmtId="164" fontId="1" fillId="0" borderId="36" xfId="2" applyFont="1" applyBorder="1" applyAlignment="1">
      <alignment vertical="center" wrapText="1"/>
    </xf>
    <xf numFmtId="0" fontId="1" fillId="0" borderId="37" xfId="0" applyFont="1" applyBorder="1" applyAlignment="1">
      <alignment horizontal="center" vertical="center"/>
    </xf>
    <xf numFmtId="0" fontId="1" fillId="0" borderId="35" xfId="0" applyFont="1" applyBorder="1" applyAlignment="1">
      <alignment horizontal="center" vertical="center"/>
    </xf>
    <xf numFmtId="0" fontId="1" fillId="0" borderId="36" xfId="0" applyFont="1" applyBorder="1" applyAlignment="1">
      <alignment horizontal="center" vertical="center"/>
    </xf>
    <xf numFmtId="0" fontId="1" fillId="9" borderId="0" xfId="0" applyFont="1" applyFill="1" applyBorder="1" applyAlignment="1">
      <alignment horizontal="center" vertical="center"/>
    </xf>
    <xf numFmtId="10" fontId="1" fillId="9" borderId="27" xfId="3" applyNumberFormat="1" applyFont="1" applyFill="1" applyBorder="1" applyAlignment="1">
      <alignment horizontal="center" vertical="center"/>
    </xf>
    <xf numFmtId="10" fontId="1" fillId="9" borderId="27" xfId="0" applyNumberFormat="1" applyFont="1" applyFill="1" applyBorder="1" applyAlignment="1">
      <alignment horizontal="center" vertical="center"/>
    </xf>
    <xf numFmtId="10" fontId="1" fillId="9" borderId="27" xfId="3" applyNumberFormat="1" applyFont="1" applyFill="1" applyBorder="1" applyAlignment="1">
      <alignment horizontal="center" vertical="center" wrapText="1"/>
    </xf>
    <xf numFmtId="0" fontId="1" fillId="6" borderId="0" xfId="0" applyFont="1" applyFill="1"/>
    <xf numFmtId="0" fontId="1" fillId="4" borderId="0" xfId="0" applyFont="1" applyFill="1"/>
    <xf numFmtId="0" fontId="1" fillId="9" borderId="0" xfId="0" applyFont="1" applyFill="1" applyBorder="1"/>
    <xf numFmtId="9" fontId="1" fillId="9" borderId="27" xfId="3" applyNumberFormat="1" applyFont="1" applyFill="1" applyBorder="1" applyAlignment="1">
      <alignment horizontal="center" vertical="center" wrapText="1"/>
    </xf>
    <xf numFmtId="9" fontId="0" fillId="9" borderId="27" xfId="0" applyNumberFormat="1" applyFill="1" applyBorder="1" applyAlignment="1">
      <alignment horizontal="center" vertical="center" wrapText="1"/>
    </xf>
    <xf numFmtId="9" fontId="0" fillId="9" borderId="27" xfId="0" applyNumberFormat="1" applyFill="1" applyBorder="1" applyAlignment="1">
      <alignment vertical="center" wrapText="1"/>
    </xf>
    <xf numFmtId="10" fontId="1" fillId="0" borderId="35" xfId="3" applyNumberFormat="1" applyFont="1" applyBorder="1" applyAlignment="1">
      <alignment horizontal="center" vertical="center"/>
    </xf>
    <xf numFmtId="10" fontId="1" fillId="0" borderId="36" xfId="3" applyNumberFormat="1" applyFont="1" applyBorder="1" applyAlignment="1">
      <alignment horizontal="center" vertical="center"/>
    </xf>
    <xf numFmtId="0" fontId="13" fillId="11" borderId="28" xfId="0" applyFont="1" applyFill="1" applyBorder="1" applyAlignment="1">
      <alignment horizontal="center" vertical="center"/>
    </xf>
    <xf numFmtId="0" fontId="13" fillId="12" borderId="28" xfId="0" applyFont="1" applyFill="1" applyBorder="1" applyAlignment="1">
      <alignment horizontal="center" vertical="center"/>
    </xf>
    <xf numFmtId="0" fontId="13" fillId="10" borderId="28" xfId="0" applyFont="1" applyFill="1" applyBorder="1" applyAlignment="1">
      <alignment horizontal="center" vertical="center"/>
    </xf>
    <xf numFmtId="10" fontId="1" fillId="0" borderId="27" xfId="3" applyNumberFormat="1" applyFont="1" applyFill="1" applyBorder="1" applyAlignment="1">
      <alignment horizontal="center" vertical="center" wrapText="1"/>
    </xf>
    <xf numFmtId="0" fontId="1" fillId="0" borderId="27" xfId="0" applyFont="1" applyBorder="1" applyAlignment="1">
      <alignment horizontal="center" vertical="center"/>
    </xf>
    <xf numFmtId="0" fontId="0" fillId="0" borderId="27" xfId="0" applyBorder="1" applyAlignment="1">
      <alignment horizontal="center" vertical="center"/>
    </xf>
    <xf numFmtId="0" fontId="1" fillId="0" borderId="27" xfId="0" applyFont="1" applyBorder="1"/>
    <xf numFmtId="0" fontId="0" fillId="0" borderId="27" xfId="0" applyBorder="1"/>
    <xf numFmtId="10" fontId="1" fillId="0" borderId="27" xfId="0" applyNumberFormat="1" applyFont="1" applyBorder="1" applyAlignment="1">
      <alignment horizontal="center" vertical="center"/>
    </xf>
    <xf numFmtId="9" fontId="1" fillId="0" borderId="27" xfId="3" applyFont="1" applyBorder="1" applyAlignment="1">
      <alignment horizontal="center" vertical="center"/>
    </xf>
    <xf numFmtId="10" fontId="1" fillId="0" borderId="27" xfId="3" applyNumberFormat="1" applyFont="1" applyBorder="1" applyAlignment="1">
      <alignment horizontal="center" vertical="center"/>
    </xf>
    <xf numFmtId="164" fontId="1" fillId="0" borderId="27" xfId="0" applyNumberFormat="1" applyFont="1" applyBorder="1" applyAlignment="1">
      <alignment horizontal="center" vertical="center"/>
    </xf>
    <xf numFmtId="164" fontId="1" fillId="0" borderId="27" xfId="0" applyNumberFormat="1" applyFont="1" applyBorder="1"/>
    <xf numFmtId="10" fontId="1" fillId="0" borderId="37" xfId="3" applyNumberFormat="1" applyFont="1" applyBorder="1" applyAlignment="1">
      <alignment horizontal="center" vertical="center"/>
    </xf>
    <xf numFmtId="0" fontId="17" fillId="0" borderId="37" xfId="0" applyFont="1" applyFill="1" applyBorder="1" applyAlignment="1">
      <alignment horizontal="center" vertical="center" wrapText="1"/>
    </xf>
    <xf numFmtId="0" fontId="17" fillId="0" borderId="0" xfId="0" applyFont="1" applyAlignment="1">
      <alignment wrapText="1"/>
    </xf>
    <xf numFmtId="9" fontId="17" fillId="0" borderId="28" xfId="3" applyFont="1" applyFill="1" applyBorder="1" applyAlignment="1">
      <alignment horizontal="center" vertical="center" wrapText="1"/>
    </xf>
    <xf numFmtId="9" fontId="17" fillId="0" borderId="27" xfId="3" applyFont="1" applyFill="1" applyBorder="1" applyAlignment="1">
      <alignment horizontal="center" vertical="center" wrapText="1"/>
    </xf>
    <xf numFmtId="10" fontId="17" fillId="0" borderId="27" xfId="3" applyNumberFormat="1" applyFont="1" applyFill="1" applyBorder="1" applyAlignment="1">
      <alignment horizontal="center" vertical="center" wrapText="1"/>
    </xf>
    <xf numFmtId="9" fontId="17" fillId="0" borderId="27" xfId="3" applyNumberFormat="1" applyFont="1" applyFill="1" applyBorder="1" applyAlignment="1">
      <alignment horizontal="center" vertical="center" wrapText="1"/>
    </xf>
    <xf numFmtId="0" fontId="18" fillId="11" borderId="37" xfId="0" applyFont="1" applyFill="1" applyBorder="1" applyAlignment="1">
      <alignment horizontal="center" vertical="center" wrapText="1"/>
    </xf>
    <xf numFmtId="0" fontId="18" fillId="12" borderId="37" xfId="0" applyFont="1" applyFill="1" applyBorder="1" applyAlignment="1">
      <alignment horizontal="center" vertical="center" wrapText="1"/>
    </xf>
    <xf numFmtId="0" fontId="18" fillId="10" borderId="37" xfId="0" applyFont="1" applyFill="1" applyBorder="1" applyAlignment="1">
      <alignment horizontal="center" vertical="center" wrapText="1"/>
    </xf>
    <xf numFmtId="10" fontId="1" fillId="0" borderId="36" xfId="3" applyNumberFormat="1" applyFont="1" applyFill="1" applyBorder="1" applyAlignment="1">
      <alignment horizontal="center" vertical="center" wrapText="1"/>
    </xf>
    <xf numFmtId="17" fontId="1" fillId="0" borderId="37" xfId="3" applyNumberFormat="1" applyFont="1" applyFill="1" applyBorder="1" applyAlignment="1">
      <alignment horizontal="center" vertical="center" wrapText="1"/>
    </xf>
    <xf numFmtId="9" fontId="1" fillId="9" borderId="27" xfId="3" applyFont="1" applyFill="1" applyBorder="1" applyAlignment="1">
      <alignment horizontal="center" vertical="center"/>
    </xf>
    <xf numFmtId="10" fontId="1" fillId="0" borderId="35" xfId="3" applyNumberFormat="1" applyFont="1" applyFill="1" applyBorder="1" applyAlignment="1">
      <alignment horizontal="center" vertical="center" wrapText="1"/>
    </xf>
    <xf numFmtId="9" fontId="1" fillId="9" borderId="27" xfId="3" applyNumberFormat="1" applyFont="1" applyFill="1" applyBorder="1" applyAlignment="1">
      <alignment horizontal="center" vertical="center"/>
    </xf>
    <xf numFmtId="0" fontId="11" fillId="2" borderId="27" xfId="0" applyFont="1" applyFill="1" applyBorder="1" applyAlignment="1">
      <alignment horizontal="center" vertical="center"/>
    </xf>
    <xf numFmtId="0" fontId="11" fillId="2" borderId="24" xfId="0" applyFont="1" applyFill="1" applyBorder="1" applyAlignment="1">
      <alignment horizontal="center" vertical="center"/>
    </xf>
    <xf numFmtId="0" fontId="11" fillId="2" borderId="35" xfId="0" applyFont="1" applyFill="1" applyBorder="1" applyAlignment="1">
      <alignment horizontal="center" vertical="center"/>
    </xf>
    <xf numFmtId="0" fontId="11" fillId="2" borderId="23" xfId="0" applyFont="1" applyFill="1" applyBorder="1" applyAlignment="1">
      <alignment horizontal="center" vertical="center"/>
    </xf>
    <xf numFmtId="0" fontId="0" fillId="0" borderId="27" xfId="0" applyBorder="1"/>
    <xf numFmtId="0" fontId="1" fillId="6" borderId="0" xfId="0" applyFont="1" applyFill="1" applyAlignment="1">
      <alignment horizontal="left" vertical="center"/>
    </xf>
    <xf numFmtId="0" fontId="0" fillId="6" borderId="0" xfId="0" applyFill="1" applyAlignment="1">
      <alignment horizontal="left"/>
    </xf>
    <xf numFmtId="0" fontId="1" fillId="6" borderId="0" xfId="0" applyFont="1" applyFill="1" applyAlignment="1">
      <alignment horizontal="left"/>
    </xf>
    <xf numFmtId="0" fontId="1" fillId="4" borderId="0" xfId="0" applyFont="1" applyFill="1" applyAlignment="1">
      <alignment horizontal="left" vertical="center"/>
    </xf>
    <xf numFmtId="0" fontId="0" fillId="4" borderId="0" xfId="0" applyFill="1" applyAlignment="1">
      <alignment horizontal="left"/>
    </xf>
    <xf numFmtId="0" fontId="1" fillId="4" borderId="0" xfId="0" applyFont="1" applyFill="1" applyAlignment="1">
      <alignment horizontal="left"/>
    </xf>
    <xf numFmtId="0" fontId="1" fillId="0" borderId="0" xfId="0" applyFont="1" applyAlignment="1">
      <alignment horizontal="left" vertical="center"/>
    </xf>
    <xf numFmtId="0" fontId="0" fillId="0" borderId="0" xfId="0" applyAlignment="1">
      <alignment horizontal="left"/>
    </xf>
    <xf numFmtId="0" fontId="1" fillId="0" borderId="0" xfId="0" applyFont="1" applyAlignment="1">
      <alignment horizontal="left"/>
    </xf>
    <xf numFmtId="0" fontId="0" fillId="9" borderId="0" xfId="0" applyFill="1" applyBorder="1" applyAlignment="1">
      <alignment horizontal="left"/>
    </xf>
    <xf numFmtId="0" fontId="1" fillId="9" borderId="0" xfId="0" applyFont="1" applyFill="1" applyBorder="1" applyAlignment="1">
      <alignment horizontal="left" vertical="center"/>
    </xf>
    <xf numFmtId="0" fontId="0" fillId="9" borderId="0" xfId="0" applyFill="1" applyBorder="1" applyAlignment="1">
      <alignment horizontal="left" vertical="center"/>
    </xf>
    <xf numFmtId="0" fontId="1" fillId="9" borderId="0" xfId="0" applyFont="1" applyFill="1" applyBorder="1" applyAlignment="1">
      <alignment horizontal="left"/>
    </xf>
    <xf numFmtId="0" fontId="5" fillId="0" borderId="0" xfId="0" applyFont="1" applyFill="1" applyBorder="1" applyAlignment="1">
      <alignment vertical="center"/>
    </xf>
    <xf numFmtId="0" fontId="0" fillId="11" borderId="27" xfId="0" applyFill="1" applyBorder="1"/>
    <xf numFmtId="0" fontId="0" fillId="0" borderId="27" xfId="0" applyFill="1" applyBorder="1"/>
    <xf numFmtId="0" fontId="0" fillId="0" borderId="27" xfId="0" applyBorder="1"/>
    <xf numFmtId="0" fontId="0" fillId="0" borderId="0" xfId="0" applyFill="1" applyAlignment="1">
      <alignment horizontal="center"/>
    </xf>
    <xf numFmtId="0" fontId="0" fillId="6" borderId="0" xfId="0" applyFill="1" applyAlignment="1">
      <alignment horizontal="left" indent="1"/>
    </xf>
    <xf numFmtId="0" fontId="0" fillId="4" borderId="0" xfId="0" applyFill="1" applyAlignment="1">
      <alignment horizontal="left" indent="1"/>
    </xf>
    <xf numFmtId="0" fontId="0" fillId="0" borderId="0" xfId="0" applyAlignment="1">
      <alignment horizontal="left" indent="1"/>
    </xf>
    <xf numFmtId="0" fontId="0" fillId="0" borderId="0" xfId="0" applyFill="1" applyBorder="1" applyAlignment="1"/>
    <xf numFmtId="0" fontId="0" fillId="0" borderId="0" xfId="0" applyBorder="1"/>
    <xf numFmtId="0" fontId="19" fillId="0" borderId="0" xfId="4"/>
    <xf numFmtId="0" fontId="20" fillId="0" borderId="0" xfId="0" applyFont="1"/>
    <xf numFmtId="0" fontId="20" fillId="0" borderId="0" xfId="0" applyFont="1" applyFill="1"/>
    <xf numFmtId="0" fontId="23" fillId="0" borderId="0" xfId="0" applyFont="1" applyAlignment="1">
      <alignment horizontal="left"/>
    </xf>
    <xf numFmtId="0" fontId="23" fillId="0" borderId="0" xfId="0" applyFont="1" applyFill="1" applyBorder="1" applyAlignment="1">
      <alignment horizontal="left"/>
    </xf>
    <xf numFmtId="0" fontId="11" fillId="2" borderId="0" xfId="0" applyFont="1" applyFill="1" applyBorder="1" applyAlignment="1">
      <alignment horizontal="center" vertical="center"/>
    </xf>
    <xf numFmtId="0" fontId="0" fillId="0" borderId="27" xfId="0" applyBorder="1" applyAlignment="1">
      <alignment horizontal="center"/>
    </xf>
    <xf numFmtId="0" fontId="0" fillId="0" borderId="27" xfId="0" applyBorder="1"/>
    <xf numFmtId="0" fontId="0" fillId="0" borderId="0" xfId="0" applyBorder="1" applyAlignment="1">
      <alignment horizontal="center"/>
    </xf>
    <xf numFmtId="0" fontId="1" fillId="6" borderId="0" xfId="0" applyFont="1" applyFill="1" applyAlignment="1">
      <alignment horizontal="left" vertical="center" wrapText="1"/>
    </xf>
    <xf numFmtId="0" fontId="1" fillId="4" borderId="0" xfId="0" applyFont="1" applyFill="1" applyAlignment="1">
      <alignment horizontal="left" vertical="center" wrapText="1"/>
    </xf>
    <xf numFmtId="0" fontId="1" fillId="0" borderId="0" xfId="0" applyFont="1" applyAlignment="1">
      <alignment horizontal="left" vertical="center" wrapText="1"/>
    </xf>
    <xf numFmtId="0" fontId="0" fillId="9" borderId="0" xfId="0" applyFill="1" applyBorder="1" applyAlignment="1">
      <alignment horizontal="left" vertical="center" wrapText="1"/>
    </xf>
    <xf numFmtId="0" fontId="11" fillId="2" borderId="25" xfId="0" applyFont="1" applyFill="1" applyBorder="1" applyAlignment="1">
      <alignment horizontal="center" vertical="center" wrapText="1"/>
    </xf>
    <xf numFmtId="0" fontId="0" fillId="0" borderId="0" xfId="0" applyAlignment="1">
      <alignment vertical="center" wrapText="1"/>
    </xf>
    <xf numFmtId="0" fontId="24" fillId="0" borderId="27" xfId="0" applyFont="1" applyBorder="1" applyAlignment="1">
      <alignment horizontal="center"/>
    </xf>
    <xf numFmtId="0" fontId="25" fillId="0" borderId="27" xfId="0" applyFont="1" applyBorder="1" applyAlignment="1">
      <alignment horizontal="center"/>
    </xf>
    <xf numFmtId="0" fontId="0" fillId="0" borderId="0" xfId="0" applyFill="1" applyAlignment="1"/>
    <xf numFmtId="0" fontId="0" fillId="0" borderId="27" xfId="0" applyFill="1" applyBorder="1" applyAlignment="1"/>
    <xf numFmtId="0" fontId="5" fillId="3" borderId="24" xfId="0" applyFont="1" applyFill="1" applyBorder="1" applyAlignment="1">
      <alignment horizontal="left" vertical="center" indent="1"/>
    </xf>
    <xf numFmtId="0" fontId="5" fillId="3" borderId="0" xfId="0" applyFont="1" applyFill="1" applyBorder="1" applyAlignment="1">
      <alignment vertical="center"/>
    </xf>
    <xf numFmtId="0" fontId="0" fillId="0" borderId="27" xfId="0" applyBorder="1"/>
    <xf numFmtId="17" fontId="1" fillId="0" borderId="35" xfId="0" applyNumberFormat="1" applyFont="1" applyBorder="1" applyAlignment="1">
      <alignment horizontal="center" vertical="center"/>
    </xf>
    <xf numFmtId="0" fontId="1" fillId="0" borderId="27" xfId="0" applyFont="1" applyBorder="1" applyAlignment="1">
      <alignment horizontal="center"/>
    </xf>
    <xf numFmtId="10" fontId="1" fillId="0" borderId="27" xfId="3" applyNumberFormat="1" applyFont="1" applyBorder="1" applyAlignment="1">
      <alignment horizontal="center"/>
    </xf>
    <xf numFmtId="10" fontId="0" fillId="0" borderId="27" xfId="3" applyNumberFormat="1" applyFont="1" applyBorder="1" applyAlignment="1">
      <alignment horizontal="center"/>
    </xf>
    <xf numFmtId="1" fontId="1" fillId="0" borderId="27" xfId="0" applyNumberFormat="1" applyFont="1" applyBorder="1" applyAlignment="1">
      <alignment horizontal="center"/>
    </xf>
    <xf numFmtId="1" fontId="1" fillId="0" borderId="27" xfId="0" applyNumberFormat="1" applyFont="1" applyBorder="1" applyAlignment="1">
      <alignment horizontal="center" vertical="center"/>
    </xf>
    <xf numFmtId="10" fontId="0" fillId="0" borderId="27" xfId="3" applyNumberFormat="1" applyFont="1" applyBorder="1" applyAlignment="1">
      <alignment horizontal="center" vertical="center"/>
    </xf>
    <xf numFmtId="0" fontId="0" fillId="0" borderId="27" xfId="0" applyBorder="1"/>
    <xf numFmtId="0" fontId="0" fillId="0" borderId="26" xfId="0" applyBorder="1"/>
    <xf numFmtId="9" fontId="0" fillId="0" borderId="27" xfId="3" applyFont="1" applyBorder="1" applyAlignment="1">
      <alignment horizontal="center" vertical="center"/>
    </xf>
    <xf numFmtId="164" fontId="1" fillId="0" borderId="27" xfId="2" applyFont="1" applyBorder="1" applyAlignment="1">
      <alignment horizontal="center" vertical="center"/>
    </xf>
    <xf numFmtId="164" fontId="0" fillId="0" borderId="27" xfId="2" applyFont="1" applyBorder="1" applyAlignment="1">
      <alignment horizontal="center" vertical="center"/>
    </xf>
    <xf numFmtId="164" fontId="1" fillId="0" borderId="27" xfId="2" applyFont="1" applyBorder="1" applyAlignment="1">
      <alignment horizontal="center"/>
    </xf>
    <xf numFmtId="164" fontId="0" fillId="0" borderId="27" xfId="2" applyFont="1" applyBorder="1" applyAlignment="1">
      <alignment horizontal="center"/>
    </xf>
    <xf numFmtId="164" fontId="0" fillId="0" borderId="0" xfId="0" applyNumberFormat="1"/>
    <xf numFmtId="0" fontId="0" fillId="0" borderId="31" xfId="0" applyBorder="1"/>
    <xf numFmtId="0" fontId="0" fillId="0" borderId="3" xfId="0" applyBorder="1"/>
    <xf numFmtId="0" fontId="0" fillId="0" borderId="29" xfId="0" applyBorder="1"/>
    <xf numFmtId="0" fontId="0" fillId="11" borderId="26" xfId="0" applyFill="1" applyBorder="1"/>
    <xf numFmtId="0" fontId="0" fillId="6" borderId="0" xfId="0" applyFill="1" applyAlignment="1">
      <alignment vertical="center" wrapText="1"/>
    </xf>
    <xf numFmtId="0" fontId="0" fillId="4" borderId="0" xfId="0" applyFill="1" applyAlignment="1">
      <alignment vertical="center" wrapText="1"/>
    </xf>
    <xf numFmtId="0" fontId="0" fillId="0" borderId="27" xfId="0" applyBorder="1"/>
    <xf numFmtId="0" fontId="0" fillId="0" borderId="26" xfId="0" applyBorder="1"/>
    <xf numFmtId="0" fontId="0" fillId="0" borderId="27" xfId="0" applyBorder="1"/>
    <xf numFmtId="0" fontId="0" fillId="0" borderId="26" xfId="0" applyFill="1" applyBorder="1"/>
    <xf numFmtId="0" fontId="0" fillId="11" borderId="29" xfId="0" applyFill="1" applyBorder="1"/>
    <xf numFmtId="0" fontId="0" fillId="0" borderId="36" xfId="0" applyBorder="1"/>
    <xf numFmtId="0" fontId="0" fillId="0" borderId="43" xfId="0" applyBorder="1"/>
    <xf numFmtId="0" fontId="0" fillId="0" borderId="44" xfId="0" applyBorder="1"/>
    <xf numFmtId="0" fontId="0" fillId="0" borderId="27" xfId="0" applyBorder="1"/>
    <xf numFmtId="0" fontId="0" fillId="0" borderId="22" xfId="0" applyBorder="1"/>
    <xf numFmtId="0" fontId="0" fillId="11" borderId="37" xfId="0" applyFill="1" applyBorder="1"/>
    <xf numFmtId="0" fontId="0" fillId="11" borderId="36" xfId="0" applyFill="1" applyBorder="1"/>
    <xf numFmtId="0" fontId="0" fillId="0" borderId="37" xfId="0" applyBorder="1"/>
    <xf numFmtId="0" fontId="0" fillId="0" borderId="0" xfId="0" applyBorder="1"/>
    <xf numFmtId="0" fontId="0" fillId="0" borderId="0" xfId="0" applyAlignment="1">
      <alignment horizontal="center"/>
    </xf>
    <xf numFmtId="0" fontId="0" fillId="0" borderId="28" xfId="0" applyBorder="1"/>
    <xf numFmtId="164" fontId="0" fillId="6" borderId="0" xfId="2" applyFont="1" applyFill="1"/>
    <xf numFmtId="164" fontId="0" fillId="4" borderId="0" xfId="2" applyFont="1" applyFill="1"/>
    <xf numFmtId="164" fontId="0" fillId="0" borderId="0" xfId="2" applyFont="1"/>
    <xf numFmtId="0" fontId="0" fillId="0" borderId="31" xfId="0" applyFill="1" applyBorder="1"/>
    <xf numFmtId="0" fontId="0" fillId="0" borderId="0" xfId="0" applyBorder="1"/>
    <xf numFmtId="0" fontId="0" fillId="0" borderId="27" xfId="0" applyBorder="1"/>
    <xf numFmtId="0" fontId="5" fillId="3" borderId="19" xfId="0" applyFont="1" applyFill="1" applyBorder="1" applyAlignment="1">
      <alignment horizontal="center" vertical="center"/>
    </xf>
    <xf numFmtId="0" fontId="5" fillId="3" borderId="21" xfId="0" applyFont="1" applyFill="1" applyBorder="1" applyAlignment="1">
      <alignment horizontal="center" vertical="center"/>
    </xf>
    <xf numFmtId="0" fontId="0" fillId="0" borderId="3" xfId="0" applyFont="1" applyBorder="1" applyAlignment="1">
      <alignment horizontal="center" vertical="center"/>
    </xf>
    <xf numFmtId="0" fontId="13" fillId="0" borderId="3" xfId="0" applyFont="1" applyBorder="1" applyAlignment="1">
      <alignment horizontal="center" vertical="center" wrapText="1"/>
    </xf>
    <xf numFmtId="0" fontId="0" fillId="0" borderId="3" xfId="0" applyFont="1" applyBorder="1" applyAlignment="1">
      <alignment horizontal="right" vertical="center"/>
    </xf>
    <xf numFmtId="0" fontId="0" fillId="0" borderId="3" xfId="0" applyFont="1" applyBorder="1" applyAlignment="1">
      <alignment horizontal="left" vertical="center" wrapText="1"/>
    </xf>
    <xf numFmtId="0" fontId="13" fillId="0" borderId="3" xfId="0" applyFont="1" applyBorder="1" applyAlignment="1">
      <alignment horizontal="left" vertical="center" wrapText="1"/>
    </xf>
    <xf numFmtId="0" fontId="0" fillId="0" borderId="50" xfId="0" applyFont="1" applyBorder="1" applyAlignment="1">
      <alignment horizontal="center" vertical="center"/>
    </xf>
    <xf numFmtId="0" fontId="13" fillId="15" borderId="3" xfId="0" applyFont="1" applyFill="1" applyBorder="1" applyAlignment="1">
      <alignment horizontal="center" vertical="center" wrapText="1"/>
    </xf>
    <xf numFmtId="0" fontId="13" fillId="16" borderId="3" xfId="0" applyFont="1" applyFill="1" applyBorder="1" applyAlignment="1">
      <alignment horizontal="center" vertical="center" wrapText="1"/>
    </xf>
    <xf numFmtId="0" fontId="0" fillId="0" borderId="3" xfId="0" applyFont="1" applyBorder="1"/>
    <xf numFmtId="0" fontId="0" fillId="14" borderId="3" xfId="0" applyFont="1" applyFill="1" applyBorder="1" applyAlignment="1">
      <alignment horizontal="center" vertical="center"/>
    </xf>
    <xf numFmtId="0" fontId="0" fillId="0" borderId="3" xfId="0" applyFont="1" applyBorder="1" applyAlignment="1">
      <alignment vertical="center" wrapText="1"/>
    </xf>
    <xf numFmtId="0" fontId="0" fillId="0" borderId="0" xfId="0" applyFont="1"/>
    <xf numFmtId="0" fontId="0" fillId="0" borderId="3" xfId="0" applyFont="1" applyBorder="1" applyAlignment="1">
      <alignment vertical="center"/>
    </xf>
    <xf numFmtId="0" fontId="0" fillId="0" borderId="3" xfId="0" applyFont="1" applyBorder="1" applyAlignment="1">
      <alignment horizontal="left" vertical="center"/>
    </xf>
    <xf numFmtId="0" fontId="29" fillId="0" borderId="3" xfId="0" applyFont="1" applyBorder="1" applyAlignment="1">
      <alignment horizontal="center" vertical="center" wrapText="1"/>
    </xf>
    <xf numFmtId="0" fontId="0" fillId="11" borderId="22" xfId="0" applyFill="1" applyBorder="1"/>
    <xf numFmtId="164" fontId="0" fillId="0" borderId="0" xfId="2" applyFont="1" applyBorder="1" applyAlignment="1"/>
    <xf numFmtId="0" fontId="0" fillId="0" borderId="9" xfId="0" applyBorder="1"/>
    <xf numFmtId="0" fontId="4" fillId="2" borderId="27" xfId="0" applyFont="1" applyFill="1" applyBorder="1" applyAlignment="1">
      <alignment horizontal="center" vertical="center" wrapText="1"/>
    </xf>
    <xf numFmtId="0" fontId="0" fillId="9" borderId="5" xfId="0" applyFill="1" applyBorder="1"/>
    <xf numFmtId="0" fontId="11" fillId="17" borderId="4" xfId="0" applyFont="1" applyFill="1" applyBorder="1" applyAlignment="1">
      <alignment vertical="center"/>
    </xf>
    <xf numFmtId="0" fontId="1" fillId="0" borderId="0" xfId="0" applyFont="1" applyBorder="1" applyAlignment="1">
      <alignment vertical="center" wrapText="1"/>
    </xf>
    <xf numFmtId="17" fontId="1" fillId="0" borderId="37" xfId="0" applyNumberFormat="1" applyFont="1" applyBorder="1" applyAlignment="1">
      <alignment horizontal="center" vertical="center"/>
    </xf>
    <xf numFmtId="0" fontId="13" fillId="11" borderId="36" xfId="0" applyFont="1" applyFill="1" applyBorder="1" applyAlignment="1">
      <alignment horizontal="center" vertical="center"/>
    </xf>
    <xf numFmtId="0" fontId="1" fillId="0" borderId="35" xfId="0" applyFont="1" applyBorder="1" applyAlignment="1">
      <alignment horizontal="center" vertical="center"/>
    </xf>
    <xf numFmtId="0" fontId="1" fillId="0" borderId="36" xfId="0" applyFont="1" applyBorder="1" applyAlignment="1">
      <alignment horizontal="center" vertical="center"/>
    </xf>
    <xf numFmtId="0" fontId="1" fillId="0" borderId="29" xfId="0" applyFont="1" applyBorder="1" applyAlignment="1">
      <alignment horizontal="left" vertical="center" wrapText="1"/>
    </xf>
    <xf numFmtId="0" fontId="1" fillId="0" borderId="25" xfId="0" applyFont="1" applyBorder="1" applyAlignment="1">
      <alignment horizontal="left" vertical="center" wrapText="1"/>
    </xf>
    <xf numFmtId="0" fontId="1" fillId="0" borderId="31" xfId="0" applyFont="1" applyBorder="1" applyAlignment="1">
      <alignment horizontal="left" vertical="center" wrapText="1"/>
    </xf>
    <xf numFmtId="0" fontId="1" fillId="0" borderId="32" xfId="0" applyFont="1" applyBorder="1" applyAlignment="1">
      <alignment horizontal="left" vertical="center" wrapText="1"/>
    </xf>
    <xf numFmtId="0" fontId="0" fillId="0" borderId="0" xfId="0" applyBorder="1" applyAlignment="1">
      <alignment horizontal="center"/>
    </xf>
    <xf numFmtId="0" fontId="4" fillId="2" borderId="27" xfId="0" applyFont="1" applyFill="1" applyBorder="1" applyAlignment="1">
      <alignment horizontal="center" vertical="center"/>
    </xf>
    <xf numFmtId="0" fontId="1" fillId="0" borderId="25" xfId="0" applyFont="1" applyBorder="1" applyAlignment="1">
      <alignment vertical="center" wrapText="1"/>
    </xf>
    <xf numFmtId="17" fontId="1" fillId="0" borderId="24" xfId="0" applyNumberFormat="1" applyFont="1" applyBorder="1" applyAlignment="1">
      <alignment horizontal="center" vertical="center"/>
    </xf>
    <xf numFmtId="0" fontId="1" fillId="0" borderId="30" xfId="0" applyFont="1" applyBorder="1" applyAlignment="1">
      <alignment vertical="center" wrapText="1"/>
    </xf>
    <xf numFmtId="0" fontId="1" fillId="0" borderId="32" xfId="0" applyFont="1" applyBorder="1" applyAlignment="1">
      <alignment vertical="center" wrapText="1"/>
    </xf>
    <xf numFmtId="0" fontId="1" fillId="0" borderId="33" xfId="0" applyFont="1" applyBorder="1" applyAlignment="1">
      <alignment vertical="center" wrapText="1"/>
    </xf>
    <xf numFmtId="9" fontId="1" fillId="0" borderId="27" xfId="3" applyFont="1" applyBorder="1" applyAlignment="1">
      <alignment horizontal="center" vertical="center" wrapText="1"/>
    </xf>
    <xf numFmtId="10" fontId="0" fillId="0" borderId="0" xfId="3" applyNumberFormat="1" applyFont="1"/>
    <xf numFmtId="10" fontId="1" fillId="0" borderId="27" xfId="3" applyNumberFormat="1" applyFont="1" applyBorder="1" applyAlignment="1">
      <alignment horizontal="center" vertical="center" wrapText="1"/>
    </xf>
    <xf numFmtId="0" fontId="4" fillId="2" borderId="27" xfId="0" applyFont="1" applyFill="1" applyBorder="1" applyAlignment="1">
      <alignment horizontal="center" vertical="center"/>
    </xf>
    <xf numFmtId="10" fontId="1" fillId="0" borderId="35" xfId="3" applyNumberFormat="1" applyFont="1" applyFill="1" applyBorder="1" applyAlignment="1">
      <alignment horizontal="center" vertical="center" wrapText="1"/>
    </xf>
    <xf numFmtId="10" fontId="1" fillId="0" borderId="36" xfId="3" applyNumberFormat="1" applyFont="1" applyFill="1" applyBorder="1" applyAlignment="1">
      <alignment horizontal="center" vertical="center" wrapText="1"/>
    </xf>
    <xf numFmtId="0" fontId="17" fillId="0" borderId="27" xfId="0" applyFont="1" applyFill="1" applyBorder="1" applyAlignment="1">
      <alignment horizontal="center" vertical="center" wrapText="1"/>
    </xf>
    <xf numFmtId="0" fontId="4" fillId="2" borderId="27" xfId="0" applyFont="1" applyFill="1" applyBorder="1" applyAlignment="1">
      <alignment horizontal="center" vertical="center"/>
    </xf>
    <xf numFmtId="0" fontId="1" fillId="0" borderId="32" xfId="0" applyFont="1" applyBorder="1" applyAlignment="1">
      <alignment horizontal="center" vertical="center"/>
    </xf>
    <xf numFmtId="0" fontId="0" fillId="0" borderId="0" xfId="0" pivotButton="1"/>
    <xf numFmtId="0" fontId="0" fillId="0" borderId="0" xfId="0" applyNumberFormat="1"/>
    <xf numFmtId="10" fontId="1" fillId="0" borderId="35" xfId="3" applyNumberFormat="1" applyFont="1" applyBorder="1" applyAlignment="1">
      <alignment horizontal="center" vertical="center"/>
    </xf>
    <xf numFmtId="10" fontId="1" fillId="0" borderId="36" xfId="3" applyNumberFormat="1" applyFont="1" applyBorder="1" applyAlignment="1">
      <alignment horizontal="center" vertical="center"/>
    </xf>
    <xf numFmtId="17" fontId="1" fillId="0" borderId="37" xfId="0" applyNumberFormat="1" applyFont="1" applyBorder="1" applyAlignment="1">
      <alignment horizontal="center" vertical="center"/>
    </xf>
    <xf numFmtId="0" fontId="4" fillId="2" borderId="27" xfId="0" applyFont="1" applyFill="1" applyBorder="1" applyAlignment="1">
      <alignment horizontal="center" vertical="center"/>
    </xf>
    <xf numFmtId="0" fontId="0" fillId="21" borderId="0" xfId="0" applyFill="1"/>
    <xf numFmtId="0" fontId="13" fillId="0" borderId="1" xfId="0" applyFont="1" applyBorder="1" applyAlignment="1">
      <alignment horizontal="center"/>
    </xf>
    <xf numFmtId="0" fontId="0" fillId="0" borderId="1" xfId="0" applyBorder="1"/>
    <xf numFmtId="0" fontId="1" fillId="20" borderId="1" xfId="0" applyFont="1" applyFill="1" applyBorder="1" applyAlignment="1">
      <alignment vertical="center"/>
    </xf>
    <xf numFmtId="0" fontId="0" fillId="20" borderId="1" xfId="0" applyFill="1" applyBorder="1" applyAlignment="1">
      <alignment vertical="center" wrapText="1"/>
    </xf>
    <xf numFmtId="10" fontId="0" fillId="0" borderId="1" xfId="0" applyNumberFormat="1" applyBorder="1"/>
    <xf numFmtId="9" fontId="0" fillId="0" borderId="1" xfId="3" applyFont="1" applyBorder="1"/>
    <xf numFmtId="0" fontId="0" fillId="20" borderId="1" xfId="0" applyFill="1" applyBorder="1" applyAlignment="1">
      <alignment vertical="center"/>
    </xf>
    <xf numFmtId="9" fontId="0" fillId="0" borderId="1" xfId="0" applyNumberFormat="1" applyBorder="1"/>
    <xf numFmtId="10" fontId="0" fillId="0" borderId="1" xfId="3" applyNumberFormat="1" applyFont="1" applyBorder="1"/>
    <xf numFmtId="0" fontId="0" fillId="0" borderId="1" xfId="0" applyFill="1" applyBorder="1"/>
    <xf numFmtId="0" fontId="0" fillId="19" borderId="1" xfId="0" applyFill="1" applyBorder="1" applyAlignment="1">
      <alignment vertical="center" wrapText="1"/>
    </xf>
    <xf numFmtId="0" fontId="0" fillId="19" borderId="1" xfId="0" applyFill="1" applyBorder="1" applyAlignment="1">
      <alignment vertical="center"/>
    </xf>
    <xf numFmtId="1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52" xfId="0" applyFill="1" applyBorder="1"/>
    <xf numFmtId="0" fontId="1" fillId="0" borderId="27" xfId="3" applyNumberFormat="1" applyFont="1" applyBorder="1" applyAlignment="1">
      <alignment horizontal="center" vertical="center" wrapText="1"/>
    </xf>
    <xf numFmtId="164" fontId="1" fillId="0" borderId="27" xfId="2" applyFont="1" applyBorder="1" applyAlignment="1">
      <alignment horizontal="center" vertical="center" wrapText="1"/>
    </xf>
    <xf numFmtId="9" fontId="0" fillId="0" borderId="1" xfId="0" applyNumberFormat="1" applyBorder="1" applyAlignment="1">
      <alignment horizontal="center" vertical="center"/>
    </xf>
    <xf numFmtId="164" fontId="0" fillId="0" borderId="1" xfId="0" applyNumberFormat="1" applyBorder="1" applyAlignment="1">
      <alignment horizontal="center" vertical="center"/>
    </xf>
    <xf numFmtId="164" fontId="0" fillId="0" borderId="1" xfId="2" applyFont="1" applyBorder="1" applyAlignment="1">
      <alignment horizontal="center" vertical="center"/>
    </xf>
    <xf numFmtId="1" fontId="0" fillId="0" borderId="1" xfId="0" applyNumberFormat="1" applyBorder="1" applyAlignment="1">
      <alignment horizontal="center" vertical="center"/>
    </xf>
    <xf numFmtId="0" fontId="0" fillId="0" borderId="1" xfId="2" applyNumberFormat="1" applyFont="1" applyBorder="1" applyAlignment="1">
      <alignment horizontal="center" vertical="center"/>
    </xf>
    <xf numFmtId="0" fontId="0" fillId="0" borderId="1" xfId="0" applyNumberFormat="1" applyBorder="1" applyAlignment="1">
      <alignment horizontal="center" vertical="center"/>
    </xf>
    <xf numFmtId="0" fontId="0" fillId="19" borderId="53" xfId="0" applyFill="1" applyBorder="1" applyAlignment="1">
      <alignment vertical="center" wrapText="1"/>
    </xf>
    <xf numFmtId="0" fontId="0" fillId="19" borderId="53" xfId="0" applyFill="1" applyBorder="1" applyAlignment="1">
      <alignment vertical="center"/>
    </xf>
    <xf numFmtId="0" fontId="0" fillId="0" borderId="22" xfId="0" applyBorder="1" applyAlignment="1">
      <alignment vertical="center" wrapText="1"/>
    </xf>
    <xf numFmtId="10" fontId="0" fillId="0" borderId="54" xfId="0" applyNumberFormat="1" applyBorder="1" applyAlignment="1">
      <alignment horizontal="center" vertical="center"/>
    </xf>
    <xf numFmtId="9" fontId="0" fillId="0" borderId="54" xfId="0" applyNumberFormat="1" applyBorder="1" applyAlignment="1">
      <alignment horizontal="center" vertical="center"/>
    </xf>
    <xf numFmtId="0" fontId="0" fillId="0" borderId="56" xfId="0" applyFill="1" applyBorder="1"/>
    <xf numFmtId="0" fontId="0" fillId="19" borderId="57" xfId="0" applyFill="1" applyBorder="1" applyAlignment="1">
      <alignment vertical="center" wrapText="1"/>
    </xf>
    <xf numFmtId="0" fontId="0" fillId="19" borderId="56" xfId="0" applyFill="1" applyBorder="1" applyAlignment="1">
      <alignment vertical="center" wrapText="1"/>
    </xf>
    <xf numFmtId="0" fontId="13" fillId="0" borderId="1" xfId="0" applyFont="1" applyBorder="1" applyAlignment="1">
      <alignment horizontal="center" vertical="center"/>
    </xf>
    <xf numFmtId="0" fontId="0" fillId="0" borderId="1" xfId="0" applyBorder="1" applyAlignment="1">
      <alignment horizontal="center" vertical="center" wrapText="1"/>
    </xf>
    <xf numFmtId="10" fontId="0" fillId="0" borderId="1" xfId="0" applyNumberFormat="1" applyBorder="1" applyAlignment="1">
      <alignment horizontal="center" vertical="center" wrapText="1"/>
    </xf>
    <xf numFmtId="164" fontId="0" fillId="0" borderId="1" xfId="0" applyNumberFormat="1" applyBorder="1" applyAlignment="1">
      <alignment horizontal="center" vertical="center" wrapText="1"/>
    </xf>
    <xf numFmtId="9" fontId="0" fillId="0" borderId="53" xfId="0" applyNumberFormat="1" applyBorder="1" applyAlignment="1">
      <alignment horizontal="center" vertical="center"/>
    </xf>
    <xf numFmtId="164" fontId="0" fillId="0" borderId="53" xfId="0" applyNumberFormat="1" applyBorder="1" applyAlignment="1">
      <alignment horizontal="center" vertical="center"/>
    </xf>
    <xf numFmtId="0" fontId="0" fillId="0" borderId="53" xfId="0" applyBorder="1" applyAlignment="1">
      <alignment horizontal="center" vertical="center"/>
    </xf>
    <xf numFmtId="10" fontId="0" fillId="0" borderId="54" xfId="0" applyNumberFormat="1" applyBorder="1" applyAlignment="1">
      <alignment horizontal="center" vertical="center" wrapText="1"/>
    </xf>
    <xf numFmtId="10" fontId="0" fillId="0" borderId="58" xfId="0" applyNumberFormat="1" applyBorder="1" applyAlignment="1">
      <alignment horizontal="center" vertical="center" wrapText="1"/>
    </xf>
    <xf numFmtId="164" fontId="0" fillId="0" borderId="58" xfId="0" applyNumberFormat="1" applyBorder="1" applyAlignment="1">
      <alignment horizontal="center" vertical="center" wrapText="1"/>
    </xf>
    <xf numFmtId="0" fontId="0" fillId="0" borderId="58" xfId="0" applyBorder="1" applyAlignment="1">
      <alignment horizontal="center" vertical="center" wrapText="1"/>
    </xf>
    <xf numFmtId="10" fontId="0" fillId="0" borderId="58" xfId="0" applyNumberFormat="1" applyBorder="1" applyAlignment="1">
      <alignment horizontal="center" vertical="center"/>
    </xf>
    <xf numFmtId="9" fontId="0" fillId="0" borderId="58" xfId="0" applyNumberFormat="1" applyBorder="1" applyAlignment="1">
      <alignment horizontal="center" vertical="center"/>
    </xf>
    <xf numFmtId="0" fontId="0" fillId="19" borderId="55" xfId="0" applyFill="1" applyBorder="1" applyAlignment="1">
      <alignment vertical="center" wrapText="1"/>
    </xf>
    <xf numFmtId="0" fontId="0" fillId="19" borderId="60" xfId="0" applyFill="1" applyBorder="1" applyAlignment="1">
      <alignment vertical="center" wrapText="1"/>
    </xf>
    <xf numFmtId="0" fontId="0" fillId="19" borderId="51" xfId="0" applyFill="1" applyBorder="1" applyAlignment="1">
      <alignment vertical="center" wrapText="1"/>
    </xf>
    <xf numFmtId="0" fontId="0" fillId="0" borderId="58" xfId="0" applyFill="1" applyBorder="1"/>
    <xf numFmtId="0" fontId="0" fillId="19" borderId="61" xfId="0" applyFill="1" applyBorder="1" applyAlignment="1">
      <alignment vertical="center"/>
    </xf>
    <xf numFmtId="0" fontId="0" fillId="19" borderId="58" xfId="0" applyFill="1" applyBorder="1" applyAlignment="1">
      <alignment vertical="center" wrapText="1"/>
    </xf>
    <xf numFmtId="0" fontId="0" fillId="19" borderId="58" xfId="0" applyFill="1" applyBorder="1" applyAlignment="1">
      <alignment vertical="center"/>
    </xf>
    <xf numFmtId="10" fontId="0" fillId="0" borderId="59" xfId="0" applyNumberFormat="1" applyBorder="1" applyAlignment="1">
      <alignment horizontal="center" vertical="center"/>
    </xf>
    <xf numFmtId="164" fontId="0" fillId="0" borderId="58" xfId="2" applyFont="1" applyBorder="1" applyAlignment="1">
      <alignment horizontal="center" vertical="center"/>
    </xf>
    <xf numFmtId="0" fontId="0" fillId="0" borderId="58" xfId="0" applyNumberFormat="1" applyBorder="1" applyAlignment="1">
      <alignment horizontal="center" vertical="center"/>
    </xf>
    <xf numFmtId="0" fontId="13" fillId="0" borderId="54" xfId="0" applyFont="1" applyBorder="1" applyAlignment="1">
      <alignment horizontal="center"/>
    </xf>
    <xf numFmtId="10" fontId="31" fillId="0" borderId="0" xfId="0" applyNumberFormat="1" applyFont="1" applyAlignment="1">
      <alignment vertical="center"/>
    </xf>
    <xf numFmtId="0" fontId="0" fillId="0" borderId="25" xfId="0" applyBorder="1" applyAlignment="1">
      <alignment vertical="center" wrapText="1"/>
    </xf>
    <xf numFmtId="0" fontId="0" fillId="0" borderId="0" xfId="0" applyBorder="1" applyAlignment="1">
      <alignment vertical="center" wrapText="1"/>
    </xf>
    <xf numFmtId="0" fontId="0" fillId="0" borderId="32" xfId="0" applyBorder="1" applyAlignment="1">
      <alignment vertical="center" wrapText="1"/>
    </xf>
    <xf numFmtId="0" fontId="0" fillId="0" borderId="25" xfId="0" applyBorder="1" applyAlignment="1">
      <alignment vertical="center"/>
    </xf>
    <xf numFmtId="0" fontId="0" fillId="0" borderId="0" xfId="0" applyBorder="1" applyAlignment="1">
      <alignment vertical="center"/>
    </xf>
    <xf numFmtId="0" fontId="0" fillId="18" borderId="62" xfId="0" applyFill="1" applyBorder="1" applyAlignment="1">
      <alignment vertical="center" wrapText="1"/>
    </xf>
    <xf numFmtId="0" fontId="0" fillId="18" borderId="62" xfId="0" applyFill="1" applyBorder="1" applyAlignment="1">
      <alignment vertical="center"/>
    </xf>
    <xf numFmtId="0" fontId="0" fillId="13" borderId="1" xfId="0" applyFill="1" applyBorder="1" applyAlignment="1">
      <alignment vertical="center" wrapText="1"/>
    </xf>
    <xf numFmtId="165" fontId="1" fillId="0" borderId="27" xfId="3" applyNumberFormat="1" applyFont="1" applyBorder="1" applyAlignment="1">
      <alignment horizontal="center" vertical="center" wrapText="1"/>
    </xf>
    <xf numFmtId="0" fontId="5" fillId="3" borderId="0" xfId="0" applyFont="1" applyFill="1" applyBorder="1" applyAlignment="1">
      <alignment horizontal="center" vertical="center"/>
    </xf>
    <xf numFmtId="0" fontId="0" fillId="0" borderId="0" xfId="0" applyAlignment="1">
      <alignment horizontal="center"/>
    </xf>
    <xf numFmtId="164" fontId="11" fillId="2" borderId="0" xfId="2" applyFont="1" applyFill="1" applyBorder="1" applyAlignment="1">
      <alignment horizontal="center" vertical="center"/>
    </xf>
    <xf numFmtId="164" fontId="11" fillId="0" borderId="0" xfId="2" applyFont="1" applyFill="1" applyBorder="1" applyAlignment="1">
      <alignment horizontal="center" vertical="center"/>
    </xf>
    <xf numFmtId="164" fontId="11" fillId="0" borderId="1" xfId="2" applyFont="1" applyFill="1" applyBorder="1" applyAlignment="1">
      <alignment horizontal="center" vertical="center"/>
    </xf>
    <xf numFmtId="0" fontId="0" fillId="6" borderId="0" xfId="0" applyFill="1" applyAlignment="1">
      <alignment vertical="center"/>
    </xf>
    <xf numFmtId="0" fontId="0" fillId="4" borderId="0" xfId="0" applyFill="1" applyAlignment="1">
      <alignment vertical="center"/>
    </xf>
    <xf numFmtId="0" fontId="0" fillId="3" borderId="0" xfId="0" applyFill="1" applyBorder="1" applyAlignment="1">
      <alignment horizontal="center" vertical="center"/>
    </xf>
    <xf numFmtId="0" fontId="1" fillId="0" borderId="0" xfId="0" applyFont="1" applyBorder="1" applyAlignment="1">
      <alignment horizontal="center" vertical="center"/>
    </xf>
    <xf numFmtId="165" fontId="0" fillId="0" borderId="3" xfId="0" applyNumberFormat="1" applyBorder="1" applyAlignment="1">
      <alignment horizontal="center"/>
    </xf>
    <xf numFmtId="165" fontId="0" fillId="0" borderId="3" xfId="3" applyNumberFormat="1" applyFont="1" applyBorder="1" applyAlignment="1">
      <alignment horizontal="center"/>
    </xf>
    <xf numFmtId="165" fontId="0" fillId="0" borderId="3" xfId="0" applyNumberFormat="1" applyBorder="1" applyAlignment="1">
      <alignment horizontal="center" vertical="center"/>
    </xf>
    <xf numFmtId="9" fontId="32" fillId="0" borderId="0" xfId="0" applyNumberFormat="1" applyFont="1"/>
    <xf numFmtId="9" fontId="33" fillId="0" borderId="0" xfId="0" applyNumberFormat="1" applyFont="1" applyAlignment="1">
      <alignment horizontal="center"/>
    </xf>
    <xf numFmtId="164" fontId="0" fillId="0" borderId="0" xfId="2" applyFont="1" applyBorder="1" applyAlignment="1">
      <alignment horizontal="center"/>
    </xf>
    <xf numFmtId="10" fontId="30" fillId="0" borderId="27" xfId="3" applyNumberFormat="1" applyFont="1" applyBorder="1" applyAlignment="1">
      <alignment horizontal="center" vertical="center" wrapText="1"/>
    </xf>
    <xf numFmtId="166" fontId="0" fillId="0" borderId="1" xfId="3" applyNumberFormat="1" applyFont="1" applyBorder="1"/>
    <xf numFmtId="166" fontId="0" fillId="0" borderId="0" xfId="0" applyNumberFormat="1"/>
    <xf numFmtId="166" fontId="0" fillId="0" borderId="0" xfId="3" applyNumberFormat="1" applyFont="1" applyBorder="1" applyAlignment="1">
      <alignment vertical="center"/>
    </xf>
    <xf numFmtId="10" fontId="12" fillId="0" borderId="27" xfId="3" applyNumberFormat="1" applyFont="1" applyBorder="1" applyAlignment="1">
      <alignment horizontal="center" vertical="center" wrapText="1"/>
    </xf>
    <xf numFmtId="166" fontId="12" fillId="0" borderId="27" xfId="3" applyNumberFormat="1" applyFont="1" applyBorder="1" applyAlignment="1">
      <alignment horizontal="center" vertical="center" wrapText="1"/>
    </xf>
    <xf numFmtId="164" fontId="12" fillId="0" borderId="27" xfId="2" applyFont="1" applyBorder="1" applyAlignment="1">
      <alignment horizontal="center" vertical="center" wrapText="1"/>
    </xf>
    <xf numFmtId="165" fontId="12" fillId="0" borderId="27" xfId="3" applyNumberFormat="1" applyFont="1" applyBorder="1" applyAlignment="1">
      <alignment horizontal="center" vertical="center" wrapText="1"/>
    </xf>
    <xf numFmtId="9" fontId="12" fillId="0" borderId="27" xfId="3" applyFont="1" applyBorder="1" applyAlignment="1">
      <alignment horizontal="center" vertical="center" wrapText="1"/>
    </xf>
    <xf numFmtId="9" fontId="30" fillId="0" borderId="27" xfId="3" applyFont="1" applyBorder="1" applyAlignment="1">
      <alignment horizontal="center" vertical="center" wrapText="1"/>
    </xf>
    <xf numFmtId="164" fontId="0" fillId="0" borderId="1" xfId="2" applyFont="1" applyBorder="1" applyAlignment="1">
      <alignment horizontal="center" vertical="center" wrapText="1"/>
    </xf>
    <xf numFmtId="164" fontId="0" fillId="0" borderId="59" xfId="2" applyFont="1" applyBorder="1" applyAlignment="1">
      <alignment horizontal="center" vertical="center"/>
    </xf>
    <xf numFmtId="164" fontId="0" fillId="0" borderId="58" xfId="2" applyFont="1" applyBorder="1" applyAlignment="1">
      <alignment horizontal="center" vertical="center" wrapText="1"/>
    </xf>
    <xf numFmtId="0" fontId="35" fillId="0" borderId="0" xfId="0" applyFont="1"/>
    <xf numFmtId="0" fontId="32" fillId="0" borderId="0" xfId="0" applyFont="1"/>
    <xf numFmtId="0" fontId="32" fillId="0" borderId="0" xfId="0" applyFont="1" applyAlignment="1">
      <alignment horizontal="center"/>
    </xf>
    <xf numFmtId="0" fontId="32" fillId="0" borderId="0" xfId="0" applyFont="1" applyAlignment="1">
      <alignment horizontal="center" vertical="center"/>
    </xf>
    <xf numFmtId="10" fontId="1" fillId="12" borderId="27" xfId="3" applyNumberFormat="1" applyFont="1" applyFill="1" applyBorder="1" applyAlignment="1">
      <alignment horizontal="center" vertical="center" wrapText="1"/>
    </xf>
    <xf numFmtId="0" fontId="0" fillId="0" borderId="37" xfId="0" applyBorder="1" applyAlignment="1">
      <alignment horizontal="center" vertical="center" wrapText="1"/>
    </xf>
    <xf numFmtId="0" fontId="0" fillId="0" borderId="36" xfId="0" applyBorder="1" applyAlignment="1">
      <alignment horizontal="center" vertical="center" wrapText="1"/>
    </xf>
    <xf numFmtId="0" fontId="5" fillId="5" borderId="4" xfId="0" applyFont="1" applyFill="1" applyBorder="1" applyAlignment="1">
      <alignment horizontal="center" vertical="center"/>
    </xf>
    <xf numFmtId="0" fontId="5" fillId="5" borderId="5" xfId="0" applyFont="1" applyFill="1" applyBorder="1" applyAlignment="1">
      <alignment horizontal="center" vertical="center"/>
    </xf>
    <xf numFmtId="0" fontId="5" fillId="5" borderId="6" xfId="0" applyFont="1" applyFill="1" applyBorder="1" applyAlignment="1">
      <alignment horizontal="center" vertical="center"/>
    </xf>
    <xf numFmtId="0" fontId="5" fillId="5" borderId="7" xfId="0" applyFont="1" applyFill="1" applyBorder="1" applyAlignment="1">
      <alignment horizontal="center" vertical="center"/>
    </xf>
    <xf numFmtId="0" fontId="5" fillId="5" borderId="2" xfId="0" applyFont="1" applyFill="1" applyBorder="1" applyAlignment="1">
      <alignment horizontal="center" vertical="center"/>
    </xf>
    <xf numFmtId="0" fontId="5" fillId="5" borderId="8" xfId="0" applyFont="1" applyFill="1" applyBorder="1" applyAlignment="1">
      <alignment horizontal="center" vertical="center"/>
    </xf>
    <xf numFmtId="0" fontId="1" fillId="0" borderId="4" xfId="0" applyFont="1" applyBorder="1" applyAlignment="1">
      <alignment horizontal="left" vertical="center" wrapText="1"/>
    </xf>
    <xf numFmtId="0" fontId="1" fillId="0" borderId="5" xfId="0" applyFont="1" applyBorder="1" applyAlignment="1">
      <alignment horizontal="left" vertical="center"/>
    </xf>
    <xf numFmtId="0" fontId="1" fillId="0" borderId="6" xfId="0" applyFont="1" applyBorder="1" applyAlignment="1">
      <alignment horizontal="left" vertical="center"/>
    </xf>
    <xf numFmtId="0" fontId="1" fillId="0" borderId="9" xfId="0" applyFont="1" applyBorder="1" applyAlignment="1">
      <alignment horizontal="left" vertical="center"/>
    </xf>
    <xf numFmtId="0" fontId="1" fillId="0" borderId="0" xfId="0" applyFont="1" applyBorder="1" applyAlignment="1">
      <alignment horizontal="left" vertical="center"/>
    </xf>
    <xf numFmtId="0" fontId="1" fillId="0" borderId="10" xfId="0" applyFont="1" applyBorder="1" applyAlignment="1">
      <alignment horizontal="left" vertical="center"/>
    </xf>
    <xf numFmtId="0" fontId="1" fillId="0" borderId="7" xfId="0" applyFont="1" applyBorder="1" applyAlignment="1">
      <alignment horizontal="left" vertical="center"/>
    </xf>
    <xf numFmtId="0" fontId="1" fillId="0" borderId="2" xfId="0" applyFont="1" applyBorder="1" applyAlignment="1">
      <alignment horizontal="left" vertical="center"/>
    </xf>
    <xf numFmtId="0" fontId="1" fillId="0" borderId="8" xfId="0" applyFont="1" applyBorder="1" applyAlignment="1">
      <alignment horizontal="left" vertical="center"/>
    </xf>
    <xf numFmtId="0" fontId="3" fillId="7" borderId="0" xfId="0" applyFont="1" applyFill="1" applyAlignment="1">
      <alignment horizontal="center" vertical="center"/>
    </xf>
    <xf numFmtId="0" fontId="4" fillId="5" borderId="0" xfId="0" applyFont="1" applyFill="1" applyAlignment="1">
      <alignment horizontal="center" vertical="center" wrapText="1"/>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2" xfId="0" applyFont="1" applyBorder="1" applyAlignment="1">
      <alignment horizontal="center" vertical="center"/>
    </xf>
    <xf numFmtId="0" fontId="1" fillId="0" borderId="8" xfId="0" applyFont="1" applyBorder="1" applyAlignment="1">
      <alignment horizontal="center" vertical="center"/>
    </xf>
    <xf numFmtId="0" fontId="6" fillId="5" borderId="0" xfId="0" applyFont="1" applyFill="1" applyBorder="1" applyAlignment="1">
      <alignment horizontal="center" vertical="center"/>
    </xf>
    <xf numFmtId="0" fontId="2" fillId="0" borderId="4"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6" fillId="2" borderId="0" xfId="0" applyFont="1" applyFill="1" applyBorder="1" applyAlignment="1">
      <alignment horizontal="center" vertical="center"/>
    </xf>
    <xf numFmtId="0" fontId="7" fillId="0" borderId="4" xfId="0" applyFont="1" applyBorder="1" applyAlignment="1">
      <alignment horizontal="justify" vertical="center" wrapText="1"/>
    </xf>
    <xf numFmtId="0" fontId="7" fillId="0" borderId="5" xfId="0" applyFont="1" applyBorder="1" applyAlignment="1">
      <alignment horizontal="justify" vertical="center" wrapText="1"/>
    </xf>
    <xf numFmtId="0" fontId="7" fillId="0" borderId="6" xfId="0" applyFont="1" applyBorder="1" applyAlignment="1">
      <alignment horizontal="justify" vertical="center" wrapText="1"/>
    </xf>
    <xf numFmtId="0" fontId="7" fillId="0" borderId="9" xfId="0" applyFont="1" applyBorder="1" applyAlignment="1">
      <alignment horizontal="justify" vertical="center" wrapText="1"/>
    </xf>
    <xf numFmtId="0" fontId="7" fillId="0" borderId="0" xfId="0" applyFont="1" applyBorder="1" applyAlignment="1">
      <alignment horizontal="justify" vertical="center" wrapText="1"/>
    </xf>
    <xf numFmtId="0" fontId="7" fillId="0" borderId="10" xfId="0" applyFont="1" applyBorder="1" applyAlignment="1">
      <alignment horizontal="justify"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9"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2" xfId="0" applyFont="1" applyBorder="1" applyAlignment="1">
      <alignment horizontal="center" vertical="center" wrapText="1"/>
    </xf>
    <xf numFmtId="0" fontId="2" fillId="0" borderId="8" xfId="0" applyFont="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7" fillId="0" borderId="9" xfId="0" applyFont="1" applyBorder="1" applyAlignment="1">
      <alignment horizontal="center" vertical="center" wrapText="1"/>
    </xf>
    <xf numFmtId="0" fontId="7" fillId="0" borderId="0"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7" xfId="0" applyFont="1" applyBorder="1" applyAlignment="1">
      <alignment horizontal="center" vertical="center" wrapText="1"/>
    </xf>
    <xf numFmtId="0" fontId="7" fillId="0" borderId="2" xfId="0" applyFont="1" applyBorder="1" applyAlignment="1">
      <alignment horizontal="center" vertical="center" wrapText="1"/>
    </xf>
    <xf numFmtId="0" fontId="7" fillId="0" borderId="8" xfId="0" applyFont="1" applyBorder="1" applyAlignment="1">
      <alignment horizontal="center" vertical="center" wrapText="1"/>
    </xf>
    <xf numFmtId="0" fontId="7" fillId="0" borderId="2" xfId="0" applyFont="1" applyBorder="1" applyAlignment="1">
      <alignment horizontal="justify" vertical="center" wrapText="1"/>
    </xf>
    <xf numFmtId="0" fontId="7" fillId="0" borderId="8" xfId="0" applyFont="1" applyBorder="1" applyAlignment="1">
      <alignment horizontal="justify" vertical="center" wrapText="1"/>
    </xf>
    <xf numFmtId="0" fontId="8" fillId="5" borderId="0" xfId="0" applyFont="1" applyFill="1" applyBorder="1" applyAlignment="1">
      <alignment horizontal="center" vertical="center"/>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18" xfId="0" applyFont="1" applyBorder="1" applyAlignment="1">
      <alignment horizontal="center" vertical="center" wrapText="1"/>
    </xf>
    <xf numFmtId="0" fontId="9" fillId="5" borderId="0" xfId="0" applyFont="1" applyFill="1" applyBorder="1" applyAlignment="1">
      <alignment horizontal="center" vertical="center"/>
    </xf>
    <xf numFmtId="0" fontId="7" fillId="0" borderId="7" xfId="0" applyFont="1" applyBorder="1" applyAlignment="1">
      <alignment horizontal="justify" vertical="center" wrapText="1"/>
    </xf>
    <xf numFmtId="0" fontId="13" fillId="0" borderId="3" xfId="0" applyFont="1" applyBorder="1" applyAlignment="1">
      <alignment horizontal="center" vertical="center" wrapText="1"/>
    </xf>
    <xf numFmtId="0" fontId="28" fillId="4" borderId="0" xfId="0" applyFont="1" applyFill="1" applyBorder="1" applyAlignment="1">
      <alignment horizontal="center" vertical="center"/>
    </xf>
    <xf numFmtId="0" fontId="13" fillId="0" borderId="3" xfId="0" applyFont="1" applyBorder="1" applyAlignment="1">
      <alignment horizontal="center" vertical="center"/>
    </xf>
    <xf numFmtId="0" fontId="0" fillId="0" borderId="3" xfId="0" applyFont="1" applyBorder="1" applyAlignment="1">
      <alignment horizontal="center" vertical="center"/>
    </xf>
    <xf numFmtId="0" fontId="13" fillId="14" borderId="3" xfId="0" applyFont="1" applyFill="1" applyBorder="1" applyAlignment="1">
      <alignment horizontal="center" vertical="center" wrapText="1"/>
    </xf>
    <xf numFmtId="0" fontId="0" fillId="0" borderId="3" xfId="0" applyFont="1" applyBorder="1" applyAlignment="1">
      <alignment vertical="center"/>
    </xf>
    <xf numFmtId="0" fontId="26" fillId="0" borderId="3" xfId="0" applyFont="1" applyBorder="1" applyAlignment="1">
      <alignment horizontal="center" vertical="center" wrapText="1"/>
    </xf>
    <xf numFmtId="0" fontId="26" fillId="0" borderId="19" xfId="0" applyFont="1" applyBorder="1" applyAlignment="1">
      <alignment horizontal="center" vertical="center" wrapText="1"/>
    </xf>
    <xf numFmtId="0" fontId="26" fillId="0" borderId="21" xfId="0" applyFont="1" applyBorder="1" applyAlignment="1">
      <alignment horizontal="center" vertical="center" wrapText="1"/>
    </xf>
    <xf numFmtId="0" fontId="27" fillId="0" borderId="19" xfId="0" applyFont="1" applyBorder="1" applyAlignment="1">
      <alignment horizontal="center" vertical="center" wrapText="1"/>
    </xf>
    <xf numFmtId="0" fontId="27" fillId="0" borderId="21" xfId="0" applyFont="1" applyBorder="1" applyAlignment="1">
      <alignment horizontal="center" vertical="center" wrapText="1"/>
    </xf>
    <xf numFmtId="0" fontId="0" fillId="14" borderId="3" xfId="0" applyFont="1" applyFill="1" applyBorder="1" applyAlignment="1">
      <alignment horizontal="center" vertical="center" wrapText="1"/>
    </xf>
    <xf numFmtId="0" fontId="0" fillId="0" borderId="3" xfId="0" applyFont="1" applyBorder="1" applyAlignment="1">
      <alignment horizontal="center" vertical="center" wrapText="1"/>
    </xf>
    <xf numFmtId="0" fontId="13" fillId="0" borderId="3" xfId="0" applyFont="1" applyBorder="1" applyAlignment="1">
      <alignment horizontal="left" vertical="center"/>
    </xf>
    <xf numFmtId="0" fontId="13" fillId="0" borderId="19" xfId="0" applyFont="1" applyBorder="1" applyAlignment="1">
      <alignment horizontal="center" vertical="center"/>
    </xf>
    <xf numFmtId="0" fontId="13" fillId="0" borderId="20" xfId="0" applyFont="1" applyBorder="1" applyAlignment="1">
      <alignment horizontal="center" vertical="center"/>
    </xf>
    <xf numFmtId="0" fontId="13" fillId="0" borderId="21" xfId="0" applyFont="1" applyBorder="1" applyAlignment="1">
      <alignment horizontal="center" vertical="center"/>
    </xf>
    <xf numFmtId="0" fontId="13" fillId="0" borderId="19" xfId="0" applyFont="1" applyFill="1" applyBorder="1" applyAlignment="1">
      <alignment horizontal="center" vertical="center" wrapText="1"/>
    </xf>
    <xf numFmtId="0" fontId="13" fillId="0" borderId="21" xfId="0" applyFont="1" applyFill="1" applyBorder="1" applyAlignment="1">
      <alignment horizontal="center" vertical="center" wrapText="1"/>
    </xf>
    <xf numFmtId="0" fontId="13" fillId="14" borderId="19" xfId="0" applyFont="1" applyFill="1" applyBorder="1" applyAlignment="1">
      <alignment horizontal="center" vertical="center" wrapText="1"/>
    </xf>
    <xf numFmtId="0" fontId="13" fillId="14" borderId="21" xfId="0" applyFont="1" applyFill="1" applyBorder="1" applyAlignment="1">
      <alignment horizontal="center" vertical="center" wrapText="1"/>
    </xf>
    <xf numFmtId="0" fontId="0" fillId="0" borderId="19" xfId="0" applyFont="1" applyBorder="1" applyAlignment="1">
      <alignment horizontal="center" vertical="center"/>
    </xf>
    <xf numFmtId="0" fontId="0" fillId="0" borderId="20" xfId="0" applyFont="1" applyBorder="1" applyAlignment="1">
      <alignment horizontal="center" vertical="center"/>
    </xf>
    <xf numFmtId="0" fontId="0" fillId="0" borderId="21" xfId="0" applyFont="1" applyBorder="1" applyAlignment="1">
      <alignment horizontal="center" vertical="center"/>
    </xf>
    <xf numFmtId="0" fontId="28" fillId="4" borderId="2" xfId="0" applyFont="1" applyFill="1" applyBorder="1" applyAlignment="1">
      <alignment horizontal="center" vertical="center"/>
    </xf>
    <xf numFmtId="0" fontId="0" fillId="0" borderId="3" xfId="0"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0" fillId="0" borderId="21" xfId="0" applyBorder="1" applyAlignment="1">
      <alignment vertical="center"/>
    </xf>
    <xf numFmtId="0" fontId="11" fillId="2" borderId="0" xfId="0" applyFont="1" applyFill="1" applyAlignment="1">
      <alignment horizontal="center" vertical="center"/>
    </xf>
    <xf numFmtId="0" fontId="1" fillId="0" borderId="3" xfId="0" applyFont="1" applyBorder="1" applyAlignment="1">
      <alignment vertical="center"/>
    </xf>
    <xf numFmtId="0" fontId="1" fillId="0" borderId="4" xfId="0" applyFont="1" applyBorder="1" applyAlignment="1">
      <alignment horizontal="left" vertical="center"/>
    </xf>
    <xf numFmtId="0" fontId="4" fillId="2" borderId="0" xfId="0" applyFont="1" applyFill="1" applyAlignment="1">
      <alignment horizontal="center" vertical="center"/>
    </xf>
    <xf numFmtId="0" fontId="0" fillId="0" borderId="3"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1" fillId="3" borderId="0" xfId="0" applyFont="1" applyFill="1" applyAlignment="1">
      <alignment horizontal="center" vertical="center"/>
    </xf>
    <xf numFmtId="0" fontId="0" fillId="0" borderId="19" xfId="0" applyBorder="1" applyAlignment="1">
      <alignment horizontal="left" vertical="center" wrapText="1"/>
    </xf>
    <xf numFmtId="0" fontId="0" fillId="0" borderId="20" xfId="0" applyBorder="1" applyAlignment="1">
      <alignment horizontal="left" vertical="center" wrapText="1"/>
    </xf>
    <xf numFmtId="0" fontId="0" fillId="0" borderId="21" xfId="0" applyBorder="1" applyAlignment="1">
      <alignment horizontal="left" vertical="center" wrapText="1"/>
    </xf>
    <xf numFmtId="0" fontId="0" fillId="0" borderId="19" xfId="0" applyBorder="1" applyAlignment="1">
      <alignment horizontal="left" vertical="center"/>
    </xf>
    <xf numFmtId="0" fontId="0" fillId="0" borderId="20" xfId="0" applyBorder="1" applyAlignment="1">
      <alignment horizontal="left" vertical="center"/>
    </xf>
    <xf numFmtId="0" fontId="0" fillId="0" borderId="21" xfId="0" applyBorder="1" applyAlignment="1">
      <alignment horizontal="left" vertical="center"/>
    </xf>
    <xf numFmtId="0" fontId="0" fillId="0" borderId="31" xfId="0" applyBorder="1" applyAlignment="1">
      <alignment horizontal="left" vertical="center" indent="1"/>
    </xf>
    <xf numFmtId="0" fontId="0" fillId="0" borderId="32" xfId="0" applyBorder="1" applyAlignment="1">
      <alignment horizontal="left" vertical="center" indent="1"/>
    </xf>
    <xf numFmtId="0" fontId="0" fillId="0" borderId="33" xfId="0" applyBorder="1" applyAlignment="1">
      <alignment horizontal="left" vertical="center" indent="1"/>
    </xf>
    <xf numFmtId="0" fontId="0" fillId="0" borderId="19" xfId="0" applyBorder="1" applyAlignment="1">
      <alignment horizontal="left" vertical="center" wrapText="1" indent="1"/>
    </xf>
    <xf numFmtId="0" fontId="0" fillId="0" borderId="20" xfId="0" applyBorder="1" applyAlignment="1">
      <alignment horizontal="left" vertical="center" wrapText="1" indent="1"/>
    </xf>
    <xf numFmtId="0" fontId="0" fillId="0" borderId="21" xfId="0" applyBorder="1" applyAlignment="1">
      <alignment horizontal="left" vertical="center" wrapText="1" indent="1"/>
    </xf>
    <xf numFmtId="0" fontId="0" fillId="0" borderId="3" xfId="0" applyBorder="1" applyAlignment="1">
      <alignment horizontal="left" vertical="center" wrapText="1" indent="1"/>
    </xf>
    <xf numFmtId="0" fontId="1" fillId="0" borderId="4" xfId="0" applyFont="1" applyBorder="1" applyAlignment="1">
      <alignment horizontal="left" vertical="center" indent="1"/>
    </xf>
    <xf numFmtId="0" fontId="1" fillId="0" borderId="5" xfId="0" applyFont="1" applyBorder="1" applyAlignment="1">
      <alignment horizontal="left" vertical="center" indent="1"/>
    </xf>
    <xf numFmtId="0" fontId="1" fillId="0" borderId="6" xfId="0" applyFont="1" applyBorder="1" applyAlignment="1">
      <alignment horizontal="left" vertical="center" indent="1"/>
    </xf>
    <xf numFmtId="0" fontId="1" fillId="0" borderId="9" xfId="0" applyFont="1" applyBorder="1" applyAlignment="1">
      <alignment horizontal="left" vertical="center" indent="1"/>
    </xf>
    <xf numFmtId="0" fontId="1" fillId="0" borderId="0" xfId="0" applyFont="1" applyBorder="1" applyAlignment="1">
      <alignment horizontal="left" vertical="center" indent="1"/>
    </xf>
    <xf numFmtId="0" fontId="1" fillId="0" borderId="10" xfId="0" applyFont="1" applyBorder="1" applyAlignment="1">
      <alignment horizontal="left" vertical="center" indent="1"/>
    </xf>
    <xf numFmtId="0" fontId="0" fillId="0" borderId="4" xfId="0" applyBorder="1" applyAlignment="1">
      <alignment horizontal="left" vertical="center" wrapText="1" indent="1"/>
    </xf>
    <xf numFmtId="0" fontId="0" fillId="0" borderId="5" xfId="0" applyBorder="1" applyAlignment="1">
      <alignment horizontal="left" vertical="center" wrapText="1" indent="1"/>
    </xf>
    <xf numFmtId="0" fontId="0" fillId="0" borderId="6" xfId="0" applyBorder="1" applyAlignment="1">
      <alignment horizontal="left" vertical="center" wrapText="1" indent="1"/>
    </xf>
    <xf numFmtId="0" fontId="0" fillId="0" borderId="9" xfId="0" applyBorder="1" applyAlignment="1">
      <alignment horizontal="left" vertical="center" indent="1"/>
    </xf>
    <xf numFmtId="0" fontId="0" fillId="0" borderId="0" xfId="0" applyBorder="1" applyAlignment="1">
      <alignment horizontal="left" vertical="center" indent="1"/>
    </xf>
    <xf numFmtId="0" fontId="0" fillId="0" borderId="10" xfId="0" applyBorder="1" applyAlignment="1">
      <alignment horizontal="left" vertical="center" indent="1"/>
    </xf>
    <xf numFmtId="0" fontId="0" fillId="0" borderId="45" xfId="0" applyBorder="1" applyAlignment="1">
      <alignment horizontal="left" vertical="center" indent="1"/>
    </xf>
    <xf numFmtId="0" fontId="0" fillId="0" borderId="47" xfId="0" applyBorder="1" applyAlignment="1">
      <alignment horizontal="left" vertical="center" indent="1"/>
    </xf>
    <xf numFmtId="0" fontId="0" fillId="0" borderId="19" xfId="0" applyBorder="1" applyAlignment="1">
      <alignment horizontal="left" vertical="center" indent="1"/>
    </xf>
    <xf numFmtId="0" fontId="0" fillId="0" borderId="20" xfId="0" applyBorder="1" applyAlignment="1">
      <alignment horizontal="left" vertical="center" indent="1"/>
    </xf>
    <xf numFmtId="0" fontId="0" fillId="0" borderId="21" xfId="0" applyBorder="1" applyAlignment="1">
      <alignment horizontal="left" vertical="center" indent="1"/>
    </xf>
    <xf numFmtId="0" fontId="0" fillId="0" borderId="4" xfId="0" applyBorder="1"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9" xfId="0" applyBorder="1" applyAlignment="1">
      <alignment horizontal="left" vertical="center"/>
    </xf>
    <xf numFmtId="0" fontId="0" fillId="0" borderId="0" xfId="0" applyBorder="1" applyAlignment="1">
      <alignment horizontal="left" vertical="center"/>
    </xf>
    <xf numFmtId="0" fontId="0" fillId="0" borderId="10" xfId="0" applyBorder="1" applyAlignment="1">
      <alignment horizontal="left" vertical="center"/>
    </xf>
    <xf numFmtId="0" fontId="0" fillId="0" borderId="7" xfId="0" applyBorder="1" applyAlignment="1">
      <alignment horizontal="left" vertical="center"/>
    </xf>
    <xf numFmtId="0" fontId="0" fillId="0" borderId="2" xfId="0" applyBorder="1" applyAlignment="1">
      <alignment horizontal="left" vertical="center"/>
    </xf>
    <xf numFmtId="0" fontId="0" fillId="0" borderId="8" xfId="0" applyBorder="1" applyAlignment="1">
      <alignment horizontal="left" vertical="center"/>
    </xf>
    <xf numFmtId="0" fontId="1" fillId="0" borderId="4" xfId="0" applyFont="1" applyBorder="1" applyAlignment="1">
      <alignment horizontal="left" vertical="center" indent="2"/>
    </xf>
    <xf numFmtId="0" fontId="1" fillId="0" borderId="5" xfId="0" applyFont="1" applyBorder="1" applyAlignment="1">
      <alignment horizontal="left" vertical="center" indent="2"/>
    </xf>
    <xf numFmtId="0" fontId="1" fillId="0" borderId="6" xfId="0" applyFont="1" applyBorder="1" applyAlignment="1">
      <alignment horizontal="left" vertical="center" indent="2"/>
    </xf>
    <xf numFmtId="0" fontId="1" fillId="0" borderId="9" xfId="0" applyFont="1" applyBorder="1" applyAlignment="1">
      <alignment horizontal="left" vertical="center" indent="2"/>
    </xf>
    <xf numFmtId="0" fontId="1" fillId="0" borderId="0" xfId="0" applyFont="1" applyBorder="1" applyAlignment="1">
      <alignment horizontal="left" vertical="center" indent="2"/>
    </xf>
    <xf numFmtId="0" fontId="1" fillId="0" borderId="10" xfId="0" applyFont="1" applyBorder="1" applyAlignment="1">
      <alignment horizontal="left" vertical="center" indent="2"/>
    </xf>
    <xf numFmtId="0" fontId="17" fillId="0" borderId="0" xfId="0" applyFont="1" applyFill="1" applyBorder="1" applyAlignment="1">
      <alignment horizontal="left" vertical="center" wrapText="1"/>
    </xf>
    <xf numFmtId="0" fontId="0" fillId="0" borderId="29" xfId="0" applyBorder="1" applyAlignment="1">
      <alignment horizontal="left" vertical="center" indent="1"/>
    </xf>
    <xf numFmtId="0" fontId="0" fillId="0" borderId="25" xfId="0" applyBorder="1" applyAlignment="1">
      <alignment horizontal="left" vertical="center" indent="1"/>
    </xf>
    <xf numFmtId="0" fontId="0" fillId="0" borderId="30" xfId="0" applyBorder="1" applyAlignment="1">
      <alignment horizontal="left" vertical="center" indent="1"/>
    </xf>
    <xf numFmtId="0" fontId="0" fillId="0" borderId="27" xfId="0" applyBorder="1" applyAlignment="1">
      <alignment horizontal="left" vertical="center" indent="1"/>
    </xf>
    <xf numFmtId="0" fontId="0" fillId="0" borderId="27" xfId="0" applyBorder="1" applyAlignment="1">
      <alignment horizontal="left" vertical="center" wrapText="1" indent="1"/>
    </xf>
    <xf numFmtId="0" fontId="1" fillId="0" borderId="27" xfId="0" applyFont="1" applyBorder="1" applyAlignment="1">
      <alignment horizontal="left" vertical="center" indent="1"/>
    </xf>
    <xf numFmtId="0" fontId="5" fillId="17" borderId="27" xfId="0" applyFont="1" applyFill="1" applyBorder="1" applyAlignment="1">
      <alignment horizontal="center" vertical="center"/>
    </xf>
    <xf numFmtId="0" fontId="5" fillId="17" borderId="26" xfId="0" applyFont="1" applyFill="1" applyBorder="1" applyAlignment="1">
      <alignment horizontal="center" vertical="center"/>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3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0"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7"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4" xfId="0" applyFont="1" applyBorder="1" applyAlignment="1">
      <alignment horizontal="center" vertical="center" wrapText="1"/>
    </xf>
    <xf numFmtId="0" fontId="0" fillId="0" borderId="29" xfId="0" applyBorder="1" applyAlignment="1">
      <alignment horizontal="left" vertical="center" wrapText="1"/>
    </xf>
    <xf numFmtId="0" fontId="0" fillId="0" borderId="25" xfId="0" applyBorder="1" applyAlignment="1">
      <alignment horizontal="left" vertical="center" wrapText="1"/>
    </xf>
    <xf numFmtId="0" fontId="0" fillId="0" borderId="30" xfId="0" applyBorder="1" applyAlignment="1">
      <alignment horizontal="left" vertical="center" wrapText="1"/>
    </xf>
    <xf numFmtId="0" fontId="0" fillId="0" borderId="24" xfId="0" applyBorder="1" applyAlignment="1">
      <alignment horizontal="left" vertical="center" wrapText="1"/>
    </xf>
    <xf numFmtId="0" fontId="0" fillId="0" borderId="0" xfId="0" applyBorder="1" applyAlignment="1">
      <alignment horizontal="left" vertical="center" wrapText="1"/>
    </xf>
    <xf numFmtId="0" fontId="0" fillId="0" borderId="23" xfId="0" applyBorder="1" applyAlignment="1">
      <alignment horizontal="left" vertical="center" wrapText="1"/>
    </xf>
    <xf numFmtId="0" fontId="0" fillId="0" borderId="31" xfId="0" applyBorder="1" applyAlignment="1">
      <alignment horizontal="left" vertical="center" wrapText="1"/>
    </xf>
    <xf numFmtId="0" fontId="0" fillId="0" borderId="32" xfId="0" applyBorder="1" applyAlignment="1">
      <alignment horizontal="left" vertical="center" wrapText="1"/>
    </xf>
    <xf numFmtId="0" fontId="0" fillId="0" borderId="33" xfId="0" applyBorder="1" applyAlignment="1">
      <alignment horizontal="left" vertical="center" wrapText="1"/>
    </xf>
    <xf numFmtId="0" fontId="13" fillId="11" borderId="27" xfId="0" applyFont="1" applyFill="1" applyBorder="1" applyAlignment="1">
      <alignment horizontal="center" vertical="center" wrapText="1"/>
    </xf>
    <xf numFmtId="0" fontId="13" fillId="12" borderId="27" xfId="0" applyFont="1" applyFill="1" applyBorder="1" applyAlignment="1">
      <alignment horizontal="center" vertical="center" wrapText="1"/>
    </xf>
    <xf numFmtId="0" fontId="13" fillId="10" borderId="27" xfId="0" applyFont="1" applyFill="1" applyBorder="1" applyAlignment="1">
      <alignment horizontal="center" vertical="center" wrapText="1"/>
    </xf>
    <xf numFmtId="164" fontId="1" fillId="0" borderId="24" xfId="2" applyFont="1" applyBorder="1" applyAlignment="1">
      <alignment horizontal="center" vertical="center"/>
    </xf>
    <xf numFmtId="0" fontId="11" fillId="2" borderId="27" xfId="0" applyFont="1" applyFill="1" applyBorder="1" applyAlignment="1">
      <alignment horizontal="center" vertical="center"/>
    </xf>
    <xf numFmtId="0" fontId="11" fillId="2" borderId="27" xfId="0" applyFont="1" applyFill="1" applyBorder="1" applyAlignment="1">
      <alignment horizontal="center" vertical="center" wrapText="1"/>
    </xf>
    <xf numFmtId="0" fontId="1" fillId="0" borderId="24" xfId="0" applyFont="1" applyBorder="1" applyAlignment="1">
      <alignment horizontal="left" vertical="center" wrapText="1" indent="1"/>
    </xf>
    <xf numFmtId="0" fontId="1" fillId="0" borderId="0" xfId="0" applyFont="1" applyBorder="1" applyAlignment="1">
      <alignment horizontal="left" vertical="center" wrapText="1" indent="1"/>
    </xf>
    <xf numFmtId="0" fontId="1" fillId="0" borderId="23" xfId="0" applyFont="1" applyBorder="1" applyAlignment="1">
      <alignment horizontal="left" vertical="center" wrapText="1" indent="1"/>
    </xf>
    <xf numFmtId="0" fontId="1" fillId="0" borderId="31" xfId="0" applyFont="1" applyBorder="1" applyAlignment="1">
      <alignment horizontal="left" vertical="center" wrapText="1" indent="1"/>
    </xf>
    <xf numFmtId="0" fontId="1" fillId="0" borderId="32" xfId="0" applyFont="1" applyBorder="1" applyAlignment="1">
      <alignment horizontal="left" vertical="center" wrapText="1" indent="1"/>
    </xf>
    <xf numFmtId="0" fontId="1" fillId="0" borderId="33" xfId="0" applyFont="1" applyBorder="1" applyAlignment="1">
      <alignment horizontal="left" vertical="center" wrapText="1" indent="1"/>
    </xf>
    <xf numFmtId="0" fontId="1" fillId="0" borderId="4" xfId="0" applyFont="1" applyBorder="1" applyAlignment="1">
      <alignment vertical="center" wrapText="1"/>
    </xf>
    <xf numFmtId="0" fontId="1" fillId="0" borderId="5" xfId="0" applyFont="1" applyBorder="1" applyAlignment="1">
      <alignment vertical="center" wrapText="1"/>
    </xf>
    <xf numFmtId="0" fontId="1" fillId="0" borderId="9" xfId="0" applyFont="1" applyBorder="1" applyAlignment="1">
      <alignment vertical="center" wrapText="1"/>
    </xf>
    <xf numFmtId="0" fontId="1" fillId="0" borderId="0" xfId="0" applyFont="1" applyBorder="1" applyAlignment="1">
      <alignment vertical="center" wrapText="1"/>
    </xf>
    <xf numFmtId="0" fontId="1" fillId="0" borderId="7" xfId="0" applyFont="1" applyBorder="1" applyAlignment="1">
      <alignment vertical="center" wrapText="1"/>
    </xf>
    <xf numFmtId="0" fontId="1" fillId="0" borderId="2" xfId="0" applyFont="1" applyBorder="1" applyAlignment="1">
      <alignment vertical="center" wrapText="1"/>
    </xf>
    <xf numFmtId="0" fontId="0" fillId="0" borderId="29" xfId="0" applyBorder="1" applyAlignment="1">
      <alignment horizontal="left" vertical="center"/>
    </xf>
    <xf numFmtId="0" fontId="0" fillId="0" borderId="25" xfId="0" applyBorder="1" applyAlignment="1">
      <alignment horizontal="left" vertical="center"/>
    </xf>
    <xf numFmtId="0" fontId="0" fillId="0" borderId="30" xfId="0" applyBorder="1" applyAlignment="1">
      <alignment horizontal="left" vertical="center"/>
    </xf>
    <xf numFmtId="0" fontId="0" fillId="0" borderId="24" xfId="0" applyBorder="1" applyAlignment="1">
      <alignment horizontal="left" vertical="center"/>
    </xf>
    <xf numFmtId="0" fontId="0" fillId="0" borderId="23" xfId="0" applyBorder="1" applyAlignment="1">
      <alignment horizontal="left" vertical="center"/>
    </xf>
    <xf numFmtId="0" fontId="0" fillId="0" borderId="31" xfId="0" applyBorder="1" applyAlignment="1">
      <alignment horizontal="left" vertical="center"/>
    </xf>
    <xf numFmtId="0" fontId="0" fillId="0" borderId="32" xfId="0" applyBorder="1" applyAlignment="1">
      <alignment horizontal="left" vertical="center"/>
    </xf>
    <xf numFmtId="0" fontId="0" fillId="0" borderId="33" xfId="0" applyBorder="1" applyAlignment="1">
      <alignment horizontal="left" vertical="center"/>
    </xf>
    <xf numFmtId="10" fontId="0" fillId="0" borderId="31" xfId="3" applyNumberFormat="1" applyFont="1" applyBorder="1" applyAlignment="1">
      <alignment horizontal="center" vertical="center" wrapText="1"/>
    </xf>
    <xf numFmtId="10" fontId="0" fillId="0" borderId="32" xfId="3" applyNumberFormat="1" applyFont="1" applyBorder="1" applyAlignment="1">
      <alignment horizontal="center" vertical="center" wrapText="1"/>
    </xf>
    <xf numFmtId="10" fontId="0" fillId="0" borderId="33" xfId="3" applyNumberFormat="1" applyFont="1" applyBorder="1" applyAlignment="1">
      <alignment horizontal="center" vertical="center" wrapText="1"/>
    </xf>
    <xf numFmtId="0" fontId="1" fillId="0" borderId="5" xfId="0" applyFont="1" applyBorder="1" applyAlignment="1">
      <alignment horizontal="left" vertical="center" wrapText="1"/>
    </xf>
    <xf numFmtId="0" fontId="1" fillId="0" borderId="38" xfId="0" applyFont="1" applyBorder="1" applyAlignment="1">
      <alignment horizontal="left" vertical="center" wrapText="1"/>
    </xf>
    <xf numFmtId="0" fontId="1" fillId="0" borderId="9" xfId="0" applyFont="1" applyBorder="1" applyAlignment="1">
      <alignment horizontal="left" vertical="center" wrapText="1"/>
    </xf>
    <xf numFmtId="0" fontId="1" fillId="0" borderId="0" xfId="0" applyFont="1" applyBorder="1" applyAlignment="1">
      <alignment horizontal="left" vertical="center" wrapText="1"/>
    </xf>
    <xf numFmtId="0" fontId="1" fillId="0" borderId="23" xfId="0" applyFont="1" applyBorder="1" applyAlignment="1">
      <alignment horizontal="left" vertical="center" wrapText="1"/>
    </xf>
    <xf numFmtId="0" fontId="1" fillId="0" borderId="7" xfId="0" applyFont="1" applyBorder="1" applyAlignment="1">
      <alignment horizontal="left" vertical="center" wrapText="1"/>
    </xf>
    <xf numFmtId="0" fontId="1" fillId="0" borderId="2" xfId="0" applyFont="1" applyBorder="1" applyAlignment="1">
      <alignment horizontal="left" vertical="center" wrapText="1"/>
    </xf>
    <xf numFmtId="0" fontId="1" fillId="0" borderId="34" xfId="0" applyFont="1" applyBorder="1" applyAlignment="1">
      <alignment horizontal="left" vertical="center" wrapText="1"/>
    </xf>
    <xf numFmtId="0" fontId="11" fillId="2" borderId="31" xfId="0" applyFont="1" applyFill="1" applyBorder="1" applyAlignment="1">
      <alignment horizontal="center" vertical="center"/>
    </xf>
    <xf numFmtId="0" fontId="11" fillId="2" borderId="32" xfId="0" applyFont="1" applyFill="1" applyBorder="1" applyAlignment="1">
      <alignment horizontal="center" vertical="center"/>
    </xf>
    <xf numFmtId="10" fontId="1" fillId="0" borderId="35" xfId="3" applyNumberFormat="1" applyFont="1" applyBorder="1" applyAlignment="1">
      <alignment horizontal="center" vertical="center"/>
    </xf>
    <xf numFmtId="10" fontId="1" fillId="0" borderId="36" xfId="3" applyNumberFormat="1" applyFont="1" applyBorder="1" applyAlignment="1">
      <alignment horizontal="center" vertical="center"/>
    </xf>
    <xf numFmtId="164" fontId="1" fillId="0" borderId="37" xfId="2" applyFont="1" applyBorder="1" applyAlignment="1">
      <alignment horizontal="center" vertical="center"/>
    </xf>
    <xf numFmtId="164" fontId="1" fillId="0" borderId="35" xfId="2" applyFont="1" applyBorder="1" applyAlignment="1">
      <alignment horizontal="center" vertical="center"/>
    </xf>
    <xf numFmtId="164" fontId="1" fillId="0" borderId="36" xfId="2" applyFont="1" applyBorder="1" applyAlignment="1">
      <alignment horizontal="center" vertical="center"/>
    </xf>
    <xf numFmtId="164" fontId="1" fillId="0" borderId="31" xfId="2" applyFont="1" applyBorder="1" applyAlignment="1">
      <alignment horizontal="center" vertical="center"/>
    </xf>
    <xf numFmtId="0" fontId="13" fillId="11" borderId="37" xfId="0" applyFont="1" applyFill="1" applyBorder="1" applyAlignment="1">
      <alignment horizontal="center" vertical="center"/>
    </xf>
    <xf numFmtId="0" fontId="13" fillId="11" borderId="36" xfId="0" applyFont="1" applyFill="1" applyBorder="1" applyAlignment="1">
      <alignment horizontal="center" vertical="center"/>
    </xf>
    <xf numFmtId="0" fontId="13" fillId="12" borderId="37" xfId="0" applyFont="1" applyFill="1" applyBorder="1" applyAlignment="1">
      <alignment horizontal="center" vertical="center"/>
    </xf>
    <xf numFmtId="0" fontId="13" fillId="12" borderId="36" xfId="0" applyFont="1" applyFill="1" applyBorder="1" applyAlignment="1">
      <alignment horizontal="center" vertical="center"/>
    </xf>
    <xf numFmtId="0" fontId="13" fillId="10" borderId="37" xfId="0" applyFont="1" applyFill="1" applyBorder="1" applyAlignment="1">
      <alignment horizontal="center" vertical="center"/>
    </xf>
    <xf numFmtId="0" fontId="13" fillId="10" borderId="36" xfId="0" applyFont="1" applyFill="1" applyBorder="1" applyAlignment="1">
      <alignment horizontal="center" vertical="center"/>
    </xf>
    <xf numFmtId="0" fontId="1" fillId="0" borderId="35" xfId="0" applyFont="1" applyBorder="1" applyAlignment="1">
      <alignment horizontal="center" vertical="center"/>
    </xf>
    <xf numFmtId="0" fontId="1" fillId="0" borderId="36" xfId="0" applyFont="1" applyBorder="1" applyAlignment="1">
      <alignment horizontal="center" vertical="center"/>
    </xf>
    <xf numFmtId="0" fontId="5" fillId="3" borderId="27" xfId="0" applyFont="1" applyFill="1" applyBorder="1" applyAlignment="1">
      <alignment horizontal="center" vertical="center"/>
    </xf>
    <xf numFmtId="0" fontId="11" fillId="2" borderId="37" xfId="0" applyFont="1" applyFill="1" applyBorder="1" applyAlignment="1">
      <alignment horizontal="center" vertical="center" wrapText="1"/>
    </xf>
    <xf numFmtId="0" fontId="0" fillId="0" borderId="27" xfId="0" applyBorder="1" applyAlignment="1">
      <alignment horizontal="left" vertical="center" wrapText="1"/>
    </xf>
    <xf numFmtId="0" fontId="0" fillId="0" borderId="27" xfId="0" applyBorder="1" applyAlignment="1">
      <alignment horizontal="center" vertical="center" wrapText="1"/>
    </xf>
    <xf numFmtId="0" fontId="0" fillId="0" borderId="27" xfId="0" applyBorder="1" applyAlignment="1">
      <alignment horizontal="left" vertical="center"/>
    </xf>
    <xf numFmtId="0" fontId="0" fillId="0" borderId="29" xfId="0" applyBorder="1" applyAlignment="1">
      <alignment horizontal="center" vertical="center" wrapText="1"/>
    </xf>
    <xf numFmtId="0" fontId="0" fillId="0" borderId="25" xfId="0" applyBorder="1" applyAlignment="1">
      <alignment horizontal="center" vertical="center" wrapText="1"/>
    </xf>
    <xf numFmtId="0" fontId="0" fillId="0" borderId="30" xfId="0" applyBorder="1" applyAlignment="1">
      <alignment horizontal="center" vertical="center" wrapText="1"/>
    </xf>
    <xf numFmtId="0" fontId="0" fillId="0" borderId="24" xfId="0" applyBorder="1" applyAlignment="1">
      <alignment horizontal="center" vertical="center" wrapText="1"/>
    </xf>
    <xf numFmtId="0" fontId="0" fillId="0" borderId="0" xfId="0" applyBorder="1" applyAlignment="1">
      <alignment horizontal="center" vertical="center" wrapText="1"/>
    </xf>
    <xf numFmtId="0" fontId="0" fillId="0" borderId="23" xfId="0" applyBorder="1" applyAlignment="1">
      <alignment horizontal="center" vertical="center" wrapText="1"/>
    </xf>
    <xf numFmtId="0" fontId="0" fillId="0" borderId="39" xfId="0" applyBorder="1" applyAlignment="1">
      <alignment horizontal="center" vertical="center" wrapText="1"/>
    </xf>
    <xf numFmtId="0" fontId="0" fillId="0" borderId="2" xfId="0" applyBorder="1" applyAlignment="1">
      <alignment horizontal="center" vertical="center" wrapText="1"/>
    </xf>
    <xf numFmtId="0" fontId="0" fillId="0" borderId="34" xfId="0" applyBorder="1" applyAlignment="1">
      <alignment horizontal="center" vertical="center" wrapText="1"/>
    </xf>
    <xf numFmtId="17" fontId="1" fillId="0" borderId="37" xfId="0" applyNumberFormat="1" applyFont="1" applyBorder="1" applyAlignment="1">
      <alignment horizontal="center" vertical="center"/>
    </xf>
    <xf numFmtId="17" fontId="1" fillId="0" borderId="35" xfId="0" applyNumberFormat="1" applyFont="1" applyBorder="1" applyAlignment="1">
      <alignment horizontal="center" vertical="center"/>
    </xf>
    <xf numFmtId="0" fontId="13" fillId="10" borderId="35" xfId="0" applyFont="1" applyFill="1" applyBorder="1" applyAlignment="1">
      <alignment horizontal="center" vertical="center"/>
    </xf>
    <xf numFmtId="0" fontId="0" fillId="0" borderId="40" xfId="0" applyBorder="1" applyAlignment="1">
      <alignment horizontal="left" vertical="center" wrapText="1"/>
    </xf>
    <xf numFmtId="0" fontId="0" fillId="0" borderId="5" xfId="0" applyBorder="1" applyAlignment="1">
      <alignment horizontal="left" vertical="center" wrapText="1"/>
    </xf>
    <xf numFmtId="0" fontId="0" fillId="0" borderId="38" xfId="0" applyBorder="1" applyAlignment="1">
      <alignment horizontal="left" vertical="center" wrapText="1"/>
    </xf>
    <xf numFmtId="17" fontId="1" fillId="0" borderId="41" xfId="0" applyNumberFormat="1" applyFont="1" applyBorder="1" applyAlignment="1">
      <alignment horizontal="center" vertical="center"/>
    </xf>
    <xf numFmtId="0" fontId="1" fillId="0" borderId="29" xfId="0" applyFont="1" applyBorder="1" applyAlignment="1">
      <alignment horizontal="left" vertical="center" wrapText="1"/>
    </xf>
    <xf numFmtId="0" fontId="1" fillId="0" borderId="25" xfId="0" applyFont="1" applyBorder="1" applyAlignment="1">
      <alignment horizontal="left" vertical="center" wrapText="1"/>
    </xf>
    <xf numFmtId="0" fontId="1" fillId="0" borderId="30" xfId="0" applyFont="1" applyBorder="1" applyAlignment="1">
      <alignment horizontal="left" vertical="center" wrapText="1"/>
    </xf>
    <xf numFmtId="0" fontId="1" fillId="0" borderId="24" xfId="0" applyFont="1" applyBorder="1" applyAlignment="1">
      <alignment horizontal="left" vertical="center" wrapText="1"/>
    </xf>
    <xf numFmtId="0" fontId="1" fillId="0" borderId="31" xfId="0" applyFont="1" applyBorder="1" applyAlignment="1">
      <alignment horizontal="left" vertical="center" wrapText="1"/>
    </xf>
    <xf numFmtId="0" fontId="1" fillId="0" borderId="32" xfId="0" applyFont="1" applyBorder="1" applyAlignment="1">
      <alignment horizontal="left" vertical="center" wrapText="1"/>
    </xf>
    <xf numFmtId="0" fontId="1" fillId="0" borderId="33" xfId="0" applyFont="1" applyBorder="1" applyAlignment="1">
      <alignment horizontal="left" vertical="center" wrapText="1"/>
    </xf>
    <xf numFmtId="9" fontId="1" fillId="0" borderId="35" xfId="3" applyNumberFormat="1" applyFont="1" applyFill="1" applyBorder="1" applyAlignment="1">
      <alignment horizontal="center" vertical="center" wrapText="1"/>
    </xf>
    <xf numFmtId="9" fontId="1" fillId="0" borderId="36" xfId="3" applyNumberFormat="1" applyFont="1" applyFill="1" applyBorder="1" applyAlignment="1">
      <alignment horizontal="center" vertical="center" wrapText="1"/>
    </xf>
    <xf numFmtId="10" fontId="1" fillId="0" borderId="37" xfId="3" applyNumberFormat="1" applyFont="1" applyFill="1" applyBorder="1" applyAlignment="1">
      <alignment horizontal="center" vertical="center" wrapText="1"/>
    </xf>
    <xf numFmtId="10" fontId="1" fillId="0" borderId="35" xfId="3" applyNumberFormat="1" applyFont="1" applyFill="1" applyBorder="1" applyAlignment="1">
      <alignment horizontal="center" vertical="center" wrapText="1"/>
    </xf>
    <xf numFmtId="10" fontId="1" fillId="0" borderId="36" xfId="3" applyNumberFormat="1" applyFont="1" applyFill="1" applyBorder="1" applyAlignment="1">
      <alignment horizontal="center" vertical="center" wrapText="1"/>
    </xf>
    <xf numFmtId="0" fontId="17" fillId="0" borderId="27" xfId="0" applyFont="1" applyFill="1" applyBorder="1" applyAlignment="1">
      <alignment horizontal="left" vertical="center" wrapText="1"/>
    </xf>
    <xf numFmtId="0" fontId="17" fillId="0" borderId="29" xfId="0" applyFont="1" applyFill="1" applyBorder="1" applyAlignment="1">
      <alignment horizontal="left" vertical="center" wrapText="1"/>
    </xf>
    <xf numFmtId="0" fontId="17" fillId="0" borderId="25" xfId="0" applyFont="1" applyFill="1" applyBorder="1" applyAlignment="1">
      <alignment horizontal="left" vertical="center" wrapText="1"/>
    </xf>
    <xf numFmtId="0" fontId="17" fillId="0" borderId="30" xfId="0" applyFont="1" applyFill="1" applyBorder="1" applyAlignment="1">
      <alignment horizontal="left" vertical="center" wrapText="1"/>
    </xf>
    <xf numFmtId="0" fontId="17" fillId="0" borderId="24" xfId="0" applyFont="1" applyFill="1" applyBorder="1" applyAlignment="1">
      <alignment horizontal="left" vertical="center" wrapText="1"/>
    </xf>
    <xf numFmtId="0" fontId="17" fillId="0" borderId="23" xfId="0" applyFont="1" applyFill="1" applyBorder="1" applyAlignment="1">
      <alignment horizontal="left" vertical="center" wrapText="1"/>
    </xf>
    <xf numFmtId="0" fontId="17" fillId="0" borderId="31" xfId="0" applyFont="1" applyFill="1" applyBorder="1" applyAlignment="1">
      <alignment horizontal="left" vertical="center" wrapText="1"/>
    </xf>
    <xf numFmtId="0" fontId="17" fillId="0" borderId="32" xfId="0" applyFont="1" applyFill="1" applyBorder="1" applyAlignment="1">
      <alignment horizontal="left" vertical="center" wrapText="1"/>
    </xf>
    <xf numFmtId="0" fontId="17" fillId="0" borderId="33" xfId="0" applyFont="1" applyFill="1" applyBorder="1" applyAlignment="1">
      <alignment horizontal="left" vertical="center" wrapText="1"/>
    </xf>
    <xf numFmtId="0" fontId="17" fillId="0" borderId="27" xfId="0" applyFont="1" applyFill="1" applyBorder="1" applyAlignment="1">
      <alignment horizontal="center" vertical="center" wrapText="1"/>
    </xf>
    <xf numFmtId="0" fontId="17" fillId="0" borderId="27" xfId="0" applyFont="1" applyBorder="1" applyAlignment="1">
      <alignment horizontal="center" wrapText="1"/>
    </xf>
    <xf numFmtId="0" fontId="1" fillId="0" borderId="27" xfId="0" applyFont="1" applyBorder="1" applyAlignment="1">
      <alignment horizontal="left" vertical="center" wrapText="1"/>
    </xf>
    <xf numFmtId="9" fontId="17" fillId="0" borderId="37" xfId="3" applyFont="1" applyBorder="1" applyAlignment="1">
      <alignment horizontal="center" vertical="center" wrapText="1"/>
    </xf>
    <xf numFmtId="9" fontId="17" fillId="0" borderId="35" xfId="3" applyFont="1" applyBorder="1" applyAlignment="1">
      <alignment horizontal="center" vertical="center" wrapText="1"/>
    </xf>
    <xf numFmtId="9" fontId="17" fillId="0" borderId="36" xfId="3" applyFont="1" applyBorder="1" applyAlignment="1">
      <alignment horizontal="center" vertical="center" wrapText="1"/>
    </xf>
    <xf numFmtId="0" fontId="11" fillId="2" borderId="29" xfId="0" applyFont="1" applyFill="1" applyBorder="1" applyAlignment="1">
      <alignment horizontal="center" vertical="center"/>
    </xf>
    <xf numFmtId="0" fontId="11" fillId="2" borderId="30" xfId="0" applyFont="1" applyFill="1" applyBorder="1" applyAlignment="1">
      <alignment horizontal="center" vertical="center"/>
    </xf>
    <xf numFmtId="0" fontId="11" fillId="2" borderId="33" xfId="0" applyFont="1" applyFill="1" applyBorder="1" applyAlignment="1">
      <alignment horizontal="center" vertical="center"/>
    </xf>
    <xf numFmtId="0" fontId="0" fillId="0" borderId="1" xfId="0" applyBorder="1" applyAlignment="1">
      <alignment horizontal="center" vertical="center"/>
    </xf>
    <xf numFmtId="0" fontId="0" fillId="0" borderId="53" xfId="0" applyNumberFormat="1" applyBorder="1" applyAlignment="1">
      <alignment horizontal="center" vertical="center"/>
    </xf>
    <xf numFmtId="9" fontId="0" fillId="0" borderId="27" xfId="3" applyFont="1" applyBorder="1" applyAlignment="1">
      <alignment horizontal="center" vertical="center"/>
    </xf>
    <xf numFmtId="9" fontId="0" fillId="0" borderId="37" xfId="3" applyFont="1" applyBorder="1" applyAlignment="1">
      <alignment horizontal="center" vertical="center"/>
    </xf>
    <xf numFmtId="0" fontId="0" fillId="13" borderId="37" xfId="0" applyFill="1" applyBorder="1" applyAlignment="1">
      <alignment horizontal="center" vertical="center"/>
    </xf>
    <xf numFmtId="0" fontId="0" fillId="13" borderId="36" xfId="0" applyFill="1" applyBorder="1" applyAlignment="1">
      <alignment horizontal="center" vertical="center"/>
    </xf>
    <xf numFmtId="0" fontId="0" fillId="0" borderId="37" xfId="0" applyBorder="1" applyAlignment="1">
      <alignment horizontal="center" vertical="center"/>
    </xf>
    <xf numFmtId="0" fontId="0" fillId="0" borderId="36" xfId="0" applyBorder="1" applyAlignment="1">
      <alignment horizontal="center" vertical="center"/>
    </xf>
    <xf numFmtId="164" fontId="11" fillId="2" borderId="4" xfId="2" applyFont="1" applyFill="1" applyBorder="1" applyAlignment="1">
      <alignment horizontal="center" vertical="center"/>
    </xf>
    <xf numFmtId="164" fontId="11" fillId="2" borderId="6" xfId="2" applyFont="1" applyFill="1" applyBorder="1" applyAlignment="1">
      <alignment horizontal="center" vertical="center"/>
    </xf>
    <xf numFmtId="164" fontId="11" fillId="2" borderId="7" xfId="2" applyFont="1" applyFill="1" applyBorder="1" applyAlignment="1">
      <alignment horizontal="center" vertical="center"/>
    </xf>
    <xf numFmtId="164" fontId="11" fillId="2" borderId="2" xfId="2" applyFont="1" applyFill="1" applyBorder="1" applyAlignment="1">
      <alignment horizontal="center" vertical="center"/>
    </xf>
    <xf numFmtId="0" fontId="11" fillId="2" borderId="40" xfId="0" applyFont="1" applyFill="1" applyBorder="1" applyAlignment="1">
      <alignment horizontal="center" vertical="center" wrapText="1"/>
    </xf>
    <xf numFmtId="0" fontId="11" fillId="2" borderId="5" xfId="0" applyFont="1" applyFill="1" applyBorder="1" applyAlignment="1">
      <alignment horizontal="center" vertical="center" wrapText="1"/>
    </xf>
    <xf numFmtId="0" fontId="11" fillId="2" borderId="39" xfId="0" applyFont="1" applyFill="1" applyBorder="1" applyAlignment="1">
      <alignment horizontal="center" vertical="center" wrapText="1"/>
    </xf>
    <xf numFmtId="0" fontId="11" fillId="2" borderId="2" xfId="0" applyFont="1" applyFill="1" applyBorder="1" applyAlignment="1">
      <alignment horizontal="center" vertical="center" wrapText="1"/>
    </xf>
    <xf numFmtId="164" fontId="11" fillId="2" borderId="8" xfId="2" applyFont="1" applyFill="1" applyBorder="1" applyAlignment="1">
      <alignment horizontal="center" vertic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50" xfId="0" applyBorder="1" applyAlignment="1">
      <alignment horizontal="center" vertical="center" wrapText="1"/>
    </xf>
    <xf numFmtId="0" fontId="0" fillId="0" borderId="37"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3" xfId="0" applyBorder="1" applyAlignment="1">
      <alignment horizontal="center" vertical="center"/>
    </xf>
    <xf numFmtId="0" fontId="5" fillId="3" borderId="24" xfId="0" applyFont="1" applyFill="1" applyBorder="1" applyAlignment="1">
      <alignment horizontal="center" vertical="center"/>
    </xf>
    <xf numFmtId="0" fontId="5" fillId="3" borderId="0" xfId="0" applyFont="1" applyFill="1" applyBorder="1" applyAlignment="1">
      <alignment horizontal="center" vertical="center"/>
    </xf>
    <xf numFmtId="0" fontId="0" fillId="0" borderId="29" xfId="0" applyBorder="1" applyAlignment="1">
      <alignment horizontal="center" wrapText="1"/>
    </xf>
    <xf numFmtId="0" fontId="0" fillId="0" borderId="30" xfId="0" applyBorder="1" applyAlignment="1">
      <alignment horizontal="center" wrapText="1"/>
    </xf>
    <xf numFmtId="0" fontId="0" fillId="0" borderId="31" xfId="0" applyBorder="1" applyAlignment="1">
      <alignment horizontal="center" wrapText="1"/>
    </xf>
    <xf numFmtId="0" fontId="0" fillId="0" borderId="33" xfId="0" applyBorder="1" applyAlignment="1">
      <alignment horizontal="center" wrapText="1"/>
    </xf>
    <xf numFmtId="0" fontId="0" fillId="0" borderId="31" xfId="0" applyBorder="1" applyAlignment="1">
      <alignment horizontal="center" vertical="center" wrapText="1"/>
    </xf>
    <xf numFmtId="0" fontId="0" fillId="0" borderId="33" xfId="0" applyBorder="1" applyAlignment="1">
      <alignment horizontal="center" vertical="center" wrapText="1"/>
    </xf>
    <xf numFmtId="0" fontId="0" fillId="0" borderId="29" xfId="0" applyFont="1" applyBorder="1" applyAlignment="1">
      <alignment horizontal="left" vertical="center"/>
    </xf>
    <xf numFmtId="0" fontId="0" fillId="0" borderId="25" xfId="0" applyFont="1" applyBorder="1" applyAlignment="1">
      <alignment horizontal="left" vertical="center"/>
    </xf>
    <xf numFmtId="0" fontId="0" fillId="0" borderId="30" xfId="0" applyFont="1" applyBorder="1" applyAlignment="1">
      <alignment horizontal="left" vertical="center"/>
    </xf>
    <xf numFmtId="0" fontId="0" fillId="0" borderId="31" xfId="0" applyFont="1" applyBorder="1" applyAlignment="1">
      <alignment horizontal="left" vertical="center"/>
    </xf>
    <xf numFmtId="0" fontId="0" fillId="0" borderId="32" xfId="0" applyFont="1" applyBorder="1" applyAlignment="1">
      <alignment horizontal="left" vertical="center"/>
    </xf>
    <xf numFmtId="0" fontId="0" fillId="0" borderId="33" xfId="0" applyFont="1" applyBorder="1" applyAlignment="1">
      <alignment horizontal="left" vertical="center"/>
    </xf>
    <xf numFmtId="0" fontId="0" fillId="0" borderId="0" xfId="0" applyAlignment="1">
      <alignment horizontal="center"/>
    </xf>
    <xf numFmtId="0" fontId="11" fillId="2" borderId="26" xfId="0" applyFont="1" applyFill="1" applyBorder="1" applyAlignment="1">
      <alignment horizontal="center" vertical="center"/>
    </xf>
    <xf numFmtId="0" fontId="11" fillId="2" borderId="22" xfId="0" applyFont="1" applyFill="1" applyBorder="1" applyAlignment="1">
      <alignment horizontal="center" vertical="center"/>
    </xf>
    <xf numFmtId="0" fontId="11" fillId="2" borderId="28" xfId="0" applyFont="1" applyFill="1" applyBorder="1" applyAlignment="1">
      <alignment horizontal="center" vertical="center"/>
    </xf>
    <xf numFmtId="0" fontId="0" fillId="0" borderId="35" xfId="0" applyBorder="1" applyAlignment="1">
      <alignment horizontal="center" vertical="center" wrapText="1"/>
    </xf>
    <xf numFmtId="0" fontId="1" fillId="0" borderId="6"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8" xfId="0" applyFont="1" applyBorder="1" applyAlignment="1">
      <alignment horizontal="center" vertical="center" wrapText="1"/>
    </xf>
    <xf numFmtId="0" fontId="0" fillId="0" borderId="3" xfId="0" applyBorder="1" applyAlignment="1">
      <alignment horizontal="left" vertical="center" wrapText="1"/>
    </xf>
    <xf numFmtId="0" fontId="0" fillId="3" borderId="0" xfId="0" applyFill="1" applyBorder="1" applyAlignment="1">
      <alignment horizontal="center"/>
    </xf>
    <xf numFmtId="0" fontId="0" fillId="3" borderId="25" xfId="0" applyFill="1" applyBorder="1" applyAlignment="1">
      <alignment horizontal="center"/>
    </xf>
    <xf numFmtId="0" fontId="21" fillId="0" borderId="0" xfId="4" applyFont="1" applyFill="1" applyBorder="1" applyAlignment="1">
      <alignment horizontal="center" vertical="center"/>
    </xf>
    <xf numFmtId="0" fontId="23" fillId="0" borderId="0" xfId="0" applyFont="1" applyFill="1" applyBorder="1" applyAlignment="1">
      <alignment horizontal="center" vertical="center"/>
    </xf>
    <xf numFmtId="0" fontId="0" fillId="0" borderId="24" xfId="0" applyFill="1" applyBorder="1" applyAlignment="1">
      <alignment horizontal="center"/>
    </xf>
    <xf numFmtId="0" fontId="11" fillId="2" borderId="25" xfId="0" applyFont="1" applyFill="1" applyBorder="1" applyAlignment="1">
      <alignment horizontal="center" vertical="center"/>
    </xf>
    <xf numFmtId="0" fontId="0" fillId="0" borderId="24" xfId="0" applyBorder="1" applyAlignment="1">
      <alignment horizontal="center" vertical="center"/>
    </xf>
    <xf numFmtId="0" fontId="0" fillId="0" borderId="23" xfId="0" applyBorder="1" applyAlignment="1">
      <alignment horizontal="center" vertical="center"/>
    </xf>
    <xf numFmtId="0" fontId="0" fillId="0" borderId="4" xfId="0"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2" xfId="0" applyBorder="1" applyAlignment="1">
      <alignment horizontal="left" vertical="center" wrapText="1"/>
    </xf>
    <xf numFmtId="0" fontId="0" fillId="0" borderId="8" xfId="0" applyBorder="1" applyAlignment="1">
      <alignment horizontal="left" vertical="center" wrapText="1"/>
    </xf>
    <xf numFmtId="0" fontId="0" fillId="13" borderId="29" xfId="0" applyFill="1" applyBorder="1" applyAlignment="1">
      <alignment horizontal="center" vertical="center"/>
    </xf>
    <xf numFmtId="0" fontId="0" fillId="13" borderId="31" xfId="0" applyFill="1" applyBorder="1" applyAlignment="1">
      <alignment horizontal="center" vertical="center"/>
    </xf>
    <xf numFmtId="0" fontId="17" fillId="0" borderId="29" xfId="0" applyFont="1" applyFill="1" applyBorder="1" applyAlignment="1">
      <alignment horizontal="center" vertical="center" wrapText="1"/>
    </xf>
    <xf numFmtId="0" fontId="17" fillId="0" borderId="25" xfId="0" applyFont="1" applyFill="1" applyBorder="1" applyAlignment="1">
      <alignment horizontal="center" vertical="center" wrapText="1"/>
    </xf>
    <xf numFmtId="0" fontId="17" fillId="0" borderId="30" xfId="0" applyFont="1" applyFill="1" applyBorder="1" applyAlignment="1">
      <alignment horizontal="center" vertical="center" wrapText="1"/>
    </xf>
    <xf numFmtId="0" fontId="17" fillId="0" borderId="24" xfId="0" applyFont="1" applyFill="1" applyBorder="1" applyAlignment="1">
      <alignment horizontal="center" vertical="center" wrapText="1"/>
    </xf>
    <xf numFmtId="0" fontId="17" fillId="0" borderId="0" xfId="0" applyFont="1" applyFill="1" applyBorder="1" applyAlignment="1">
      <alignment horizontal="center" vertical="center" wrapText="1"/>
    </xf>
    <xf numFmtId="0" fontId="17" fillId="0" borderId="23" xfId="0" applyFont="1" applyFill="1" applyBorder="1" applyAlignment="1">
      <alignment horizontal="center" vertical="center" wrapText="1"/>
    </xf>
    <xf numFmtId="0" fontId="17" fillId="0" borderId="31" xfId="0" applyFont="1" applyFill="1" applyBorder="1" applyAlignment="1">
      <alignment horizontal="center" vertical="center" wrapText="1"/>
    </xf>
    <xf numFmtId="0" fontId="17" fillId="0" borderId="32" xfId="0" applyFont="1" applyFill="1" applyBorder="1" applyAlignment="1">
      <alignment horizontal="center" vertical="center" wrapText="1"/>
    </xf>
    <xf numFmtId="0" fontId="17" fillId="0" borderId="33" xfId="0" applyFont="1" applyFill="1" applyBorder="1" applyAlignment="1">
      <alignment horizontal="center" vertical="center" wrapText="1"/>
    </xf>
    <xf numFmtId="0" fontId="11" fillId="2" borderId="36" xfId="0" applyFont="1" applyFill="1" applyBorder="1" applyAlignment="1">
      <alignment horizontal="center" vertical="center"/>
    </xf>
    <xf numFmtId="0" fontId="1" fillId="0" borderId="29" xfId="0" applyFont="1" applyBorder="1" applyAlignment="1">
      <alignment horizontal="left" vertical="center"/>
    </xf>
    <xf numFmtId="0" fontId="1" fillId="0" borderId="25" xfId="0" applyFont="1" applyBorder="1" applyAlignment="1">
      <alignment horizontal="left" vertical="center"/>
    </xf>
    <xf numFmtId="0" fontId="1" fillId="0" borderId="30" xfId="0" applyFont="1" applyBorder="1" applyAlignment="1">
      <alignment horizontal="left" vertical="center"/>
    </xf>
    <xf numFmtId="0" fontId="1" fillId="0" borderId="31" xfId="0" applyFont="1" applyBorder="1" applyAlignment="1">
      <alignment horizontal="left" vertical="center"/>
    </xf>
    <xf numFmtId="0" fontId="1" fillId="0" borderId="32" xfId="0" applyFont="1" applyBorder="1" applyAlignment="1">
      <alignment horizontal="left" vertical="center"/>
    </xf>
    <xf numFmtId="0" fontId="1" fillId="0" borderId="33" xfId="0" applyFont="1" applyBorder="1" applyAlignment="1">
      <alignment horizontal="left" vertical="center"/>
    </xf>
    <xf numFmtId="0" fontId="17" fillId="0" borderId="4" xfId="0" applyFont="1" applyFill="1" applyBorder="1" applyAlignment="1">
      <alignment horizontal="left" vertical="center" wrapText="1"/>
    </xf>
    <xf numFmtId="0" fontId="17" fillId="0" borderId="5" xfId="0" applyFont="1" applyFill="1" applyBorder="1" applyAlignment="1">
      <alignment horizontal="left" vertical="center" wrapText="1"/>
    </xf>
    <xf numFmtId="0" fontId="17" fillId="0" borderId="6" xfId="0" applyFont="1" applyFill="1" applyBorder="1" applyAlignment="1">
      <alignment horizontal="left" vertical="center" wrapText="1"/>
    </xf>
    <xf numFmtId="0" fontId="17" fillId="0" borderId="7" xfId="0" applyFont="1" applyFill="1" applyBorder="1" applyAlignment="1">
      <alignment horizontal="left" vertical="center" wrapText="1"/>
    </xf>
    <xf numFmtId="0" fontId="17" fillId="0" borderId="2" xfId="0" applyFont="1" applyFill="1" applyBorder="1" applyAlignment="1">
      <alignment horizontal="left" vertical="center" wrapText="1"/>
    </xf>
    <xf numFmtId="0" fontId="17" fillId="0" borderId="8" xfId="0" applyFont="1" applyFill="1" applyBorder="1" applyAlignment="1">
      <alignment horizontal="left" vertical="center" wrapText="1"/>
    </xf>
    <xf numFmtId="0" fontId="17" fillId="0" borderId="40" xfId="0" applyFont="1" applyFill="1" applyBorder="1" applyAlignment="1">
      <alignment horizontal="left" vertical="center" wrapText="1"/>
    </xf>
    <xf numFmtId="0" fontId="17" fillId="0" borderId="38" xfId="0" applyFont="1" applyFill="1" applyBorder="1" applyAlignment="1">
      <alignment horizontal="left" vertical="center" wrapText="1"/>
    </xf>
    <xf numFmtId="0" fontId="22" fillId="7" borderId="26" xfId="4" applyFont="1" applyFill="1" applyBorder="1" applyAlignment="1">
      <alignment horizontal="center" vertical="center"/>
    </xf>
    <xf numFmtId="0" fontId="22" fillId="7" borderId="22" xfId="4" applyFont="1" applyFill="1" applyBorder="1" applyAlignment="1">
      <alignment horizontal="center" vertical="center"/>
    </xf>
    <xf numFmtId="0" fontId="22" fillId="0" borderId="0" xfId="4" applyFont="1" applyFill="1" applyBorder="1" applyAlignment="1">
      <alignment horizontal="center" vertical="center"/>
    </xf>
    <xf numFmtId="0" fontId="22" fillId="0" borderId="0" xfId="0" applyFont="1" applyFill="1" applyBorder="1" applyAlignment="1">
      <alignment horizontal="center" vertical="center"/>
    </xf>
    <xf numFmtId="0" fontId="1" fillId="0" borderId="0" xfId="0" applyFont="1" applyBorder="1" applyAlignment="1">
      <alignment horizontal="center"/>
    </xf>
    <xf numFmtId="0" fontId="0" fillId="0" borderId="26" xfId="0" applyBorder="1" applyAlignment="1">
      <alignment horizontal="left" vertical="center" wrapText="1"/>
    </xf>
    <xf numFmtId="0" fontId="0" fillId="0" borderId="29" xfId="0"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0" fontId="0" fillId="0" borderId="33" xfId="0" applyBorder="1" applyAlignment="1">
      <alignment horizontal="center"/>
    </xf>
    <xf numFmtId="0" fontId="22" fillId="7" borderId="31" xfId="4" applyFont="1" applyFill="1" applyBorder="1" applyAlignment="1">
      <alignment horizontal="center" vertical="center"/>
    </xf>
    <xf numFmtId="0" fontId="22" fillId="7" borderId="32" xfId="4" applyFont="1" applyFill="1" applyBorder="1" applyAlignment="1">
      <alignment horizontal="center" vertical="center"/>
    </xf>
    <xf numFmtId="0" fontId="1" fillId="0" borderId="42" xfId="0" applyFont="1" applyBorder="1" applyAlignment="1">
      <alignment horizontal="left" vertical="center" wrapText="1"/>
    </xf>
    <xf numFmtId="0" fontId="5" fillId="3" borderId="31" xfId="0" applyFont="1" applyFill="1" applyBorder="1" applyAlignment="1">
      <alignment horizontal="center" vertical="center"/>
    </xf>
    <xf numFmtId="0" fontId="5" fillId="3" borderId="32" xfId="0" applyFont="1" applyFill="1" applyBorder="1" applyAlignment="1">
      <alignment horizontal="center" vertical="center"/>
    </xf>
    <xf numFmtId="0" fontId="5" fillId="3" borderId="22" xfId="0" applyFont="1" applyFill="1" applyBorder="1" applyAlignment="1">
      <alignment horizontal="center" vertical="center"/>
    </xf>
    <xf numFmtId="0" fontId="1" fillId="0" borderId="37" xfId="0" applyFont="1" applyFill="1" applyBorder="1" applyAlignment="1">
      <alignment horizontal="center" vertical="center" wrapText="1"/>
    </xf>
    <xf numFmtId="0" fontId="1" fillId="0" borderId="36" xfId="0" applyFont="1" applyFill="1" applyBorder="1" applyAlignment="1">
      <alignment horizontal="center" vertical="center" wrapText="1"/>
    </xf>
    <xf numFmtId="0" fontId="1" fillId="0" borderId="37" xfId="0" applyFont="1" applyBorder="1" applyAlignment="1">
      <alignment horizontal="left" vertical="center" wrapText="1"/>
    </xf>
    <xf numFmtId="0" fontId="0" fillId="0" borderId="37" xfId="0" applyBorder="1" applyAlignment="1">
      <alignment horizontal="left" vertical="center" wrapText="1"/>
    </xf>
    <xf numFmtId="0" fontId="1" fillId="0" borderId="3" xfId="0" applyFont="1" applyBorder="1" applyAlignment="1">
      <alignment horizontal="left" vertical="center" wrapText="1"/>
    </xf>
    <xf numFmtId="0" fontId="1" fillId="0" borderId="29" xfId="0" applyFont="1" applyFill="1" applyBorder="1" applyAlignment="1">
      <alignment horizontal="left" vertical="center"/>
    </xf>
    <xf numFmtId="0" fontId="1" fillId="0" borderId="25" xfId="0" applyFont="1" applyFill="1" applyBorder="1" applyAlignment="1">
      <alignment horizontal="left" vertical="center"/>
    </xf>
    <xf numFmtId="0" fontId="1" fillId="0" borderId="30" xfId="0" applyFont="1" applyFill="1" applyBorder="1" applyAlignment="1">
      <alignment horizontal="left" vertical="center"/>
    </xf>
    <xf numFmtId="0" fontId="1" fillId="0" borderId="31" xfId="0" applyFont="1" applyFill="1" applyBorder="1" applyAlignment="1">
      <alignment horizontal="left" vertical="center"/>
    </xf>
    <xf numFmtId="0" fontId="1" fillId="0" borderId="32" xfId="0" applyFont="1" applyFill="1" applyBorder="1" applyAlignment="1">
      <alignment horizontal="left" vertical="center"/>
    </xf>
    <xf numFmtId="0" fontId="1" fillId="0" borderId="33" xfId="0" applyFont="1" applyFill="1" applyBorder="1" applyAlignment="1">
      <alignment horizontal="left" vertical="center"/>
    </xf>
    <xf numFmtId="0" fontId="1" fillId="0" borderId="29" xfId="0" applyFont="1" applyFill="1" applyBorder="1" applyAlignment="1">
      <alignment horizontal="left" vertical="center" wrapText="1"/>
    </xf>
    <xf numFmtId="0" fontId="1" fillId="0" borderId="25" xfId="0" applyFont="1" applyFill="1" applyBorder="1" applyAlignment="1">
      <alignment horizontal="left" vertical="center" wrapText="1"/>
    </xf>
    <xf numFmtId="0" fontId="1" fillId="0" borderId="30" xfId="0" applyFont="1" applyFill="1" applyBorder="1" applyAlignment="1">
      <alignment horizontal="left" vertical="center" wrapText="1"/>
    </xf>
    <xf numFmtId="0" fontId="1" fillId="0" borderId="31" xfId="0" applyFont="1" applyFill="1" applyBorder="1" applyAlignment="1">
      <alignment horizontal="left" vertical="center" wrapText="1"/>
    </xf>
    <xf numFmtId="0" fontId="1" fillId="0" borderId="32" xfId="0" applyFont="1" applyFill="1" applyBorder="1" applyAlignment="1">
      <alignment horizontal="left" vertical="center" wrapText="1"/>
    </xf>
    <xf numFmtId="0" fontId="1" fillId="0" borderId="33" xfId="0" applyFont="1" applyFill="1" applyBorder="1" applyAlignment="1">
      <alignment horizontal="left" vertical="center" wrapText="1"/>
    </xf>
    <xf numFmtId="0" fontId="11" fillId="2" borderId="36" xfId="0" applyFont="1" applyFill="1" applyBorder="1" applyAlignment="1">
      <alignment horizontal="center" vertical="center" wrapText="1"/>
    </xf>
    <xf numFmtId="0" fontId="19" fillId="7" borderId="26" xfId="4" applyFill="1" applyBorder="1" applyAlignment="1">
      <alignment horizontal="center" vertical="center"/>
    </xf>
    <xf numFmtId="0" fontId="22" fillId="7" borderId="28" xfId="4" applyFont="1" applyFill="1" applyBorder="1" applyAlignment="1">
      <alignment horizontal="center" vertical="center"/>
    </xf>
    <xf numFmtId="0" fontId="22" fillId="7" borderId="28" xfId="0" applyFont="1" applyFill="1" applyBorder="1" applyAlignment="1">
      <alignment horizontal="center" vertical="center"/>
    </xf>
    <xf numFmtId="0" fontId="23" fillId="7" borderId="22" xfId="0" applyFont="1" applyFill="1" applyBorder="1" applyAlignment="1">
      <alignment horizontal="center" vertical="center"/>
    </xf>
    <xf numFmtId="0" fontId="23" fillId="7" borderId="28" xfId="0" applyFont="1" applyFill="1" applyBorder="1" applyAlignment="1">
      <alignment horizontal="center" vertical="center"/>
    </xf>
    <xf numFmtId="0" fontId="0" fillId="0" borderId="25" xfId="0" applyBorder="1" applyAlignment="1">
      <alignment horizontal="center"/>
    </xf>
    <xf numFmtId="0" fontId="0" fillId="0" borderId="0" xfId="0" applyBorder="1" applyAlignment="1">
      <alignment horizontal="center"/>
    </xf>
    <xf numFmtId="164" fontId="0" fillId="0" borderId="4" xfId="2" applyFont="1" applyBorder="1" applyAlignment="1">
      <alignment horizontal="center"/>
    </xf>
    <xf numFmtId="164" fontId="0" fillId="0" borderId="6" xfId="2" applyFont="1" applyBorder="1" applyAlignment="1">
      <alignment horizontal="center"/>
    </xf>
    <xf numFmtId="164" fontId="0" fillId="0" borderId="7" xfId="2" applyFont="1" applyBorder="1" applyAlignment="1">
      <alignment horizontal="center"/>
    </xf>
    <xf numFmtId="164" fontId="0" fillId="0" borderId="8" xfId="2" applyFont="1" applyBorder="1" applyAlignment="1">
      <alignment horizontal="center"/>
    </xf>
    <xf numFmtId="164" fontId="0" fillId="0" borderId="5" xfId="2" applyFont="1" applyBorder="1" applyAlignment="1">
      <alignment horizontal="center"/>
    </xf>
    <xf numFmtId="164" fontId="0" fillId="0" borderId="2" xfId="2" applyFont="1" applyBorder="1" applyAlignment="1">
      <alignment horizontal="center"/>
    </xf>
    <xf numFmtId="0" fontId="19" fillId="0" borderId="0" xfId="4" applyFill="1" applyBorder="1" applyAlignment="1">
      <alignment horizontal="center" vertical="center"/>
    </xf>
    <xf numFmtId="0" fontId="0" fillId="0" borderId="42" xfId="0" applyBorder="1" applyAlignment="1">
      <alignment horizontal="left" vertical="center" wrapText="1"/>
    </xf>
    <xf numFmtId="0" fontId="0" fillId="0" borderId="34" xfId="0" applyBorder="1" applyAlignment="1">
      <alignment horizontal="left" vertical="center" wrapText="1"/>
    </xf>
    <xf numFmtId="0" fontId="0" fillId="0" borderId="46" xfId="0" applyBorder="1" applyAlignment="1">
      <alignment horizontal="left" vertical="center" wrapText="1"/>
    </xf>
    <xf numFmtId="0" fontId="0" fillId="0" borderId="10" xfId="0" applyBorder="1" applyAlignment="1">
      <alignment horizontal="left" vertical="center" wrapText="1"/>
    </xf>
    <xf numFmtId="0" fontId="0" fillId="0" borderId="47" xfId="0" applyBorder="1" applyAlignment="1">
      <alignment horizontal="left" vertical="center" wrapText="1"/>
    </xf>
    <xf numFmtId="0" fontId="0" fillId="0" borderId="48" xfId="0" applyBorder="1" applyAlignment="1">
      <alignment horizontal="center" vertical="center" wrapText="1"/>
    </xf>
    <xf numFmtId="0" fontId="0" fillId="0" borderId="49" xfId="0" applyBorder="1" applyAlignment="1">
      <alignment horizontal="center" vertical="center" wrapText="1"/>
    </xf>
    <xf numFmtId="0" fontId="0" fillId="0" borderId="3" xfId="0" applyBorder="1" applyAlignment="1">
      <alignment horizontal="left" vertical="center"/>
    </xf>
    <xf numFmtId="0" fontId="0" fillId="0" borderId="42" xfId="0" applyBorder="1" applyAlignment="1">
      <alignment horizontal="left" vertical="center"/>
    </xf>
    <xf numFmtId="0" fontId="0" fillId="0" borderId="45" xfId="0" applyBorder="1" applyAlignment="1">
      <alignment horizontal="left" vertical="center"/>
    </xf>
    <xf numFmtId="0" fontId="0" fillId="0" borderId="45" xfId="0" applyBorder="1" applyAlignment="1">
      <alignment horizontal="left" vertical="center" wrapText="1"/>
    </xf>
    <xf numFmtId="0" fontId="0" fillId="0" borderId="9" xfId="0" applyBorder="1" applyAlignment="1">
      <alignment horizontal="left" vertical="center" wrapText="1"/>
    </xf>
    <xf numFmtId="0" fontId="11" fillId="2" borderId="19" xfId="0" applyFont="1" applyFill="1" applyBorder="1" applyAlignment="1">
      <alignment horizontal="center" vertical="center"/>
    </xf>
    <xf numFmtId="0" fontId="11" fillId="2" borderId="21" xfId="0" applyFont="1" applyFill="1" applyBorder="1" applyAlignment="1">
      <alignment horizontal="center" vertical="center"/>
    </xf>
    <xf numFmtId="164" fontId="0" fillId="0" borderId="3" xfId="2" applyFont="1" applyBorder="1" applyAlignment="1">
      <alignment horizontal="center"/>
    </xf>
    <xf numFmtId="0" fontId="0" fillId="0" borderId="40" xfId="0" applyBorder="1" applyAlignment="1">
      <alignment horizontal="left" vertical="center"/>
    </xf>
    <xf numFmtId="0" fontId="0" fillId="0" borderId="38" xfId="0" applyBorder="1" applyAlignment="1">
      <alignment horizontal="left" vertical="center"/>
    </xf>
    <xf numFmtId="164" fontId="0" fillId="0" borderId="4" xfId="2" applyFont="1" applyBorder="1" applyAlignment="1">
      <alignment horizontal="center" vertical="center"/>
    </xf>
    <xf numFmtId="164" fontId="0" fillId="0" borderId="6" xfId="2" applyFont="1" applyBorder="1" applyAlignment="1">
      <alignment horizontal="center" vertical="center"/>
    </xf>
    <xf numFmtId="164" fontId="0" fillId="0" borderId="7" xfId="2" applyFont="1" applyBorder="1" applyAlignment="1">
      <alignment horizontal="center" vertical="center"/>
    </xf>
    <xf numFmtId="164" fontId="0" fillId="0" borderId="8" xfId="2" applyFont="1" applyBorder="1" applyAlignment="1">
      <alignment horizontal="center" vertical="center"/>
    </xf>
    <xf numFmtId="164" fontId="0" fillId="0" borderId="9" xfId="2" applyFont="1" applyBorder="1" applyAlignment="1">
      <alignment horizontal="center"/>
    </xf>
    <xf numFmtId="164" fontId="0" fillId="0" borderId="10" xfId="2" applyFont="1" applyBorder="1" applyAlignment="1">
      <alignment horizontal="center"/>
    </xf>
    <xf numFmtId="164" fontId="0" fillId="0" borderId="4" xfId="2" applyFont="1" applyBorder="1" applyAlignment="1">
      <alignment horizontal="center" vertical="center" wrapText="1"/>
    </xf>
    <xf numFmtId="164" fontId="0" fillId="0" borderId="6" xfId="2" applyFont="1" applyBorder="1" applyAlignment="1">
      <alignment horizontal="center" vertical="center" wrapText="1"/>
    </xf>
    <xf numFmtId="164" fontId="0" fillId="0" borderId="7" xfId="2" applyFont="1" applyBorder="1" applyAlignment="1">
      <alignment horizontal="center" vertical="center" wrapText="1"/>
    </xf>
    <xf numFmtId="164" fontId="0" fillId="0" borderId="8" xfId="2" applyFont="1" applyBorder="1" applyAlignment="1">
      <alignment horizontal="center" vertical="center" wrapText="1"/>
    </xf>
    <xf numFmtId="0" fontId="0" fillId="0" borderId="42" xfId="0" applyBorder="1" applyAlignment="1">
      <alignment horizontal="left" wrapText="1"/>
    </xf>
    <xf numFmtId="0" fontId="0" fillId="0" borderId="25" xfId="0" applyBorder="1" applyAlignment="1">
      <alignment horizontal="left" wrapText="1"/>
    </xf>
    <xf numFmtId="0" fontId="0" fillId="0" borderId="30" xfId="0" applyBorder="1" applyAlignment="1">
      <alignment horizontal="left" wrapText="1"/>
    </xf>
    <xf numFmtId="0" fontId="0" fillId="0" borderId="45" xfId="0" applyBorder="1" applyAlignment="1">
      <alignment horizontal="left" wrapText="1"/>
    </xf>
    <xf numFmtId="0" fontId="0" fillId="0" borderId="32" xfId="0" applyBorder="1" applyAlignment="1">
      <alignment horizontal="left" wrapText="1"/>
    </xf>
    <xf numFmtId="0" fontId="0" fillId="0" borderId="33" xfId="0" applyBorder="1" applyAlignment="1">
      <alignment horizontal="left" wrapText="1"/>
    </xf>
    <xf numFmtId="0" fontId="0" fillId="0" borderId="4"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41" xfId="0" applyBorder="1" applyAlignment="1">
      <alignment horizontal="center" vertical="center"/>
    </xf>
    <xf numFmtId="0" fontId="0" fillId="13" borderId="41" xfId="0" applyFill="1" applyBorder="1" applyAlignment="1">
      <alignment horizontal="center" vertical="center"/>
    </xf>
    <xf numFmtId="0" fontId="0" fillId="0" borderId="48" xfId="0" applyBorder="1" applyAlignment="1">
      <alignment horizontal="center" vertical="center"/>
    </xf>
    <xf numFmtId="0" fontId="0" fillId="0" borderId="49" xfId="0" applyBorder="1" applyAlignment="1">
      <alignment horizontal="center" vertical="center"/>
    </xf>
    <xf numFmtId="9" fontId="31" fillId="0" borderId="24" xfId="0" applyNumberFormat="1" applyFont="1" applyBorder="1" applyAlignment="1">
      <alignment horizontal="center" vertical="center"/>
    </xf>
    <xf numFmtId="0" fontId="31" fillId="0" borderId="24" xfId="0" applyFont="1" applyBorder="1" applyAlignment="1">
      <alignment horizontal="center" vertical="center"/>
    </xf>
    <xf numFmtId="9" fontId="32" fillId="0" borderId="22" xfId="0" applyNumberFormat="1" applyFont="1" applyBorder="1" applyAlignment="1">
      <alignment horizontal="center"/>
    </xf>
    <xf numFmtId="0" fontId="32" fillId="0" borderId="22" xfId="0" applyFont="1" applyBorder="1" applyAlignment="1">
      <alignment horizontal="center"/>
    </xf>
    <xf numFmtId="9" fontId="1" fillId="9" borderId="26" xfId="3" applyNumberFormat="1" applyFont="1" applyFill="1" applyBorder="1" applyAlignment="1">
      <alignment horizontal="center" vertical="center"/>
    </xf>
    <xf numFmtId="9" fontId="1" fillId="9" borderId="28" xfId="3" applyNumberFormat="1" applyFont="1" applyFill="1" applyBorder="1" applyAlignment="1">
      <alignment horizontal="center" vertical="center"/>
    </xf>
    <xf numFmtId="9" fontId="1" fillId="9" borderId="26" xfId="3" applyFont="1" applyFill="1" applyBorder="1" applyAlignment="1">
      <alignment horizontal="center" vertical="center"/>
    </xf>
    <xf numFmtId="9" fontId="1" fillId="9" borderId="28" xfId="3" applyFont="1" applyFill="1" applyBorder="1" applyAlignment="1">
      <alignment horizontal="center" vertical="center"/>
    </xf>
    <xf numFmtId="0" fontId="4" fillId="2" borderId="27" xfId="0" applyFont="1" applyFill="1" applyBorder="1" applyAlignment="1">
      <alignment horizontal="center" vertical="center"/>
    </xf>
    <xf numFmtId="9" fontId="1" fillId="0" borderId="26" xfId="3" applyFont="1" applyBorder="1" applyAlignment="1">
      <alignment horizontal="center" vertical="center" wrapText="1"/>
    </xf>
    <xf numFmtId="9" fontId="1" fillId="0" borderId="28" xfId="3" applyFont="1" applyBorder="1" applyAlignment="1">
      <alignment horizontal="center" vertical="center" wrapText="1"/>
    </xf>
    <xf numFmtId="0" fontId="1" fillId="0" borderId="29"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30"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31"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33" xfId="0" applyFont="1" applyBorder="1" applyAlignment="1">
      <alignment horizontal="center" vertical="center" wrapText="1"/>
    </xf>
    <xf numFmtId="0" fontId="5" fillId="17" borderId="22" xfId="0" applyFont="1" applyFill="1" applyBorder="1" applyAlignment="1">
      <alignment horizontal="center" vertical="center"/>
    </xf>
    <xf numFmtId="0" fontId="5" fillId="17" borderId="28" xfId="0" applyFont="1" applyFill="1" applyBorder="1" applyAlignment="1">
      <alignment horizontal="center" vertical="center"/>
    </xf>
    <xf numFmtId="9" fontId="17" fillId="0" borderId="26" xfId="3" applyFont="1" applyFill="1" applyBorder="1" applyAlignment="1">
      <alignment horizontal="center" vertical="center" wrapText="1"/>
    </xf>
    <xf numFmtId="9" fontId="17" fillId="0" borderId="28" xfId="3" applyFont="1" applyFill="1" applyBorder="1" applyAlignment="1">
      <alignment horizontal="center" vertical="center" wrapText="1"/>
    </xf>
    <xf numFmtId="0" fontId="17" fillId="0" borderId="37" xfId="0" applyFont="1" applyFill="1" applyBorder="1" applyAlignment="1">
      <alignment horizontal="center" vertical="center" wrapText="1"/>
    </xf>
    <xf numFmtId="0" fontId="17" fillId="0" borderId="35" xfId="0" applyFont="1" applyFill="1" applyBorder="1" applyAlignment="1">
      <alignment horizontal="center" vertical="center" wrapText="1"/>
    </xf>
    <xf numFmtId="0" fontId="17" fillId="0" borderId="36" xfId="0" applyFont="1" applyFill="1" applyBorder="1" applyAlignment="1">
      <alignment horizontal="center" vertical="center" wrapText="1"/>
    </xf>
    <xf numFmtId="9" fontId="17" fillId="0" borderId="26" xfId="3" applyNumberFormat="1" applyFont="1" applyFill="1" applyBorder="1" applyAlignment="1">
      <alignment horizontal="center" vertical="center" wrapText="1"/>
    </xf>
    <xf numFmtId="9" fontId="17" fillId="0" borderId="28" xfId="3" applyNumberFormat="1" applyFont="1" applyFill="1" applyBorder="1" applyAlignment="1">
      <alignment horizontal="center" vertical="center" wrapText="1"/>
    </xf>
    <xf numFmtId="10" fontId="17" fillId="0" borderId="26" xfId="3" applyNumberFormat="1" applyFont="1" applyFill="1" applyBorder="1" applyAlignment="1">
      <alignment horizontal="center" vertical="center" wrapText="1"/>
    </xf>
    <xf numFmtId="10" fontId="17" fillId="0" borderId="28" xfId="3" applyNumberFormat="1" applyFont="1" applyFill="1" applyBorder="1" applyAlignment="1">
      <alignment horizontal="center" vertical="center" wrapText="1"/>
    </xf>
    <xf numFmtId="0" fontId="11" fillId="3" borderId="23" xfId="0" applyFont="1" applyFill="1" applyBorder="1" applyAlignment="1">
      <alignment horizontal="center" vertical="center"/>
    </xf>
    <xf numFmtId="0" fontId="1" fillId="0" borderId="35" xfId="2" applyNumberFormat="1" applyFont="1" applyBorder="1" applyAlignment="1">
      <alignment horizontal="center" vertical="center"/>
    </xf>
    <xf numFmtId="0" fontId="1" fillId="0" borderId="36" xfId="2" applyNumberFormat="1" applyFont="1" applyBorder="1" applyAlignment="1">
      <alignment horizontal="center" vertical="center"/>
    </xf>
    <xf numFmtId="10" fontId="1" fillId="0" borderId="26" xfId="0" applyNumberFormat="1" applyFont="1" applyBorder="1" applyAlignment="1">
      <alignment horizontal="center" vertical="center"/>
    </xf>
    <xf numFmtId="10" fontId="1" fillId="0" borderId="28" xfId="0" applyNumberFormat="1" applyFont="1" applyBorder="1" applyAlignment="1">
      <alignment horizontal="center" vertical="center"/>
    </xf>
    <xf numFmtId="0" fontId="1" fillId="0" borderId="26" xfId="3" applyNumberFormat="1" applyFont="1" applyBorder="1" applyAlignment="1">
      <alignment horizontal="center" vertical="center" wrapText="1"/>
    </xf>
    <xf numFmtId="0" fontId="1" fillId="0" borderId="28" xfId="3" applyNumberFormat="1" applyFont="1" applyBorder="1" applyAlignment="1">
      <alignment horizontal="center" vertical="center" wrapText="1"/>
    </xf>
    <xf numFmtId="1" fontId="1" fillId="0" borderId="26" xfId="0" applyNumberFormat="1" applyFont="1" applyBorder="1" applyAlignment="1">
      <alignment horizontal="center" vertical="center"/>
    </xf>
    <xf numFmtId="1" fontId="1" fillId="0" borderId="28" xfId="0" applyNumberFormat="1" applyFont="1" applyBorder="1" applyAlignment="1">
      <alignment horizontal="center" vertical="center"/>
    </xf>
    <xf numFmtId="1" fontId="1" fillId="0" borderId="26" xfId="0" applyNumberFormat="1" applyFont="1" applyBorder="1" applyAlignment="1">
      <alignment horizontal="center"/>
    </xf>
    <xf numFmtId="1" fontId="1" fillId="0" borderId="28" xfId="0" applyNumberFormat="1" applyFont="1" applyBorder="1" applyAlignment="1">
      <alignment horizontal="center"/>
    </xf>
    <xf numFmtId="0" fontId="1" fillId="0" borderId="26" xfId="0" applyFont="1" applyBorder="1" applyAlignment="1">
      <alignment horizontal="center" vertical="center"/>
    </xf>
    <xf numFmtId="0" fontId="1" fillId="0" borderId="28" xfId="0" applyFont="1" applyBorder="1" applyAlignment="1">
      <alignment horizontal="center" vertical="center"/>
    </xf>
    <xf numFmtId="10" fontId="1" fillId="0" borderId="26" xfId="3" applyNumberFormat="1" applyFont="1" applyBorder="1" applyAlignment="1">
      <alignment horizontal="center" vertical="center" wrapText="1"/>
    </xf>
    <xf numFmtId="10" fontId="1" fillId="0" borderId="28" xfId="3" applyNumberFormat="1" applyFont="1" applyBorder="1" applyAlignment="1">
      <alignment horizontal="center" vertical="center" wrapText="1"/>
    </xf>
    <xf numFmtId="0" fontId="1" fillId="0" borderId="22" xfId="0" applyFont="1" applyBorder="1" applyAlignment="1">
      <alignment horizontal="center" vertical="center" wrapText="1"/>
    </xf>
    <xf numFmtId="0" fontId="1" fillId="0" borderId="28" xfId="0" applyFont="1" applyBorder="1" applyAlignment="1">
      <alignment horizontal="center" vertical="center" wrapText="1"/>
    </xf>
    <xf numFmtId="0" fontId="1" fillId="0" borderId="26" xfId="0" applyFont="1" applyBorder="1" applyAlignment="1">
      <alignment horizontal="center" vertical="center" wrapText="1"/>
    </xf>
    <xf numFmtId="10" fontId="1" fillId="9" borderId="26" xfId="3" applyNumberFormat="1" applyFont="1" applyFill="1" applyBorder="1" applyAlignment="1">
      <alignment horizontal="center" vertical="center"/>
    </xf>
    <xf numFmtId="10" fontId="1" fillId="9" borderId="28" xfId="3" applyNumberFormat="1" applyFont="1" applyFill="1" applyBorder="1" applyAlignment="1">
      <alignment horizontal="center" vertical="center"/>
    </xf>
    <xf numFmtId="0" fontId="1" fillId="0" borderId="26" xfId="0" applyFont="1" applyBorder="1" applyAlignment="1">
      <alignment vertical="center" wrapText="1"/>
    </xf>
    <xf numFmtId="0" fontId="1" fillId="0" borderId="22" xfId="0" applyFont="1" applyBorder="1" applyAlignment="1">
      <alignment vertical="center" wrapText="1"/>
    </xf>
    <xf numFmtId="0" fontId="1" fillId="0" borderId="28" xfId="0" applyFont="1" applyBorder="1" applyAlignment="1">
      <alignment vertical="center" wrapText="1"/>
    </xf>
    <xf numFmtId="164" fontId="1" fillId="0" borderId="25" xfId="2" applyFont="1" applyFill="1" applyBorder="1" applyAlignment="1">
      <alignment horizontal="center" vertical="center" wrapText="1"/>
    </xf>
    <xf numFmtId="0" fontId="1" fillId="0" borderId="27" xfId="0" applyFont="1" applyBorder="1" applyAlignment="1">
      <alignment horizontal="center" vertical="center" wrapText="1"/>
    </xf>
    <xf numFmtId="0" fontId="1" fillId="0" borderId="45" xfId="0" applyFont="1" applyBorder="1" applyAlignment="1">
      <alignment horizontal="center" vertical="center" wrapText="1"/>
    </xf>
    <xf numFmtId="0" fontId="1" fillId="0" borderId="42" xfId="0" applyFont="1" applyBorder="1" applyAlignment="1">
      <alignment horizontal="center" vertical="center" wrapText="1"/>
    </xf>
    <xf numFmtId="10" fontId="1" fillId="9" borderId="31" xfId="3" applyNumberFormat="1" applyFont="1" applyFill="1" applyBorder="1" applyAlignment="1">
      <alignment horizontal="center" vertical="center"/>
    </xf>
    <xf numFmtId="10" fontId="1" fillId="9" borderId="33" xfId="3" applyNumberFormat="1" applyFont="1" applyFill="1" applyBorder="1" applyAlignment="1">
      <alignment horizontal="center" vertical="center"/>
    </xf>
    <xf numFmtId="10" fontId="12" fillId="0" borderId="26" xfId="3" applyNumberFormat="1" applyFont="1" applyBorder="1" applyAlignment="1">
      <alignment horizontal="center" vertical="center" wrapText="1"/>
    </xf>
    <xf numFmtId="10" fontId="12" fillId="0" borderId="28" xfId="3" applyNumberFormat="1" applyFont="1" applyBorder="1" applyAlignment="1">
      <alignment horizontal="center" vertical="center" wrapText="1"/>
    </xf>
    <xf numFmtId="166" fontId="12" fillId="0" borderId="26" xfId="3" applyNumberFormat="1" applyFont="1" applyBorder="1" applyAlignment="1">
      <alignment horizontal="center" vertical="center" wrapText="1"/>
    </xf>
    <xf numFmtId="166" fontId="12" fillId="0" borderId="28" xfId="3" applyNumberFormat="1" applyFont="1" applyBorder="1" applyAlignment="1">
      <alignment horizontal="center" vertical="center" wrapText="1"/>
    </xf>
    <xf numFmtId="9" fontId="1" fillId="9" borderId="26" xfId="3" applyFont="1" applyFill="1" applyBorder="1" applyAlignment="1">
      <alignment horizontal="center" vertical="center" wrapText="1"/>
    </xf>
    <xf numFmtId="9" fontId="1" fillId="9" borderId="28" xfId="3" applyFont="1" applyFill="1" applyBorder="1" applyAlignment="1">
      <alignment horizontal="center" vertical="center" wrapText="1"/>
    </xf>
    <xf numFmtId="10" fontId="0" fillId="9" borderId="26" xfId="3" applyNumberFormat="1" applyFont="1" applyFill="1" applyBorder="1" applyAlignment="1">
      <alignment horizontal="center" vertical="center" wrapText="1"/>
    </xf>
    <xf numFmtId="10" fontId="0" fillId="9" borderId="28" xfId="3" applyNumberFormat="1" applyFont="1" applyFill="1" applyBorder="1" applyAlignment="1">
      <alignment horizontal="center" vertical="center" wrapText="1"/>
    </xf>
    <xf numFmtId="10" fontId="0" fillId="9" borderId="31" xfId="3" applyNumberFormat="1" applyFont="1" applyFill="1" applyBorder="1" applyAlignment="1">
      <alignment horizontal="center" vertical="center" wrapText="1"/>
    </xf>
    <xf numFmtId="10" fontId="0" fillId="9" borderId="33" xfId="3" applyNumberFormat="1" applyFont="1" applyFill="1" applyBorder="1" applyAlignment="1">
      <alignment horizontal="center" vertical="center" wrapText="1"/>
    </xf>
    <xf numFmtId="10" fontId="1" fillId="9" borderId="26" xfId="0" applyNumberFormat="1" applyFont="1" applyFill="1" applyBorder="1" applyAlignment="1">
      <alignment horizontal="center" vertical="center"/>
    </xf>
    <xf numFmtId="10" fontId="1" fillId="9" borderId="28" xfId="0" applyNumberFormat="1" applyFont="1" applyFill="1" applyBorder="1" applyAlignment="1">
      <alignment horizontal="center" vertical="center"/>
    </xf>
    <xf numFmtId="10" fontId="1" fillId="9" borderId="26" xfId="3" applyNumberFormat="1" applyFont="1" applyFill="1" applyBorder="1" applyAlignment="1">
      <alignment horizontal="center" vertical="center" wrapText="1"/>
    </xf>
    <xf numFmtId="10" fontId="1" fillId="9" borderId="28" xfId="3" applyNumberFormat="1" applyFont="1" applyFill="1" applyBorder="1" applyAlignment="1">
      <alignment horizontal="center" vertical="center" wrapText="1"/>
    </xf>
    <xf numFmtId="0" fontId="13" fillId="10" borderId="37" xfId="0" applyFont="1" applyFill="1" applyBorder="1" applyAlignment="1">
      <alignment horizontal="center" vertical="center" wrapText="1"/>
    </xf>
    <xf numFmtId="0" fontId="13" fillId="11" borderId="36" xfId="0" applyFont="1" applyFill="1" applyBorder="1" applyAlignment="1">
      <alignment horizontal="center" vertical="center" wrapText="1"/>
    </xf>
    <xf numFmtId="9" fontId="1" fillId="9" borderId="26" xfId="3" applyNumberFormat="1" applyFont="1" applyFill="1" applyBorder="1" applyAlignment="1">
      <alignment horizontal="center" vertical="center" wrapText="1"/>
    </xf>
    <xf numFmtId="9" fontId="1" fillId="9" borderId="28" xfId="3" applyNumberFormat="1" applyFont="1" applyFill="1" applyBorder="1" applyAlignment="1">
      <alignment horizontal="center" vertical="center" wrapText="1"/>
    </xf>
    <xf numFmtId="9" fontId="30" fillId="0" borderId="26" xfId="3" applyFont="1" applyBorder="1" applyAlignment="1">
      <alignment horizontal="center" vertical="center" wrapText="1"/>
    </xf>
    <xf numFmtId="9" fontId="30" fillId="0" borderId="28" xfId="3" applyFont="1" applyBorder="1" applyAlignment="1">
      <alignment horizontal="center" vertical="center" wrapText="1"/>
    </xf>
    <xf numFmtId="9" fontId="12" fillId="0" borderId="26" xfId="3" applyFont="1" applyBorder="1" applyAlignment="1">
      <alignment horizontal="center" vertical="center" wrapText="1"/>
    </xf>
    <xf numFmtId="9" fontId="12" fillId="0" borderId="28" xfId="3" applyFont="1" applyBorder="1" applyAlignment="1">
      <alignment horizontal="center" vertical="center" wrapText="1"/>
    </xf>
    <xf numFmtId="10" fontId="1" fillId="0" borderId="26" xfId="3" applyNumberFormat="1" applyFont="1" applyBorder="1" applyAlignment="1">
      <alignment horizontal="center" vertical="center"/>
    </xf>
    <xf numFmtId="10" fontId="1" fillId="0" borderId="28" xfId="3" applyNumberFormat="1" applyFont="1" applyBorder="1" applyAlignment="1">
      <alignment horizontal="center" vertical="center"/>
    </xf>
    <xf numFmtId="164" fontId="1" fillId="0" borderId="26" xfId="2" applyFont="1" applyBorder="1" applyAlignment="1">
      <alignment horizontal="center" vertical="center"/>
    </xf>
    <xf numFmtId="164" fontId="1" fillId="0" borderId="28" xfId="2" applyFont="1" applyBorder="1" applyAlignment="1">
      <alignment horizontal="center" vertical="center"/>
    </xf>
    <xf numFmtId="166" fontId="0" fillId="0" borderId="0" xfId="3" applyNumberFormat="1" applyFont="1" applyBorder="1" applyAlignment="1">
      <alignment horizontal="center"/>
    </xf>
    <xf numFmtId="164" fontId="1" fillId="0" borderId="26" xfId="2" applyFont="1" applyBorder="1" applyAlignment="1">
      <alignment horizontal="center" vertical="center" wrapText="1"/>
    </xf>
    <xf numFmtId="164" fontId="1" fillId="0" borderId="28" xfId="2" applyFont="1" applyBorder="1" applyAlignment="1">
      <alignment horizontal="center" vertical="center" wrapText="1"/>
    </xf>
    <xf numFmtId="164" fontId="1" fillId="0" borderId="26" xfId="0" applyNumberFormat="1" applyFont="1" applyBorder="1" applyAlignment="1">
      <alignment horizontal="center" vertical="center"/>
    </xf>
    <xf numFmtId="164" fontId="1" fillId="0" borderId="28" xfId="0" applyNumberFormat="1" applyFont="1" applyBorder="1" applyAlignment="1">
      <alignment horizontal="center" vertical="center"/>
    </xf>
    <xf numFmtId="164" fontId="12" fillId="0" borderId="26" xfId="2" applyFont="1" applyBorder="1" applyAlignment="1">
      <alignment horizontal="center" vertical="center" wrapText="1"/>
    </xf>
    <xf numFmtId="164" fontId="12" fillId="0" borderId="28" xfId="2" applyFont="1" applyBorder="1" applyAlignment="1">
      <alignment horizontal="center" vertical="center" wrapText="1"/>
    </xf>
    <xf numFmtId="10" fontId="34" fillId="21" borderId="0" xfId="3" applyNumberFormat="1" applyFont="1" applyFill="1" applyBorder="1" applyAlignment="1">
      <alignment horizontal="center" vertical="center"/>
    </xf>
    <xf numFmtId="0" fontId="13" fillId="0" borderId="1" xfId="0" applyFont="1" applyBorder="1" applyAlignment="1">
      <alignment horizontal="center" vertical="center"/>
    </xf>
    <xf numFmtId="0" fontId="13" fillId="0" borderId="51" xfId="0" applyFont="1" applyBorder="1" applyAlignment="1">
      <alignment horizontal="center" vertical="center"/>
    </xf>
    <xf numFmtId="164" fontId="0" fillId="0" borderId="4" xfId="2" applyFont="1" applyBorder="1" applyAlignment="1">
      <alignment horizontal="center" wrapText="1"/>
    </xf>
    <xf numFmtId="164" fontId="0" fillId="0" borderId="6" xfId="2" applyFont="1" applyBorder="1" applyAlignment="1">
      <alignment horizontal="center" wrapText="1"/>
    </xf>
    <xf numFmtId="164" fontId="0" fillId="0" borderId="7" xfId="2" applyFont="1" applyBorder="1" applyAlignment="1">
      <alignment horizontal="center" wrapText="1"/>
    </xf>
    <xf numFmtId="164" fontId="0" fillId="0" borderId="8" xfId="2" applyFont="1" applyBorder="1" applyAlignment="1">
      <alignment horizontal="center" wrapText="1"/>
    </xf>
  </cellXfs>
  <cellStyles count="6">
    <cellStyle name="FONS" xfId="1"/>
    <cellStyle name="Hipervínculo" xfId="4" builtinId="8"/>
    <cellStyle name="Moneda" xfId="2" builtinId="4"/>
    <cellStyle name="Moneda 2" xfId="5"/>
    <cellStyle name="Normal" xfId="0" builtinId="0"/>
    <cellStyle name="Porcentaje" xfId="3" builtinId="5"/>
  </cellStyles>
  <dxfs count="170">
    <dxf>
      <numFmt numFmtId="166" formatCode="0.000%"/>
    </dxf>
    <dxf>
      <fill>
        <patternFill>
          <bgColor rgb="FF00B050"/>
        </patternFill>
      </fill>
    </dxf>
    <dxf>
      <font>
        <color auto="1"/>
      </font>
      <fill>
        <patternFill>
          <bgColor rgb="FFFFFF00"/>
        </patternFill>
      </fill>
    </dxf>
    <dxf>
      <fill>
        <patternFill>
          <bgColor rgb="FFFF0000"/>
        </patternFill>
      </fill>
    </dxf>
    <dxf>
      <fill>
        <patternFill>
          <bgColor rgb="FF00B050"/>
        </patternFill>
      </fill>
    </dxf>
    <dxf>
      <font>
        <color auto="1"/>
      </font>
      <fill>
        <patternFill>
          <bgColor rgb="FFFFFF00"/>
        </patternFill>
      </fill>
    </dxf>
    <dxf>
      <fill>
        <patternFill>
          <bgColor rgb="FFFF0000"/>
        </patternFill>
      </fill>
    </dxf>
    <dxf>
      <fill>
        <patternFill>
          <bgColor rgb="FF00B050"/>
        </patternFill>
      </fill>
    </dxf>
    <dxf>
      <font>
        <color auto="1"/>
      </font>
      <fill>
        <patternFill>
          <bgColor rgb="FFFFFF00"/>
        </patternFill>
      </fill>
    </dxf>
    <dxf>
      <fill>
        <patternFill>
          <bgColor rgb="FFFF0000"/>
        </patternFill>
      </fill>
    </dxf>
    <dxf>
      <fill>
        <patternFill>
          <bgColor rgb="FF00B050"/>
        </patternFill>
      </fill>
    </dxf>
    <dxf>
      <font>
        <color auto="1"/>
      </font>
      <fill>
        <patternFill>
          <bgColor rgb="FFFFFF00"/>
        </patternFill>
      </fill>
    </dxf>
    <dxf>
      <fill>
        <patternFill>
          <bgColor rgb="FFFF0000"/>
        </patternFill>
      </fill>
    </dxf>
    <dxf>
      <fill>
        <patternFill>
          <bgColor rgb="FF00B050"/>
        </patternFill>
      </fill>
    </dxf>
    <dxf>
      <font>
        <color auto="1"/>
      </font>
      <fill>
        <patternFill>
          <bgColor rgb="FFFFFF00"/>
        </patternFill>
      </fill>
    </dxf>
    <dxf>
      <fill>
        <patternFill>
          <bgColor rgb="FFFF0000"/>
        </patternFill>
      </fill>
    </dxf>
    <dxf>
      <fill>
        <patternFill>
          <bgColor rgb="FF00B050"/>
        </patternFill>
      </fill>
    </dxf>
    <dxf>
      <font>
        <color auto="1"/>
      </font>
      <fill>
        <patternFill>
          <bgColor rgb="FFFFFF00"/>
        </patternFill>
      </fill>
    </dxf>
    <dxf>
      <fill>
        <patternFill>
          <bgColor rgb="FFFF0000"/>
        </patternFill>
      </fill>
    </dxf>
    <dxf>
      <fill>
        <patternFill>
          <bgColor rgb="FF00B050"/>
        </patternFill>
      </fill>
    </dxf>
    <dxf>
      <font>
        <color auto="1"/>
      </font>
      <fill>
        <patternFill>
          <bgColor rgb="FFFFFF00"/>
        </patternFill>
      </fill>
    </dxf>
    <dxf>
      <fill>
        <patternFill>
          <bgColor rgb="FFFF0000"/>
        </patternFill>
      </fill>
    </dxf>
    <dxf>
      <fill>
        <patternFill>
          <bgColor rgb="FF00B050"/>
        </patternFill>
      </fill>
    </dxf>
    <dxf>
      <font>
        <color auto="1"/>
      </font>
      <fill>
        <patternFill>
          <bgColor rgb="FFFFFF00"/>
        </patternFill>
      </fill>
    </dxf>
    <dxf>
      <fill>
        <patternFill>
          <bgColor rgb="FFFF0000"/>
        </patternFill>
      </fill>
    </dxf>
    <dxf>
      <fill>
        <patternFill>
          <bgColor rgb="FF00B050"/>
        </patternFill>
      </fill>
    </dxf>
    <dxf>
      <font>
        <color auto="1"/>
      </font>
      <fill>
        <patternFill>
          <bgColor rgb="FFFFFF00"/>
        </patternFill>
      </fill>
    </dxf>
    <dxf>
      <fill>
        <patternFill>
          <bgColor rgb="FFFF0000"/>
        </patternFill>
      </fill>
    </dxf>
    <dxf>
      <fill>
        <patternFill>
          <bgColor rgb="FF00B050"/>
        </patternFill>
      </fill>
    </dxf>
    <dxf>
      <font>
        <color auto="1"/>
      </font>
      <fill>
        <patternFill>
          <bgColor rgb="FFFFFF00"/>
        </patternFill>
      </fill>
    </dxf>
    <dxf>
      <fill>
        <patternFill>
          <bgColor rgb="FFFF0000"/>
        </patternFill>
      </fill>
    </dxf>
    <dxf>
      <fill>
        <patternFill>
          <bgColor rgb="FF00B050"/>
        </patternFill>
      </fill>
    </dxf>
    <dxf>
      <font>
        <color auto="1"/>
      </font>
      <fill>
        <patternFill>
          <bgColor rgb="FFFFFF00"/>
        </patternFill>
      </fill>
    </dxf>
    <dxf>
      <fill>
        <patternFill>
          <bgColor rgb="FFFF0000"/>
        </patternFill>
      </fill>
    </dxf>
    <dxf>
      <fill>
        <patternFill>
          <bgColor rgb="FF00B050"/>
        </patternFill>
      </fill>
    </dxf>
    <dxf>
      <font>
        <color auto="1"/>
      </font>
      <fill>
        <patternFill>
          <bgColor rgb="FFFFFF00"/>
        </patternFill>
      </fill>
    </dxf>
    <dxf>
      <fill>
        <patternFill>
          <bgColor rgb="FFFF0000"/>
        </patternFill>
      </fill>
    </dxf>
    <dxf>
      <fill>
        <patternFill>
          <bgColor rgb="FF00B050"/>
        </patternFill>
      </fill>
    </dxf>
    <dxf>
      <font>
        <color auto="1"/>
      </font>
      <fill>
        <patternFill>
          <bgColor rgb="FFFFFF00"/>
        </patternFill>
      </fill>
    </dxf>
    <dxf>
      <fill>
        <patternFill>
          <bgColor rgb="FFFF0000"/>
        </patternFill>
      </fill>
    </dxf>
    <dxf>
      <fill>
        <patternFill>
          <bgColor rgb="FF00B050"/>
        </patternFill>
      </fill>
    </dxf>
    <dxf>
      <font>
        <color auto="1"/>
      </font>
      <fill>
        <patternFill>
          <bgColor rgb="FFFFFF00"/>
        </patternFill>
      </fill>
    </dxf>
    <dxf>
      <fill>
        <patternFill>
          <bgColor rgb="FFFF0000"/>
        </patternFill>
      </fill>
    </dxf>
    <dxf>
      <fill>
        <patternFill>
          <bgColor rgb="FF00B050"/>
        </patternFill>
      </fill>
    </dxf>
    <dxf>
      <font>
        <color auto="1"/>
      </font>
      <fill>
        <patternFill>
          <bgColor rgb="FFFFFF00"/>
        </patternFill>
      </fill>
    </dxf>
    <dxf>
      <fill>
        <patternFill>
          <bgColor rgb="FFFF0000"/>
        </patternFill>
      </fill>
    </dxf>
    <dxf>
      <fill>
        <patternFill>
          <bgColor rgb="FF00B050"/>
        </patternFill>
      </fill>
    </dxf>
    <dxf>
      <font>
        <color auto="1"/>
      </font>
      <fill>
        <patternFill>
          <bgColor rgb="FFFFFF00"/>
        </patternFill>
      </fill>
    </dxf>
    <dxf>
      <fill>
        <patternFill>
          <bgColor rgb="FFFF0000"/>
        </patternFill>
      </fill>
    </dxf>
    <dxf>
      <fill>
        <patternFill>
          <bgColor rgb="FF00B050"/>
        </patternFill>
      </fill>
    </dxf>
    <dxf>
      <font>
        <color auto="1"/>
      </font>
      <fill>
        <patternFill>
          <bgColor rgb="FFFFFF0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ont>
        <color auto="1"/>
      </font>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ont>
        <color auto="1"/>
      </font>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FFFF00"/>
        </patternFill>
      </fill>
    </dxf>
    <dxf>
      <fill>
        <patternFill>
          <bgColor rgb="FF00B050"/>
        </patternFill>
      </fill>
    </dxf>
    <dxf>
      <fill>
        <patternFill>
          <bgColor rgb="FF00B05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ont>
        <color auto="1"/>
      </font>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ont>
        <color auto="1"/>
      </font>
      <fill>
        <patternFill>
          <bgColor rgb="FFFF0000"/>
        </patternFill>
      </fill>
    </dxf>
    <dxf>
      <fill>
        <patternFill>
          <bgColor rgb="FFFF0000"/>
        </patternFill>
      </fill>
    </dxf>
    <dxf>
      <fill>
        <patternFill>
          <bgColor rgb="FFFFFF00"/>
        </patternFill>
      </fill>
    </dxf>
    <dxf>
      <fill>
        <patternFill>
          <bgColor rgb="FF00B05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ont>
        <b/>
        <i val="0"/>
        <color theme="1"/>
      </font>
      <fill>
        <gradientFill degree="90">
          <stop position="0">
            <color theme="0"/>
          </stop>
          <stop position="0.5">
            <color rgb="FF00B050"/>
          </stop>
          <stop position="1">
            <color theme="0"/>
          </stop>
        </gradientFill>
      </fill>
      <border>
        <left style="thin">
          <color auto="1"/>
        </left>
        <right style="thin">
          <color auto="1"/>
        </right>
        <top style="thin">
          <color auto="1"/>
        </top>
        <bottom style="thin">
          <color auto="1"/>
        </bottom>
        <vertical/>
        <horizontal/>
      </border>
    </dxf>
    <dxf>
      <font>
        <b/>
        <i val="0"/>
        <color theme="1"/>
      </font>
      <fill>
        <gradientFill degree="90">
          <stop position="0">
            <color theme="0"/>
          </stop>
          <stop position="0.5">
            <color rgb="FFFF0000"/>
          </stop>
          <stop position="1">
            <color theme="0"/>
          </stop>
        </gradientFill>
      </fill>
    </dxf>
    <dxf>
      <font>
        <b/>
        <i val="0"/>
        <color theme="1"/>
      </font>
      <fill>
        <gradientFill degree="90">
          <stop position="0">
            <color theme="0"/>
          </stop>
          <stop position="1">
            <color theme="7" tint="0.59999389629810485"/>
          </stop>
        </gradientFill>
      </fill>
    </dxf>
    <dxf>
      <font>
        <b/>
        <i val="0"/>
        <color theme="1"/>
      </font>
      <fill>
        <gradientFill degree="90">
          <stop position="0">
            <color theme="0"/>
          </stop>
          <stop position="0.5">
            <color rgb="FF00B050"/>
          </stop>
          <stop position="1">
            <color theme="0"/>
          </stop>
        </gradientFill>
      </fill>
      <border>
        <left style="thin">
          <color auto="1"/>
        </left>
        <right style="thin">
          <color auto="1"/>
        </right>
        <top style="thin">
          <color auto="1"/>
        </top>
        <bottom style="thin">
          <color auto="1"/>
        </bottom>
        <vertical/>
        <horizontal/>
      </border>
    </dxf>
    <dxf>
      <font>
        <b/>
        <i val="0"/>
        <color theme="1"/>
      </font>
      <fill>
        <gradientFill degree="90">
          <stop position="0">
            <color theme="0"/>
          </stop>
          <stop position="0.5">
            <color rgb="FFFF0000"/>
          </stop>
          <stop position="1">
            <color theme="0"/>
          </stop>
        </gradientFill>
      </fill>
    </dxf>
    <dxf>
      <font>
        <b/>
        <i val="0"/>
        <color theme="1"/>
      </font>
      <fill>
        <gradientFill degree="90">
          <stop position="0">
            <color theme="0"/>
          </stop>
          <stop position="1">
            <color theme="7" tint="0.59999389629810485"/>
          </stop>
        </gradientFill>
      </fill>
    </dxf>
    <dxf>
      <font>
        <b/>
        <i val="0"/>
        <color theme="1"/>
      </font>
      <fill>
        <gradientFill degree="90">
          <stop position="0">
            <color theme="0"/>
          </stop>
          <stop position="0.5">
            <color rgb="FF00B050"/>
          </stop>
          <stop position="1">
            <color theme="0"/>
          </stop>
        </gradientFill>
      </fill>
      <border>
        <left style="thin">
          <color auto="1"/>
        </left>
        <right style="thin">
          <color auto="1"/>
        </right>
        <top style="thin">
          <color auto="1"/>
        </top>
        <bottom style="thin">
          <color auto="1"/>
        </bottom>
        <vertical/>
        <horizontal/>
      </border>
    </dxf>
    <dxf>
      <font>
        <b/>
        <i val="0"/>
        <color theme="1"/>
      </font>
      <fill>
        <gradientFill degree="90">
          <stop position="0">
            <color theme="0"/>
          </stop>
          <stop position="0.5">
            <color rgb="FFFF0000"/>
          </stop>
          <stop position="1">
            <color theme="0"/>
          </stop>
        </gradientFill>
      </fill>
    </dxf>
    <dxf>
      <font>
        <b/>
        <i val="0"/>
        <color theme="1"/>
      </font>
      <fill>
        <gradientFill degree="90">
          <stop position="0">
            <color theme="0"/>
          </stop>
          <stop position="1">
            <color theme="7" tint="0.59999389629810485"/>
          </stop>
        </gradientFill>
      </fill>
    </dxf>
    <dxf>
      <font>
        <b/>
        <i val="0"/>
        <color theme="1"/>
      </font>
      <fill>
        <gradientFill degree="90">
          <stop position="0">
            <color theme="0"/>
          </stop>
          <stop position="0.5">
            <color rgb="FF00B050"/>
          </stop>
          <stop position="1">
            <color theme="0"/>
          </stop>
        </gradientFill>
      </fill>
      <border>
        <left style="thin">
          <color auto="1"/>
        </left>
        <right style="thin">
          <color auto="1"/>
        </right>
        <top style="thin">
          <color auto="1"/>
        </top>
        <bottom style="thin">
          <color auto="1"/>
        </bottom>
        <vertical/>
        <horizontal/>
      </border>
    </dxf>
    <dxf>
      <font>
        <b/>
        <i val="0"/>
        <color theme="1"/>
      </font>
      <fill>
        <gradientFill degree="90">
          <stop position="0">
            <color theme="0"/>
          </stop>
          <stop position="0.5">
            <color rgb="FFFF0000"/>
          </stop>
          <stop position="1">
            <color theme="0"/>
          </stop>
        </gradientFill>
      </fill>
    </dxf>
    <dxf>
      <font>
        <b/>
        <i val="0"/>
        <color theme="1"/>
      </font>
      <fill>
        <gradientFill degree="90">
          <stop position="0">
            <color theme="0"/>
          </stop>
          <stop position="1">
            <color theme="7" tint="0.59999389629810485"/>
          </stop>
        </gradientFill>
      </fill>
    </dxf>
    <dxf>
      <font>
        <b/>
        <i val="0"/>
        <color theme="1"/>
      </font>
      <fill>
        <gradientFill degree="90">
          <stop position="0">
            <color theme="0"/>
          </stop>
          <stop position="0.5">
            <color rgb="FF00B050"/>
          </stop>
          <stop position="1">
            <color theme="0"/>
          </stop>
        </gradientFill>
      </fill>
      <border>
        <left style="thin">
          <color auto="1"/>
        </left>
        <right style="thin">
          <color auto="1"/>
        </right>
        <top style="thin">
          <color auto="1"/>
        </top>
        <bottom style="thin">
          <color auto="1"/>
        </bottom>
        <vertical/>
        <horizontal/>
      </border>
    </dxf>
    <dxf>
      <font>
        <b/>
        <i val="0"/>
        <color theme="1"/>
      </font>
      <fill>
        <gradientFill degree="90">
          <stop position="0">
            <color theme="0"/>
          </stop>
          <stop position="0.5">
            <color rgb="FFFF0000"/>
          </stop>
          <stop position="1">
            <color theme="0"/>
          </stop>
        </gradientFill>
      </fill>
    </dxf>
    <dxf>
      <font>
        <b/>
        <i val="0"/>
        <color theme="1"/>
      </font>
      <fill>
        <gradientFill degree="90">
          <stop position="0">
            <color theme="0"/>
          </stop>
          <stop position="1">
            <color theme="7" tint="0.59999389629810485"/>
          </stop>
        </gradientFill>
      </fill>
    </dxf>
    <dxf>
      <font>
        <b/>
        <i val="0"/>
        <color theme="1"/>
      </font>
      <fill>
        <gradientFill degree="90">
          <stop position="0">
            <color theme="0"/>
          </stop>
          <stop position="0.5">
            <color rgb="FF00B050"/>
          </stop>
          <stop position="1">
            <color theme="0"/>
          </stop>
        </gradientFill>
      </fill>
      <border>
        <left style="thin">
          <color auto="1"/>
        </left>
        <right style="thin">
          <color auto="1"/>
        </right>
        <top style="thin">
          <color auto="1"/>
        </top>
        <bottom style="thin">
          <color auto="1"/>
        </bottom>
        <vertical/>
        <horizontal/>
      </border>
    </dxf>
    <dxf>
      <font>
        <b/>
        <i val="0"/>
        <color theme="1"/>
      </font>
      <fill>
        <gradientFill degree="90">
          <stop position="0">
            <color theme="0"/>
          </stop>
          <stop position="0.5">
            <color rgb="FFFF0000"/>
          </stop>
          <stop position="1">
            <color theme="0"/>
          </stop>
        </gradientFill>
      </fill>
    </dxf>
    <dxf>
      <font>
        <b/>
        <i val="0"/>
        <color theme="1"/>
      </font>
      <fill>
        <gradientFill degree="90">
          <stop position="0">
            <color theme="0"/>
          </stop>
          <stop position="1">
            <color theme="7" tint="0.59999389629810485"/>
          </stop>
        </gradientFill>
      </fill>
    </dxf>
    <dxf>
      <font>
        <b/>
        <i val="0"/>
        <color theme="1"/>
      </font>
      <fill>
        <gradientFill degree="90">
          <stop position="0">
            <color theme="0"/>
          </stop>
          <stop position="0.5">
            <color rgb="FF00B050"/>
          </stop>
          <stop position="1">
            <color theme="0"/>
          </stop>
        </gradientFill>
      </fill>
      <border>
        <left style="thin">
          <color auto="1"/>
        </left>
        <right style="thin">
          <color auto="1"/>
        </right>
        <top style="thin">
          <color auto="1"/>
        </top>
        <bottom style="thin">
          <color auto="1"/>
        </bottom>
        <vertical/>
        <horizontal/>
      </border>
    </dxf>
    <dxf>
      <font>
        <b/>
        <i val="0"/>
        <color theme="1"/>
      </font>
      <fill>
        <gradientFill degree="90">
          <stop position="0">
            <color theme="0"/>
          </stop>
          <stop position="0.5">
            <color rgb="FFFF0000"/>
          </stop>
          <stop position="1">
            <color theme="0"/>
          </stop>
        </gradientFill>
      </fill>
    </dxf>
    <dxf>
      <font>
        <b/>
        <i val="0"/>
        <color theme="1"/>
      </font>
      <fill>
        <gradientFill degree="90">
          <stop position="0">
            <color theme="0"/>
          </stop>
          <stop position="1">
            <color theme="7" tint="0.59999389629810485"/>
          </stop>
        </gradientFill>
      </fill>
    </dxf>
    <dxf>
      <font>
        <b/>
        <i val="0"/>
        <color theme="1"/>
      </font>
      <fill>
        <gradientFill degree="90">
          <stop position="0">
            <color theme="0"/>
          </stop>
          <stop position="0.5">
            <color rgb="FF00B050"/>
          </stop>
          <stop position="1">
            <color theme="0"/>
          </stop>
        </gradientFill>
      </fill>
      <border>
        <left style="thin">
          <color auto="1"/>
        </left>
        <right style="thin">
          <color auto="1"/>
        </right>
        <top style="thin">
          <color auto="1"/>
        </top>
        <bottom style="thin">
          <color auto="1"/>
        </bottom>
        <vertical/>
        <horizontal/>
      </border>
    </dxf>
    <dxf>
      <font>
        <b/>
        <i val="0"/>
        <color theme="1"/>
      </font>
      <fill>
        <gradientFill degree="90">
          <stop position="0">
            <color theme="0"/>
          </stop>
          <stop position="0.5">
            <color rgb="FFFF0000"/>
          </stop>
          <stop position="1">
            <color theme="0"/>
          </stop>
        </gradientFill>
      </fill>
    </dxf>
    <dxf>
      <font>
        <b/>
        <i val="0"/>
        <color theme="1"/>
      </font>
      <fill>
        <gradientFill degree="90">
          <stop position="0">
            <color theme="0"/>
          </stop>
          <stop position="1">
            <color theme="7" tint="0.59999389629810485"/>
          </stop>
        </gradientFill>
      </fill>
    </dxf>
    <dxf>
      <font>
        <b/>
        <i val="0"/>
        <color theme="1"/>
      </font>
      <fill>
        <gradientFill degree="90">
          <stop position="0">
            <color theme="0"/>
          </stop>
          <stop position="0.5">
            <color rgb="FF00B050"/>
          </stop>
          <stop position="1">
            <color theme="0"/>
          </stop>
        </gradientFill>
      </fill>
      <border>
        <left style="thin">
          <color auto="1"/>
        </left>
        <right style="thin">
          <color auto="1"/>
        </right>
        <top style="thin">
          <color auto="1"/>
        </top>
        <bottom style="thin">
          <color auto="1"/>
        </bottom>
        <vertical/>
        <horizontal/>
      </border>
    </dxf>
    <dxf>
      <font>
        <b/>
        <i val="0"/>
        <color theme="1"/>
      </font>
      <fill>
        <gradientFill degree="90">
          <stop position="0">
            <color theme="0"/>
          </stop>
          <stop position="0.5">
            <color rgb="FFFF0000"/>
          </stop>
          <stop position="1">
            <color theme="0"/>
          </stop>
        </gradientFill>
      </fill>
    </dxf>
    <dxf>
      <font>
        <b/>
        <i val="0"/>
        <color theme="1"/>
      </font>
      <fill>
        <gradientFill degree="90">
          <stop position="0">
            <color theme="0"/>
          </stop>
          <stop position="1">
            <color theme="7" tint="0.59999389629810485"/>
          </stop>
        </gradientFill>
      </fill>
    </dxf>
    <dxf>
      <font>
        <b/>
        <i val="0"/>
        <color theme="1"/>
      </font>
      <fill>
        <gradientFill degree="90">
          <stop position="0">
            <color theme="0"/>
          </stop>
          <stop position="0.5">
            <color rgb="FF00B050"/>
          </stop>
          <stop position="1">
            <color theme="0"/>
          </stop>
        </gradientFill>
      </fill>
      <border>
        <left style="thin">
          <color auto="1"/>
        </left>
        <right style="thin">
          <color auto="1"/>
        </right>
        <top style="thin">
          <color auto="1"/>
        </top>
        <bottom style="thin">
          <color auto="1"/>
        </bottom>
        <vertical/>
        <horizontal/>
      </border>
    </dxf>
    <dxf>
      <font>
        <b/>
        <i val="0"/>
        <color theme="1"/>
      </font>
      <fill>
        <gradientFill degree="90">
          <stop position="0">
            <color theme="0"/>
          </stop>
          <stop position="0.5">
            <color rgb="FFFF0000"/>
          </stop>
          <stop position="1">
            <color theme="0"/>
          </stop>
        </gradientFill>
      </fill>
    </dxf>
    <dxf>
      <font>
        <b/>
        <i val="0"/>
        <color theme="1"/>
      </font>
      <fill>
        <gradientFill degree="90">
          <stop position="0">
            <color theme="0"/>
          </stop>
          <stop position="1">
            <color theme="7" tint="0.59999389629810485"/>
          </stop>
        </gradientFill>
      </fill>
    </dxf>
    <dxf>
      <font>
        <b/>
        <i val="0"/>
        <color theme="1"/>
      </font>
      <fill>
        <gradientFill degree="90">
          <stop position="0">
            <color theme="0"/>
          </stop>
          <stop position="0.5">
            <color rgb="FF00B050"/>
          </stop>
          <stop position="1">
            <color theme="0"/>
          </stop>
        </gradientFill>
      </fill>
      <border>
        <left style="thin">
          <color auto="1"/>
        </left>
        <right style="thin">
          <color auto="1"/>
        </right>
        <top style="thin">
          <color auto="1"/>
        </top>
        <bottom style="thin">
          <color auto="1"/>
        </bottom>
        <vertical/>
        <horizontal/>
      </border>
    </dxf>
    <dxf>
      <font>
        <b/>
        <i val="0"/>
        <color theme="1"/>
      </font>
      <fill>
        <gradientFill degree="90">
          <stop position="0">
            <color theme="0"/>
          </stop>
          <stop position="0.5">
            <color rgb="FFFF0000"/>
          </stop>
          <stop position="1">
            <color theme="0"/>
          </stop>
        </gradientFill>
      </fill>
    </dxf>
    <dxf>
      <font>
        <b/>
        <i val="0"/>
        <color theme="1"/>
      </font>
      <fill>
        <gradientFill degree="90">
          <stop position="0">
            <color theme="0"/>
          </stop>
          <stop position="1">
            <color theme="7" tint="0.59999389629810485"/>
          </stop>
        </gradientFill>
      </fill>
    </dxf>
    <dxf>
      <font>
        <b/>
        <i val="0"/>
        <color theme="1"/>
      </font>
      <fill>
        <gradientFill degree="90">
          <stop position="0">
            <color theme="0"/>
          </stop>
          <stop position="0.5">
            <color rgb="FF00B050"/>
          </stop>
          <stop position="1">
            <color theme="0"/>
          </stop>
        </gradientFill>
      </fill>
      <border>
        <left style="thin">
          <color auto="1"/>
        </left>
        <right style="thin">
          <color auto="1"/>
        </right>
        <top style="thin">
          <color auto="1"/>
        </top>
        <bottom style="thin">
          <color auto="1"/>
        </bottom>
        <vertical/>
        <horizontal/>
      </border>
    </dxf>
    <dxf>
      <font>
        <b/>
        <i val="0"/>
        <color theme="1"/>
      </font>
      <fill>
        <gradientFill degree="90">
          <stop position="0">
            <color theme="0"/>
          </stop>
          <stop position="0.5">
            <color rgb="FFFF0000"/>
          </stop>
          <stop position="1">
            <color theme="0"/>
          </stop>
        </gradientFill>
      </fill>
    </dxf>
    <dxf>
      <font>
        <b/>
        <i val="0"/>
        <color theme="1"/>
      </font>
      <fill>
        <gradientFill degree="90">
          <stop position="0">
            <color theme="0"/>
          </stop>
          <stop position="1">
            <color theme="7" tint="0.59999389629810485"/>
          </stop>
        </gradientFill>
      </fill>
    </dxf>
    <dxf>
      <font>
        <b/>
        <i val="0"/>
        <color theme="1"/>
      </font>
      <fill>
        <gradientFill degree="90">
          <stop position="0">
            <color theme="0"/>
          </stop>
          <stop position="0.5">
            <color rgb="FF00B050"/>
          </stop>
          <stop position="1">
            <color theme="0"/>
          </stop>
        </gradientFill>
      </fill>
      <border>
        <left style="thin">
          <color auto="1"/>
        </left>
        <right style="thin">
          <color auto="1"/>
        </right>
        <top style="thin">
          <color auto="1"/>
        </top>
        <bottom style="thin">
          <color auto="1"/>
        </bottom>
        <vertical/>
        <horizontal/>
      </border>
    </dxf>
    <dxf>
      <font>
        <b/>
        <i val="0"/>
        <color theme="1"/>
      </font>
      <fill>
        <gradientFill degree="90">
          <stop position="0">
            <color theme="0"/>
          </stop>
          <stop position="0.5">
            <color rgb="FFFF0000"/>
          </stop>
          <stop position="1">
            <color theme="0"/>
          </stop>
        </gradientFill>
      </fill>
    </dxf>
    <dxf>
      <font>
        <b/>
        <i val="0"/>
        <color theme="1"/>
      </font>
      <fill>
        <gradientFill degree="90">
          <stop position="0">
            <color theme="0"/>
          </stop>
          <stop position="1">
            <color theme="7" tint="0.59999389629810485"/>
          </stop>
        </gradientFill>
      </fill>
    </dxf>
    <dxf>
      <font>
        <b/>
        <i val="0"/>
        <color theme="1"/>
      </font>
      <fill>
        <gradientFill degree="90">
          <stop position="0">
            <color theme="0"/>
          </stop>
          <stop position="0.5">
            <color rgb="FF00B050"/>
          </stop>
          <stop position="1">
            <color theme="0"/>
          </stop>
        </gradientFill>
      </fill>
      <border>
        <left style="thin">
          <color auto="1"/>
        </left>
        <right style="thin">
          <color auto="1"/>
        </right>
        <top style="thin">
          <color auto="1"/>
        </top>
        <bottom style="thin">
          <color auto="1"/>
        </bottom>
        <vertical/>
        <horizontal/>
      </border>
    </dxf>
    <dxf>
      <font>
        <b/>
        <i val="0"/>
        <color theme="1"/>
      </font>
      <fill>
        <gradientFill degree="90">
          <stop position="0">
            <color theme="0"/>
          </stop>
          <stop position="0.5">
            <color rgb="FFFF0000"/>
          </stop>
          <stop position="1">
            <color theme="0"/>
          </stop>
        </gradientFill>
      </fill>
    </dxf>
    <dxf>
      <font>
        <b/>
        <i val="0"/>
        <color theme="1"/>
      </font>
      <fill>
        <gradientFill degree="90">
          <stop position="0">
            <color theme="0"/>
          </stop>
          <stop position="1">
            <color theme="7" tint="0.59999389629810485"/>
          </stop>
        </gradientFill>
      </fill>
    </dxf>
    <dxf>
      <fill>
        <patternFill>
          <bgColor theme="9" tint="0.79998168889431442"/>
        </patternFill>
      </fill>
    </dxf>
    <dxf>
      <fill>
        <patternFill>
          <bgColor theme="9" tint="0.39994506668294322"/>
        </patternFill>
      </fill>
    </dxf>
    <dxf>
      <fill>
        <patternFill>
          <bgColor theme="5" tint="0.39994506668294322"/>
        </patternFill>
      </fill>
    </dxf>
    <dxf>
      <fill>
        <patternFill>
          <bgColor theme="5" tint="-0.24994659260841701"/>
        </patternFill>
      </fill>
    </dxf>
  </dxfs>
  <tableStyles count="0" defaultTableStyle="TableStyleMedium2" defaultPivotStyle="PivotStyleLight16"/>
  <colors>
    <mruColors>
      <color rgb="FFF040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microsoft.com/office/2007/relationships/slicerCache" Target="slicerCaches/slicerCache8.xml"/><Relationship Id="rId21" Type="http://schemas.openxmlformats.org/officeDocument/2006/relationships/worksheet" Target="worksheets/sheet21.xml"/><Relationship Id="rId34" Type="http://schemas.microsoft.com/office/2007/relationships/slicerCache" Target="slicerCaches/slicerCache3.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2.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07/relationships/slicerCache" Target="slicerCaches/slicerCache1.xml"/><Relationship Id="rId37" Type="http://schemas.microsoft.com/office/2007/relationships/slicerCache" Target="slicerCaches/slicerCache6.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1.xml"/><Relationship Id="rId36" Type="http://schemas.microsoft.com/office/2007/relationships/slicerCache" Target="slicerCaches/slicerCache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pivotCacheDefinition" Target="pivotCache/pivotCacheDefinition3.xml"/><Relationship Id="rId35" Type="http://schemas.microsoft.com/office/2007/relationships/slicerCache" Target="slicerCaches/slicerCache4.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07/relationships/slicerCache" Target="slicerCaches/slicerCache2.xml"/><Relationship Id="rId38" Type="http://schemas.microsoft.com/office/2007/relationships/slicerCache" Target="slicerCaches/slicerCache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[PLAN ESTRATÉGICO 2020 CUADRO DE MANDO JUNIO- Tecnología_V1.xlsx]TABLA FI!Tabla dinámica1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EC"/>
              <a:t>PERSPECTIVA FINANCIERA</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EC"/>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'TABLA FI'!$B$3</c:f>
              <c:strCache>
                <c:ptCount val="1"/>
                <c:pt idx="0">
                  <c:v>Suma de META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'TABLA FI'!$A$4:$A$6</c:f>
              <c:multiLvlStrCache>
                <c:ptCount val="1"/>
                <c:lvl>
                  <c:pt idx="0">
                    <c:v>Grado de absorción </c:v>
                  </c:pt>
                </c:lvl>
                <c:lvl>
                  <c:pt idx="0">
                    <c:v>ABRIL</c:v>
                  </c:pt>
                </c:lvl>
              </c:multiLvlStrCache>
            </c:multiLvlStrRef>
          </c:cat>
          <c:val>
            <c:numRef>
              <c:f>'TABLA FI'!$B$4:$B$6</c:f>
              <c:numCache>
                <c:formatCode>0.000%</c:formatCode>
                <c:ptCount val="1"/>
                <c:pt idx="0">
                  <c:v>1</c:v>
                </c:pt>
              </c:numCache>
            </c:numRef>
          </c:val>
        </c:ser>
        <c:ser>
          <c:idx val="1"/>
          <c:order val="1"/>
          <c:tx>
            <c:strRef>
              <c:f>'TABLA FI'!$C$3</c:f>
              <c:strCache>
                <c:ptCount val="1"/>
                <c:pt idx="0">
                  <c:v>Suma de CUMPLIMIENTO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'TABLA FI'!$A$4:$A$6</c:f>
              <c:multiLvlStrCache>
                <c:ptCount val="1"/>
                <c:lvl>
                  <c:pt idx="0">
                    <c:v>Grado de absorción </c:v>
                  </c:pt>
                </c:lvl>
                <c:lvl>
                  <c:pt idx="0">
                    <c:v>ABRIL</c:v>
                  </c:pt>
                </c:lvl>
              </c:multiLvlStrCache>
            </c:multiLvlStrRef>
          </c:cat>
          <c:val>
            <c:numRef>
              <c:f>'TABLA FI'!$C$4:$C$6</c:f>
              <c:numCache>
                <c:formatCode>0.000%</c:formatCode>
                <c:ptCount val="1"/>
                <c:pt idx="0">
                  <c:v>0</c:v>
                </c:pt>
              </c:numCache>
            </c:numRef>
          </c:val>
        </c:ser>
        <c:dLbls>
          <c:showLegendKey val="0"/>
          <c:showVal val="0"/>
          <c:showCatName val="0"/>
          <c:showSerName val="0"/>
          <c:showPercent val="0"/>
          <c:showBubbleSize val="0"/>
        </c:dLbls>
        <c:gapWidth val="150"/>
        <c:axId val="256981840"/>
        <c:axId val="258300624"/>
      </c:barChart>
      <c:lineChart>
        <c:grouping val="standard"/>
        <c:varyColors val="0"/>
        <c:ser>
          <c:idx val="2"/>
          <c:order val="2"/>
          <c:tx>
            <c:strRef>
              <c:f>'TABLA FI'!$D$3</c:f>
              <c:strCache>
                <c:ptCount val="1"/>
                <c:pt idx="0">
                  <c:v>Suma de DIFERENCIA</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'TABLA FI'!$A$4:$A$6</c:f>
              <c:multiLvlStrCache>
                <c:ptCount val="1"/>
                <c:lvl>
                  <c:pt idx="0">
                    <c:v>Grado de absorción </c:v>
                  </c:pt>
                </c:lvl>
                <c:lvl>
                  <c:pt idx="0">
                    <c:v>ABRIL</c:v>
                  </c:pt>
                </c:lvl>
              </c:multiLvlStrCache>
            </c:multiLvlStrRef>
          </c:cat>
          <c:val>
            <c:numRef>
              <c:f>'TABLA FI'!$D$4:$D$6</c:f>
              <c:numCache>
                <c:formatCode>0.000%</c:formatCode>
                <c:ptCount val="1"/>
                <c:pt idx="0">
                  <c:v>-1</c:v>
                </c:pt>
              </c:numCache>
            </c:numRef>
          </c:val>
          <c:smooth val="0"/>
        </c:ser>
        <c:dLbls>
          <c:showLegendKey val="0"/>
          <c:showVal val="0"/>
          <c:showCatName val="0"/>
          <c:showSerName val="0"/>
          <c:showPercent val="0"/>
          <c:showBubbleSize val="0"/>
        </c:dLbls>
        <c:marker val="1"/>
        <c:smooth val="0"/>
        <c:axId val="258301744"/>
        <c:axId val="258301184"/>
      </c:lineChart>
      <c:catAx>
        <c:axId val="2569818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C"/>
          </a:p>
        </c:txPr>
        <c:crossAx val="258300624"/>
        <c:crosses val="autoZero"/>
        <c:auto val="1"/>
        <c:lblAlgn val="ctr"/>
        <c:lblOffset val="100"/>
        <c:noMultiLvlLbl val="0"/>
      </c:catAx>
      <c:valAx>
        <c:axId val="258300624"/>
        <c:scaling>
          <c:orientation val="minMax"/>
        </c:scaling>
        <c:delete val="0"/>
        <c:axPos val="l"/>
        <c:majorGridlines>
          <c:spPr>
            <a:ln w="9525" cap="flat" cmpd="sng" algn="ctr">
              <a:solidFill>
                <a:schemeClr val="lt1">
                  <a:lumMod val="95000"/>
                  <a:alpha val="10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C"/>
          </a:p>
        </c:txPr>
        <c:crossAx val="256981840"/>
        <c:crosses val="autoZero"/>
        <c:crossBetween val="between"/>
      </c:valAx>
      <c:valAx>
        <c:axId val="258301184"/>
        <c:scaling>
          <c:orientation val="minMax"/>
        </c:scaling>
        <c:delete val="0"/>
        <c:axPos val="r"/>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C"/>
          </a:p>
        </c:txPr>
        <c:crossAx val="258301744"/>
        <c:crosses val="max"/>
        <c:crossBetween val="between"/>
      </c:valAx>
      <c:catAx>
        <c:axId val="258301744"/>
        <c:scaling>
          <c:orientation val="minMax"/>
        </c:scaling>
        <c:delete val="1"/>
        <c:axPos val="b"/>
        <c:numFmt formatCode="General" sourceLinked="1"/>
        <c:majorTickMark val="none"/>
        <c:minorTickMark val="none"/>
        <c:tickLblPos val="nextTo"/>
        <c:crossAx val="258301184"/>
        <c:crosses val="autoZero"/>
        <c:auto val="1"/>
        <c:lblAlgn val="ctr"/>
        <c:lblOffset val="100"/>
        <c:noMultiLvlLbl val="0"/>
      </c:cat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s-EC"/>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EC"/>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[PLAN ESTRATÉGICO 2020 CUADRO DE MANDO JUNIO- Tecnología_V1.xlsx]TABLA CL!Tabla dinámica1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EC"/>
              <a:t>PERSPECTIVA CLIENTES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EC"/>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'TABLA CL'!$B$3</c:f>
              <c:strCache>
                <c:ptCount val="1"/>
                <c:pt idx="0">
                  <c:v>Suma de META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'TABLA CL'!$A$4:$A$6</c:f>
              <c:multiLvlStrCache>
                <c:ptCount val="1"/>
                <c:lvl>
                  <c:pt idx="0">
                    <c:v>Imagen Institucional</c:v>
                  </c:pt>
                </c:lvl>
                <c:lvl>
                  <c:pt idx="0">
                    <c:v>MAYO</c:v>
                  </c:pt>
                </c:lvl>
              </c:multiLvlStrCache>
            </c:multiLvlStrRef>
          </c:cat>
          <c:val>
            <c:numRef>
              <c:f>'TABLA CL'!$B$4:$B$6</c:f>
              <c:numCache>
                <c:formatCode>General</c:formatCode>
                <c:ptCount val="1"/>
                <c:pt idx="0">
                  <c:v>0.3589</c:v>
                </c:pt>
              </c:numCache>
            </c:numRef>
          </c:val>
        </c:ser>
        <c:ser>
          <c:idx val="1"/>
          <c:order val="1"/>
          <c:tx>
            <c:strRef>
              <c:f>'TABLA CL'!$C$3</c:f>
              <c:strCache>
                <c:ptCount val="1"/>
                <c:pt idx="0">
                  <c:v>Suma de CUMPLIMIENTO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'TABLA CL'!$A$4:$A$6</c:f>
              <c:multiLvlStrCache>
                <c:ptCount val="1"/>
                <c:lvl>
                  <c:pt idx="0">
                    <c:v>Imagen Institucional</c:v>
                  </c:pt>
                </c:lvl>
                <c:lvl>
                  <c:pt idx="0">
                    <c:v>MAYO</c:v>
                  </c:pt>
                </c:lvl>
              </c:multiLvlStrCache>
            </c:multiLvlStrRef>
          </c:cat>
          <c:val>
            <c:numRef>
              <c:f>'TABLA CL'!$C$4:$C$6</c:f>
              <c:numCache>
                <c:formatCode>General</c:formatCode>
                <c:ptCount val="1"/>
                <c:pt idx="0">
                  <c:v>0</c:v>
                </c:pt>
              </c:numCache>
            </c:numRef>
          </c:val>
        </c:ser>
        <c:dLbls>
          <c:showLegendKey val="0"/>
          <c:showVal val="0"/>
          <c:showCatName val="0"/>
          <c:showSerName val="0"/>
          <c:showPercent val="0"/>
          <c:showBubbleSize val="0"/>
        </c:dLbls>
        <c:gapWidth val="150"/>
        <c:axId val="257065936"/>
        <c:axId val="257066496"/>
      </c:barChart>
      <c:lineChart>
        <c:grouping val="standard"/>
        <c:varyColors val="0"/>
        <c:ser>
          <c:idx val="2"/>
          <c:order val="2"/>
          <c:tx>
            <c:strRef>
              <c:f>'TABLA CL'!$D$3</c:f>
              <c:strCache>
                <c:ptCount val="1"/>
                <c:pt idx="0">
                  <c:v>Suma de DIFERENCIA</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'TABLA CL'!$A$4:$A$6</c:f>
              <c:multiLvlStrCache>
                <c:ptCount val="1"/>
                <c:lvl>
                  <c:pt idx="0">
                    <c:v>Imagen Institucional</c:v>
                  </c:pt>
                </c:lvl>
                <c:lvl>
                  <c:pt idx="0">
                    <c:v>MAYO</c:v>
                  </c:pt>
                </c:lvl>
              </c:multiLvlStrCache>
            </c:multiLvlStrRef>
          </c:cat>
          <c:val>
            <c:numRef>
              <c:f>'TABLA CL'!$D$4:$D$6</c:f>
              <c:numCache>
                <c:formatCode>General</c:formatCode>
                <c:ptCount val="1"/>
                <c:pt idx="0">
                  <c:v>-0.3589</c:v>
                </c:pt>
              </c:numCache>
            </c:numRef>
          </c:val>
          <c:smooth val="0"/>
        </c:ser>
        <c:dLbls>
          <c:showLegendKey val="0"/>
          <c:showVal val="0"/>
          <c:showCatName val="0"/>
          <c:showSerName val="0"/>
          <c:showPercent val="0"/>
          <c:showBubbleSize val="0"/>
        </c:dLbls>
        <c:marker val="1"/>
        <c:smooth val="0"/>
        <c:axId val="257067616"/>
        <c:axId val="257067056"/>
      </c:lineChart>
      <c:catAx>
        <c:axId val="2570659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C"/>
          </a:p>
        </c:txPr>
        <c:crossAx val="257066496"/>
        <c:crosses val="autoZero"/>
        <c:auto val="1"/>
        <c:lblAlgn val="ctr"/>
        <c:lblOffset val="100"/>
        <c:noMultiLvlLbl val="0"/>
      </c:catAx>
      <c:valAx>
        <c:axId val="2570664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C"/>
          </a:p>
        </c:txPr>
        <c:crossAx val="257065936"/>
        <c:crosses val="autoZero"/>
        <c:crossBetween val="between"/>
      </c:valAx>
      <c:valAx>
        <c:axId val="257067056"/>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C"/>
          </a:p>
        </c:txPr>
        <c:crossAx val="257067616"/>
        <c:crosses val="max"/>
        <c:crossBetween val="between"/>
      </c:valAx>
      <c:catAx>
        <c:axId val="257067616"/>
        <c:scaling>
          <c:orientation val="minMax"/>
        </c:scaling>
        <c:delete val="1"/>
        <c:axPos val="b"/>
        <c:numFmt formatCode="General" sourceLinked="1"/>
        <c:majorTickMark val="none"/>
        <c:minorTickMark val="none"/>
        <c:tickLblPos val="nextTo"/>
        <c:crossAx val="257067056"/>
        <c:crosses val="autoZero"/>
        <c:auto val="1"/>
        <c:lblAlgn val="ctr"/>
        <c:lblOffset val="100"/>
        <c:noMultiLvlLbl val="0"/>
      </c:cat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s-EC"/>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EC"/>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[PLAN ESTRATÉGICO 2020 CUADRO DE MANDO JUNIO- Tecnología_V1.xlsx]TABLA PR!Tabla dinámica1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EC"/>
              <a:t>PERSPECTIVA PROCESOS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EC"/>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'TABLA PR'!$B$3</c:f>
              <c:strCache>
                <c:ptCount val="1"/>
                <c:pt idx="0">
                  <c:v>Suma de META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'TABLA PR'!$A$4:$A$6</c:f>
              <c:multiLvlStrCache>
                <c:ptCount val="1"/>
                <c:lvl>
                  <c:pt idx="0">
                    <c:v>Cumplimiento de acuerdo de niveles de servicio</c:v>
                  </c:pt>
                </c:lvl>
                <c:lvl>
                  <c:pt idx="0">
                    <c:v>ABRIL</c:v>
                  </c:pt>
                </c:lvl>
              </c:multiLvlStrCache>
            </c:multiLvlStrRef>
          </c:cat>
          <c:val>
            <c:numRef>
              <c:f>'TABLA PR'!$B$4:$B$6</c:f>
              <c:numCache>
                <c:formatCode>General</c:formatCode>
                <c:ptCount val="1"/>
                <c:pt idx="0">
                  <c:v>0.85</c:v>
                </c:pt>
              </c:numCache>
            </c:numRef>
          </c:val>
        </c:ser>
        <c:ser>
          <c:idx val="1"/>
          <c:order val="1"/>
          <c:tx>
            <c:strRef>
              <c:f>'TABLA PR'!$C$3</c:f>
              <c:strCache>
                <c:ptCount val="1"/>
                <c:pt idx="0">
                  <c:v>Suma de CUMPLIMIENTO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'TABLA PR'!$A$4:$A$6</c:f>
              <c:multiLvlStrCache>
                <c:ptCount val="1"/>
                <c:lvl>
                  <c:pt idx="0">
                    <c:v>Cumplimiento de acuerdo de niveles de servicio</c:v>
                  </c:pt>
                </c:lvl>
                <c:lvl>
                  <c:pt idx="0">
                    <c:v>ABRIL</c:v>
                  </c:pt>
                </c:lvl>
              </c:multiLvlStrCache>
            </c:multiLvlStrRef>
          </c:cat>
          <c:val>
            <c:numRef>
              <c:f>'TABLA PR'!$C$4:$C$6</c:f>
              <c:numCache>
                <c:formatCode>General</c:formatCode>
                <c:ptCount val="1"/>
                <c:pt idx="0">
                  <c:v>0</c:v>
                </c:pt>
              </c:numCache>
            </c:numRef>
          </c:val>
        </c:ser>
        <c:dLbls>
          <c:showLegendKey val="0"/>
          <c:showVal val="0"/>
          <c:showCatName val="0"/>
          <c:showSerName val="0"/>
          <c:showPercent val="0"/>
          <c:showBubbleSize val="0"/>
        </c:dLbls>
        <c:gapWidth val="150"/>
        <c:axId val="104054336"/>
        <c:axId val="104054896"/>
      </c:barChart>
      <c:lineChart>
        <c:grouping val="standard"/>
        <c:varyColors val="0"/>
        <c:ser>
          <c:idx val="2"/>
          <c:order val="2"/>
          <c:tx>
            <c:strRef>
              <c:f>'TABLA PR'!$D$3</c:f>
              <c:strCache>
                <c:ptCount val="1"/>
                <c:pt idx="0">
                  <c:v>Suma de DIFERENCIA</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'TABLA PR'!$A$4:$A$6</c:f>
              <c:multiLvlStrCache>
                <c:ptCount val="1"/>
                <c:lvl>
                  <c:pt idx="0">
                    <c:v>Cumplimiento de acuerdo de niveles de servicio</c:v>
                  </c:pt>
                </c:lvl>
                <c:lvl>
                  <c:pt idx="0">
                    <c:v>ABRIL</c:v>
                  </c:pt>
                </c:lvl>
              </c:multiLvlStrCache>
            </c:multiLvlStrRef>
          </c:cat>
          <c:val>
            <c:numRef>
              <c:f>'TABLA PR'!$D$4:$D$6</c:f>
              <c:numCache>
                <c:formatCode>General</c:formatCode>
                <c:ptCount val="1"/>
                <c:pt idx="0">
                  <c:v>-0.85</c:v>
                </c:pt>
              </c:numCache>
            </c:numRef>
          </c:val>
          <c:smooth val="0"/>
        </c:ser>
        <c:dLbls>
          <c:showLegendKey val="0"/>
          <c:showVal val="0"/>
          <c:showCatName val="0"/>
          <c:showSerName val="0"/>
          <c:showPercent val="0"/>
          <c:showBubbleSize val="0"/>
        </c:dLbls>
        <c:marker val="1"/>
        <c:smooth val="0"/>
        <c:axId val="336758080"/>
        <c:axId val="336757520"/>
      </c:lineChart>
      <c:catAx>
        <c:axId val="1040543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C"/>
          </a:p>
        </c:txPr>
        <c:crossAx val="104054896"/>
        <c:crosses val="autoZero"/>
        <c:auto val="1"/>
        <c:lblAlgn val="ctr"/>
        <c:lblOffset val="100"/>
        <c:noMultiLvlLbl val="0"/>
      </c:catAx>
      <c:valAx>
        <c:axId val="104054896"/>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EC"/>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C"/>
          </a:p>
        </c:txPr>
        <c:crossAx val="104054336"/>
        <c:crosses val="autoZero"/>
        <c:crossBetween val="between"/>
      </c:valAx>
      <c:valAx>
        <c:axId val="33675752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C"/>
          </a:p>
        </c:txPr>
        <c:crossAx val="336758080"/>
        <c:crosses val="max"/>
        <c:crossBetween val="between"/>
      </c:valAx>
      <c:catAx>
        <c:axId val="336758080"/>
        <c:scaling>
          <c:orientation val="minMax"/>
        </c:scaling>
        <c:delete val="1"/>
        <c:axPos val="b"/>
        <c:numFmt formatCode="General" sourceLinked="1"/>
        <c:majorTickMark val="none"/>
        <c:minorTickMark val="none"/>
        <c:tickLblPos val="nextTo"/>
        <c:crossAx val="336757520"/>
        <c:crosses val="autoZero"/>
        <c:auto val="1"/>
        <c:lblAlgn val="ctr"/>
        <c:lblOffset val="100"/>
        <c:noMultiLvlLbl val="0"/>
      </c:cat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s-EC"/>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EC"/>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[PLAN ESTRATÉGICO 2020 CUADRO DE MANDO JUNIO- Tecnología_V1.xlsx]TABLA AP !Tabla dinámica1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EC"/>
              <a:t>PERSPECTIVA APRENDIZAJE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EC"/>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'TABLA AP '!$B$3</c:f>
              <c:strCache>
                <c:ptCount val="1"/>
                <c:pt idx="0">
                  <c:v>Suma de META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'TABLA AP '!$A$4:$A$6</c:f>
              <c:multiLvlStrCache>
                <c:ptCount val="1"/>
                <c:lvl>
                  <c:pt idx="0">
                    <c:v>Indicador de Gobernanza</c:v>
                  </c:pt>
                </c:lvl>
                <c:lvl>
                  <c:pt idx="0">
                    <c:v>MARZO</c:v>
                  </c:pt>
                </c:lvl>
              </c:multiLvlStrCache>
            </c:multiLvlStrRef>
          </c:cat>
          <c:val>
            <c:numRef>
              <c:f>'TABLA AP '!$B$4:$B$6</c:f>
              <c:numCache>
                <c:formatCode>General</c:formatCode>
                <c:ptCount val="1"/>
                <c:pt idx="0">
                  <c:v>0.85</c:v>
                </c:pt>
              </c:numCache>
            </c:numRef>
          </c:val>
        </c:ser>
        <c:ser>
          <c:idx val="1"/>
          <c:order val="1"/>
          <c:tx>
            <c:strRef>
              <c:f>'TABLA AP '!$C$3</c:f>
              <c:strCache>
                <c:ptCount val="1"/>
                <c:pt idx="0">
                  <c:v>Suma de CUMPLIMIENTO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'TABLA AP '!$A$4:$A$6</c:f>
              <c:multiLvlStrCache>
                <c:ptCount val="1"/>
                <c:lvl>
                  <c:pt idx="0">
                    <c:v>Indicador de Gobernanza</c:v>
                  </c:pt>
                </c:lvl>
                <c:lvl>
                  <c:pt idx="0">
                    <c:v>MARZO</c:v>
                  </c:pt>
                </c:lvl>
              </c:multiLvlStrCache>
            </c:multiLvlStrRef>
          </c:cat>
          <c:val>
            <c:numRef>
              <c:f>'TABLA AP '!$C$4:$C$6</c:f>
              <c:numCache>
                <c:formatCode>General</c:formatCode>
                <c:ptCount val="1"/>
                <c:pt idx="0">
                  <c:v>0.94110000000000005</c:v>
                </c:pt>
              </c:numCache>
            </c:numRef>
          </c:val>
        </c:ser>
        <c:dLbls>
          <c:showLegendKey val="0"/>
          <c:showVal val="0"/>
          <c:showCatName val="0"/>
          <c:showSerName val="0"/>
          <c:showPercent val="0"/>
          <c:showBubbleSize val="0"/>
        </c:dLbls>
        <c:gapWidth val="150"/>
        <c:axId val="324953488"/>
        <c:axId val="324954048"/>
      </c:barChart>
      <c:lineChart>
        <c:grouping val="standard"/>
        <c:varyColors val="0"/>
        <c:ser>
          <c:idx val="2"/>
          <c:order val="2"/>
          <c:tx>
            <c:strRef>
              <c:f>'TABLA AP '!$D$3</c:f>
              <c:strCache>
                <c:ptCount val="1"/>
                <c:pt idx="0">
                  <c:v>Suma de DIFERENCIA</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'TABLA AP '!$A$4:$A$6</c:f>
              <c:multiLvlStrCache>
                <c:ptCount val="1"/>
                <c:lvl>
                  <c:pt idx="0">
                    <c:v>Indicador de Gobernanza</c:v>
                  </c:pt>
                </c:lvl>
                <c:lvl>
                  <c:pt idx="0">
                    <c:v>MARZO</c:v>
                  </c:pt>
                </c:lvl>
              </c:multiLvlStrCache>
            </c:multiLvlStrRef>
          </c:cat>
          <c:val>
            <c:numRef>
              <c:f>'TABLA AP '!$D$4:$D$6</c:f>
              <c:numCache>
                <c:formatCode>General</c:formatCode>
                <c:ptCount val="1"/>
                <c:pt idx="0">
                  <c:v>9.110000000000007E-2</c:v>
                </c:pt>
              </c:numCache>
            </c:numRef>
          </c:val>
          <c:smooth val="0"/>
        </c:ser>
        <c:dLbls>
          <c:showLegendKey val="0"/>
          <c:showVal val="0"/>
          <c:showCatName val="0"/>
          <c:showSerName val="0"/>
          <c:showPercent val="0"/>
          <c:showBubbleSize val="0"/>
        </c:dLbls>
        <c:marker val="1"/>
        <c:smooth val="0"/>
        <c:axId val="336078960"/>
        <c:axId val="336078400"/>
      </c:lineChart>
      <c:catAx>
        <c:axId val="3249534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C"/>
          </a:p>
        </c:txPr>
        <c:crossAx val="324954048"/>
        <c:crosses val="autoZero"/>
        <c:auto val="1"/>
        <c:lblAlgn val="ctr"/>
        <c:lblOffset val="100"/>
        <c:noMultiLvlLbl val="0"/>
      </c:catAx>
      <c:valAx>
        <c:axId val="324954048"/>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EC"/>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C"/>
          </a:p>
        </c:txPr>
        <c:crossAx val="324953488"/>
        <c:crosses val="autoZero"/>
        <c:crossBetween val="between"/>
      </c:valAx>
      <c:valAx>
        <c:axId val="33607840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C"/>
          </a:p>
        </c:txPr>
        <c:crossAx val="336078960"/>
        <c:crosses val="max"/>
        <c:crossBetween val="between"/>
      </c:valAx>
      <c:catAx>
        <c:axId val="336078960"/>
        <c:scaling>
          <c:orientation val="minMax"/>
        </c:scaling>
        <c:delete val="1"/>
        <c:axPos val="b"/>
        <c:numFmt formatCode="General" sourceLinked="1"/>
        <c:majorTickMark val="none"/>
        <c:minorTickMark val="none"/>
        <c:tickLblPos val="nextTo"/>
        <c:crossAx val="336078400"/>
        <c:crosses val="autoZero"/>
        <c:auto val="1"/>
        <c:lblAlgn val="ctr"/>
        <c:lblOffset val="100"/>
        <c:noMultiLvlLbl val="0"/>
      </c:cat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s-EC"/>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EC"/>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tx>
            <c:v>DATOS</c:v>
          </c:tx>
          <c:spPr>
            <a:effectLst>
              <a:softEdge rad="63500"/>
            </a:effectLst>
            <a:scene3d>
              <a:camera prst="orthographicFront"/>
              <a:lightRig rig="threePt" dir="t"/>
            </a:scene3d>
            <a:sp3d>
              <a:bevelT w="165100" prst="coolSlant"/>
              <a:bevelB w="101600" prst="riblet"/>
            </a:sp3d>
          </c:spPr>
          <c:dPt>
            <c:idx val="0"/>
            <c:bubble3D val="0"/>
            <c:spPr>
              <a:solidFill>
                <a:srgbClr val="FF0000"/>
              </a:solidFill>
              <a:ln w="19050">
                <a:solidFill>
                  <a:schemeClr val="lt1"/>
                </a:solidFill>
              </a:ln>
              <a:effectLst>
                <a:softEdge rad="63500"/>
              </a:effectLst>
              <a:scene3d>
                <a:camera prst="orthographicFront"/>
                <a:lightRig rig="threePt" dir="t"/>
              </a:scene3d>
              <a:sp3d>
                <a:bevelT w="165100" prst="coolSlant"/>
                <a:bevelB w="101600" prst="riblet"/>
              </a:sp3d>
            </c:spPr>
          </c:dPt>
          <c:dPt>
            <c:idx val="1"/>
            <c:bubble3D val="0"/>
            <c:spPr>
              <a:solidFill>
                <a:srgbClr val="FFFF00"/>
              </a:solidFill>
              <a:ln w="19050">
                <a:solidFill>
                  <a:schemeClr val="lt1"/>
                </a:solidFill>
              </a:ln>
              <a:effectLst>
                <a:softEdge rad="63500"/>
              </a:effectLst>
              <a:scene3d>
                <a:camera prst="orthographicFront"/>
                <a:lightRig rig="threePt" dir="t"/>
              </a:scene3d>
              <a:sp3d>
                <a:bevelT w="165100" prst="coolSlant"/>
                <a:bevelB w="101600" prst="riblet"/>
              </a:sp3d>
            </c:spPr>
          </c:dPt>
          <c:dPt>
            <c:idx val="2"/>
            <c:bubble3D val="0"/>
            <c:spPr>
              <a:solidFill>
                <a:srgbClr val="00B050"/>
              </a:solidFill>
              <a:ln w="19050">
                <a:solidFill>
                  <a:schemeClr val="lt1"/>
                </a:solidFill>
              </a:ln>
              <a:effectLst>
                <a:softEdge rad="63500"/>
              </a:effectLst>
              <a:scene3d>
                <a:camera prst="orthographicFront"/>
                <a:lightRig rig="threePt" dir="t"/>
              </a:scene3d>
              <a:sp3d>
                <a:bevelT w="165100" prst="coolSlant"/>
                <a:bevelB w="101600" prst="riblet"/>
              </a:sp3d>
            </c:spPr>
          </c:dPt>
          <c:dPt>
            <c:idx val="3"/>
            <c:bubble3D val="0"/>
            <c:spPr>
              <a:noFill/>
              <a:ln w="19050">
                <a:noFill/>
              </a:ln>
              <a:effectLst>
                <a:softEdge rad="63500"/>
              </a:effectLst>
            </c:spPr>
          </c:dPt>
          <c:val>
            <c:numLit>
              <c:formatCode>General</c:formatCode>
              <c:ptCount val="4"/>
              <c:pt idx="0">
                <c:v>1</c:v>
              </c:pt>
              <c:pt idx="1">
                <c:v>1</c:v>
              </c:pt>
              <c:pt idx="2">
                <c:v>1</c:v>
              </c:pt>
              <c:pt idx="3">
                <c:v>3</c:v>
              </c:pt>
            </c:numLit>
          </c:val>
        </c:ser>
        <c:dLbls>
          <c:showLegendKey val="0"/>
          <c:showVal val="0"/>
          <c:showCatName val="0"/>
          <c:showSerName val="0"/>
          <c:showPercent val="0"/>
          <c:showBubbleSize val="0"/>
          <c:showLeaderLines val="1"/>
        </c:dLbls>
        <c:firstSliceAng val="270"/>
        <c:holeSize val="50"/>
      </c:doughnutChart>
      <c:scatterChart>
        <c:scatterStyle val="smoothMarker"/>
        <c:varyColors val="0"/>
        <c:ser>
          <c:idx val="1"/>
          <c:order val="1"/>
          <c:tx>
            <c:v>COORDENADAS</c:v>
          </c:tx>
          <c:spPr>
            <a:ln w="28575" cap="rnd">
              <a:solidFill>
                <a:schemeClr val="accent2"/>
              </a:solidFill>
              <a:round/>
            </a:ln>
            <a:effectLst/>
          </c:spPr>
          <c:marker>
            <c:symbol val="circle"/>
            <c:size val="5"/>
            <c:spPr>
              <a:solidFill>
                <a:schemeClr val="accent2"/>
              </a:solidFill>
              <a:ln w="9525">
                <a:solidFill>
                  <a:schemeClr val="accent2"/>
                </a:solidFill>
              </a:ln>
              <a:effectLst/>
            </c:spPr>
          </c:marker>
          <c:trendline>
            <c:spPr>
              <a:ln w="41275" cap="rnd">
                <a:solidFill>
                  <a:schemeClr val="tx1">
                    <a:lumMod val="95000"/>
                    <a:lumOff val="5000"/>
                  </a:schemeClr>
                </a:solidFill>
                <a:prstDash val="solid"/>
                <a:headEnd type="oval"/>
              </a:ln>
              <a:effectLst/>
            </c:spPr>
            <c:trendlineType val="linear"/>
            <c:dispRSqr val="0"/>
            <c:dispEq val="0"/>
          </c:trendline>
          <c:xVal>
            <c:numRef>
              <c:f>'POA 21'!$BE$91:$BE$92</c:f>
              <c:numCache>
                <c:formatCode>General</c:formatCode>
                <c:ptCount val="2"/>
                <c:pt idx="0">
                  <c:v>0</c:v>
                </c:pt>
                <c:pt idx="1">
                  <c:v>-0.31453251118122294</c:v>
                </c:pt>
              </c:numCache>
            </c:numRef>
          </c:xVal>
          <c:yVal>
            <c:numRef>
              <c:f>'POA 21'!$BF$91:$BF$92</c:f>
              <c:numCache>
                <c:formatCode>General</c:formatCode>
                <c:ptCount val="2"/>
                <c:pt idx="0">
                  <c:v>0</c:v>
                </c:pt>
                <c:pt idx="1">
                  <c:v>0.9492467010266793</c:v>
                </c:pt>
              </c:numCache>
            </c:numRef>
          </c:yVal>
          <c:smooth val="1"/>
        </c:ser>
        <c:dLbls>
          <c:showLegendKey val="0"/>
          <c:showVal val="0"/>
          <c:showCatName val="0"/>
          <c:showSerName val="0"/>
          <c:showPercent val="0"/>
          <c:showBubbleSize val="0"/>
        </c:dLbls>
        <c:axId val="332369712"/>
        <c:axId val="332370272"/>
      </c:scatterChart>
      <c:valAx>
        <c:axId val="332369712"/>
        <c:scaling>
          <c:orientation val="minMax"/>
          <c:max val="1"/>
          <c:min val="-1"/>
        </c:scaling>
        <c:delete val="1"/>
        <c:axPos val="b"/>
        <c:numFmt formatCode="General" sourceLinked="1"/>
        <c:majorTickMark val="out"/>
        <c:minorTickMark val="none"/>
        <c:tickLblPos val="nextTo"/>
        <c:crossAx val="332370272"/>
        <c:crosses val="autoZero"/>
        <c:crossBetween val="midCat"/>
      </c:valAx>
      <c:valAx>
        <c:axId val="332370272"/>
        <c:scaling>
          <c:orientation val="minMax"/>
          <c:max val="1"/>
          <c:min val="-1"/>
        </c:scaling>
        <c:delete val="1"/>
        <c:axPos val="l"/>
        <c:numFmt formatCode="General" sourceLinked="1"/>
        <c:majorTickMark val="out"/>
        <c:minorTickMark val="none"/>
        <c:tickLblPos val="nextTo"/>
        <c:crossAx val="332369712"/>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s-EC"/>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OB.!A1"/><Relationship Id="rId3" Type="http://schemas.openxmlformats.org/officeDocument/2006/relationships/hyperlink" Target="#MI!A1"/><Relationship Id="rId7" Type="http://schemas.openxmlformats.org/officeDocument/2006/relationships/hyperlink" Target="#'PERFIL COMPETI'!A1"/><Relationship Id="rId12" Type="http://schemas.openxmlformats.org/officeDocument/2006/relationships/hyperlink" Target="#FODA!A1"/><Relationship Id="rId2" Type="http://schemas.openxmlformats.org/officeDocument/2006/relationships/hyperlink" Target="#GE.O!A1"/><Relationship Id="rId1" Type="http://schemas.openxmlformats.org/officeDocument/2006/relationships/image" Target="../media/image1.png"/><Relationship Id="rId6" Type="http://schemas.openxmlformats.org/officeDocument/2006/relationships/hyperlink" Target="#M.P!A1"/><Relationship Id="rId11" Type="http://schemas.openxmlformats.org/officeDocument/2006/relationships/hyperlink" Target="#DB!A1"/><Relationship Id="rId5" Type="http://schemas.openxmlformats.org/officeDocument/2006/relationships/hyperlink" Target="#VA!A1"/><Relationship Id="rId10" Type="http://schemas.openxmlformats.org/officeDocument/2006/relationships/hyperlink" Target="#'POA 21'!A1"/><Relationship Id="rId4" Type="http://schemas.openxmlformats.org/officeDocument/2006/relationships/hyperlink" Target="#VI!A1"/><Relationship Id="rId9" Type="http://schemas.openxmlformats.org/officeDocument/2006/relationships/hyperlink" Target="#ES!A1"/></Relationships>
</file>

<file path=xl/drawings/_rels/drawing10.xml.rels><?xml version="1.0" encoding="UTF-8" standalone="yes"?>
<Relationships xmlns="http://schemas.openxmlformats.org/package/2006/relationships"><Relationship Id="rId8" Type="http://schemas.openxmlformats.org/officeDocument/2006/relationships/hyperlink" Target="#DB!A1"/><Relationship Id="rId3" Type="http://schemas.openxmlformats.org/officeDocument/2006/relationships/hyperlink" Target="#PR!A1"/><Relationship Id="rId7" Type="http://schemas.openxmlformats.org/officeDocument/2006/relationships/hyperlink" Target="#'POA 21'!A1"/><Relationship Id="rId2" Type="http://schemas.openxmlformats.org/officeDocument/2006/relationships/hyperlink" Target="#CL!A1"/><Relationship Id="rId1" Type="http://schemas.openxmlformats.org/officeDocument/2006/relationships/hyperlink" Target="#OB.!A1"/><Relationship Id="rId6" Type="http://schemas.openxmlformats.org/officeDocument/2006/relationships/hyperlink" Target="#ES!A1"/><Relationship Id="rId5" Type="http://schemas.openxmlformats.org/officeDocument/2006/relationships/hyperlink" Target="#GE.O!A1"/><Relationship Id="rId4" Type="http://schemas.openxmlformats.org/officeDocument/2006/relationships/hyperlink" Target="#AP!A1"/><Relationship Id="rId9" Type="http://schemas.openxmlformats.org/officeDocument/2006/relationships/image" Target="../media/image1.png"/></Relationships>
</file>

<file path=xl/drawings/_rels/drawing11.xml.rels><?xml version="1.0" encoding="UTF-8" standalone="yes"?>
<Relationships xmlns="http://schemas.openxmlformats.org/package/2006/relationships"><Relationship Id="rId8" Type="http://schemas.openxmlformats.org/officeDocument/2006/relationships/hyperlink" Target="#DB!A1"/><Relationship Id="rId3" Type="http://schemas.openxmlformats.org/officeDocument/2006/relationships/hyperlink" Target="#PR!A1"/><Relationship Id="rId7" Type="http://schemas.openxmlformats.org/officeDocument/2006/relationships/hyperlink" Target="#'POA 21'!A1"/><Relationship Id="rId2" Type="http://schemas.openxmlformats.org/officeDocument/2006/relationships/hyperlink" Target="#CL!A1"/><Relationship Id="rId1" Type="http://schemas.openxmlformats.org/officeDocument/2006/relationships/hyperlink" Target="#OB.!A1"/><Relationship Id="rId6" Type="http://schemas.openxmlformats.org/officeDocument/2006/relationships/hyperlink" Target="#ES!A1"/><Relationship Id="rId5" Type="http://schemas.openxmlformats.org/officeDocument/2006/relationships/hyperlink" Target="#GE.O!A1"/><Relationship Id="rId4" Type="http://schemas.openxmlformats.org/officeDocument/2006/relationships/hyperlink" Target="#AP!A1"/><Relationship Id="rId9" Type="http://schemas.openxmlformats.org/officeDocument/2006/relationships/image" Target="../media/image1.png"/></Relationships>
</file>

<file path=xl/drawings/_rels/drawing12.xml.rels><?xml version="1.0" encoding="UTF-8" standalone="yes"?>
<Relationships xmlns="http://schemas.openxmlformats.org/package/2006/relationships"><Relationship Id="rId8" Type="http://schemas.openxmlformats.org/officeDocument/2006/relationships/hyperlink" Target="#DB!A1"/><Relationship Id="rId3" Type="http://schemas.openxmlformats.org/officeDocument/2006/relationships/hyperlink" Target="#ES.AP!A1"/><Relationship Id="rId7" Type="http://schemas.openxmlformats.org/officeDocument/2006/relationships/hyperlink" Target="#'POA 21'!A1"/><Relationship Id="rId2" Type="http://schemas.openxmlformats.org/officeDocument/2006/relationships/hyperlink" Target="#ES.PR!A1"/><Relationship Id="rId1" Type="http://schemas.openxmlformats.org/officeDocument/2006/relationships/hyperlink" Target="#ES.CL!A1"/><Relationship Id="rId6" Type="http://schemas.openxmlformats.org/officeDocument/2006/relationships/hyperlink" Target="#ES!A1"/><Relationship Id="rId5" Type="http://schemas.openxmlformats.org/officeDocument/2006/relationships/hyperlink" Target="#OB.!A1"/><Relationship Id="rId4" Type="http://schemas.openxmlformats.org/officeDocument/2006/relationships/hyperlink" Target="#GE.O!A1"/><Relationship Id="rId9" Type="http://schemas.openxmlformats.org/officeDocument/2006/relationships/image" Target="../media/image1.png"/></Relationships>
</file>

<file path=xl/drawings/_rels/drawing13.xml.rels><?xml version="1.0" encoding="UTF-8" standalone="yes"?>
<Relationships xmlns="http://schemas.openxmlformats.org/package/2006/relationships"><Relationship Id="rId8" Type="http://schemas.openxmlformats.org/officeDocument/2006/relationships/hyperlink" Target="#DB!A1"/><Relationship Id="rId3" Type="http://schemas.openxmlformats.org/officeDocument/2006/relationships/hyperlink" Target="#ES.PR!A1"/><Relationship Id="rId7" Type="http://schemas.openxmlformats.org/officeDocument/2006/relationships/hyperlink" Target="#'POA 21'!A1"/><Relationship Id="rId2" Type="http://schemas.openxmlformats.org/officeDocument/2006/relationships/hyperlink" Target="#ES.CL!A1"/><Relationship Id="rId1" Type="http://schemas.openxmlformats.org/officeDocument/2006/relationships/hyperlink" Target="#ES!A1"/><Relationship Id="rId6" Type="http://schemas.openxmlformats.org/officeDocument/2006/relationships/hyperlink" Target="#OB.!A1"/><Relationship Id="rId5" Type="http://schemas.openxmlformats.org/officeDocument/2006/relationships/hyperlink" Target="#GE.O!A1"/><Relationship Id="rId4" Type="http://schemas.openxmlformats.org/officeDocument/2006/relationships/hyperlink" Target="#ES.AP!A1"/><Relationship Id="rId9" Type="http://schemas.openxmlformats.org/officeDocument/2006/relationships/image" Target="../media/image1.png"/></Relationships>
</file>

<file path=xl/drawings/_rels/drawing14.xml.rels><?xml version="1.0" encoding="UTF-8" standalone="yes"?>
<Relationships xmlns="http://schemas.openxmlformats.org/package/2006/relationships"><Relationship Id="rId8" Type="http://schemas.openxmlformats.org/officeDocument/2006/relationships/hyperlink" Target="#DB!A1"/><Relationship Id="rId3" Type="http://schemas.openxmlformats.org/officeDocument/2006/relationships/hyperlink" Target="#ES.PR!A1"/><Relationship Id="rId7" Type="http://schemas.openxmlformats.org/officeDocument/2006/relationships/hyperlink" Target="#'POA 21'!A1"/><Relationship Id="rId2" Type="http://schemas.openxmlformats.org/officeDocument/2006/relationships/hyperlink" Target="#ES.CL!A1"/><Relationship Id="rId1" Type="http://schemas.openxmlformats.org/officeDocument/2006/relationships/hyperlink" Target="#ES!A1"/><Relationship Id="rId6" Type="http://schemas.openxmlformats.org/officeDocument/2006/relationships/hyperlink" Target="#OB.!A1"/><Relationship Id="rId5" Type="http://schemas.openxmlformats.org/officeDocument/2006/relationships/hyperlink" Target="#GE.O!A1"/><Relationship Id="rId4" Type="http://schemas.openxmlformats.org/officeDocument/2006/relationships/hyperlink" Target="#ES.AP!A1"/><Relationship Id="rId9" Type="http://schemas.openxmlformats.org/officeDocument/2006/relationships/image" Target="../media/image1.png"/></Relationships>
</file>

<file path=xl/drawings/_rels/drawing15.xml.rels><?xml version="1.0" encoding="UTF-8" standalone="yes"?>
<Relationships xmlns="http://schemas.openxmlformats.org/package/2006/relationships"><Relationship Id="rId8" Type="http://schemas.openxmlformats.org/officeDocument/2006/relationships/hyperlink" Target="#DB!A1"/><Relationship Id="rId3" Type="http://schemas.openxmlformats.org/officeDocument/2006/relationships/hyperlink" Target="#ES.PR!A1"/><Relationship Id="rId7" Type="http://schemas.openxmlformats.org/officeDocument/2006/relationships/hyperlink" Target="#'POA 21'!A1"/><Relationship Id="rId2" Type="http://schemas.openxmlformats.org/officeDocument/2006/relationships/hyperlink" Target="#ES.CL!A1"/><Relationship Id="rId1" Type="http://schemas.openxmlformats.org/officeDocument/2006/relationships/hyperlink" Target="#ES!A1"/><Relationship Id="rId6" Type="http://schemas.openxmlformats.org/officeDocument/2006/relationships/hyperlink" Target="#OB.!A1"/><Relationship Id="rId5" Type="http://schemas.openxmlformats.org/officeDocument/2006/relationships/hyperlink" Target="#GE.O!A1"/><Relationship Id="rId4" Type="http://schemas.openxmlformats.org/officeDocument/2006/relationships/hyperlink" Target="#ES.AP!A1"/><Relationship Id="rId9" Type="http://schemas.openxmlformats.org/officeDocument/2006/relationships/image" Target="../media/image1.png"/></Relationships>
</file>

<file path=xl/drawings/_rels/drawing16.xml.rels><?xml version="1.0" encoding="UTF-8" standalone="yes"?>
<Relationships xmlns="http://schemas.openxmlformats.org/package/2006/relationships"><Relationship Id="rId8" Type="http://schemas.openxmlformats.org/officeDocument/2006/relationships/hyperlink" Target="#DB!A1"/><Relationship Id="rId3" Type="http://schemas.openxmlformats.org/officeDocument/2006/relationships/hyperlink" Target="#'POA 23'!A1"/><Relationship Id="rId7" Type="http://schemas.openxmlformats.org/officeDocument/2006/relationships/hyperlink" Target="#ES!A1"/><Relationship Id="rId2" Type="http://schemas.openxmlformats.org/officeDocument/2006/relationships/hyperlink" Target="#'POA 22'!A1"/><Relationship Id="rId1" Type="http://schemas.openxmlformats.org/officeDocument/2006/relationships/hyperlink" Target="#'POA 21'!A1"/><Relationship Id="rId6" Type="http://schemas.openxmlformats.org/officeDocument/2006/relationships/hyperlink" Target="#OB.!A1"/><Relationship Id="rId5" Type="http://schemas.openxmlformats.org/officeDocument/2006/relationships/hyperlink" Target="#GE.O!A1"/><Relationship Id="rId4" Type="http://schemas.openxmlformats.org/officeDocument/2006/relationships/hyperlink" Target="#'POA 24'!A1"/><Relationship Id="rId9" Type="http://schemas.openxmlformats.org/officeDocument/2006/relationships/image" Target="../media/image1.png"/></Relationships>
</file>

<file path=xl/drawings/_rels/drawing17.xml.rels><?xml version="1.0" encoding="UTF-8" standalone="yes"?>
<Relationships xmlns="http://schemas.openxmlformats.org/package/2006/relationships"><Relationship Id="rId8" Type="http://schemas.openxmlformats.org/officeDocument/2006/relationships/hyperlink" Target="#DB!A1"/><Relationship Id="rId3" Type="http://schemas.openxmlformats.org/officeDocument/2006/relationships/hyperlink" Target="#'POA 23'!A1"/><Relationship Id="rId7" Type="http://schemas.openxmlformats.org/officeDocument/2006/relationships/hyperlink" Target="#ES!A1"/><Relationship Id="rId2" Type="http://schemas.openxmlformats.org/officeDocument/2006/relationships/hyperlink" Target="#'POA 22'!A1"/><Relationship Id="rId1" Type="http://schemas.openxmlformats.org/officeDocument/2006/relationships/hyperlink" Target="#'POA 21'!A1"/><Relationship Id="rId6" Type="http://schemas.openxmlformats.org/officeDocument/2006/relationships/hyperlink" Target="#OB.!A1"/><Relationship Id="rId5" Type="http://schemas.openxmlformats.org/officeDocument/2006/relationships/hyperlink" Target="#GE.O!A1"/><Relationship Id="rId4" Type="http://schemas.openxmlformats.org/officeDocument/2006/relationships/hyperlink" Target="#'POA 24'!A1"/><Relationship Id="rId9" Type="http://schemas.openxmlformats.org/officeDocument/2006/relationships/image" Target="../media/image1.png"/></Relationships>
</file>

<file path=xl/drawings/_rels/drawing18.xml.rels><?xml version="1.0" encoding="UTF-8" standalone="yes"?>
<Relationships xmlns="http://schemas.openxmlformats.org/package/2006/relationships"><Relationship Id="rId8" Type="http://schemas.openxmlformats.org/officeDocument/2006/relationships/hyperlink" Target="#DB!A1"/><Relationship Id="rId3" Type="http://schemas.openxmlformats.org/officeDocument/2006/relationships/hyperlink" Target="#'POA 23'!A1"/><Relationship Id="rId7" Type="http://schemas.openxmlformats.org/officeDocument/2006/relationships/hyperlink" Target="#ES!A1"/><Relationship Id="rId2" Type="http://schemas.openxmlformats.org/officeDocument/2006/relationships/hyperlink" Target="#'POA 22'!A1"/><Relationship Id="rId1" Type="http://schemas.openxmlformats.org/officeDocument/2006/relationships/hyperlink" Target="#'POA 21'!A1"/><Relationship Id="rId6" Type="http://schemas.openxmlformats.org/officeDocument/2006/relationships/hyperlink" Target="#OB.!A1"/><Relationship Id="rId5" Type="http://schemas.openxmlformats.org/officeDocument/2006/relationships/hyperlink" Target="#GE.O!A1"/><Relationship Id="rId4" Type="http://schemas.openxmlformats.org/officeDocument/2006/relationships/hyperlink" Target="#'POA 24'!A1"/><Relationship Id="rId9" Type="http://schemas.openxmlformats.org/officeDocument/2006/relationships/image" Target="../media/image1.png"/></Relationships>
</file>

<file path=xl/drawings/_rels/drawing19.xml.rels><?xml version="1.0" encoding="UTF-8" standalone="yes"?>
<Relationships xmlns="http://schemas.openxmlformats.org/package/2006/relationships"><Relationship Id="rId8" Type="http://schemas.openxmlformats.org/officeDocument/2006/relationships/hyperlink" Target="#DB!A1"/><Relationship Id="rId3" Type="http://schemas.openxmlformats.org/officeDocument/2006/relationships/hyperlink" Target="#'POA 23'!A1"/><Relationship Id="rId7" Type="http://schemas.openxmlformats.org/officeDocument/2006/relationships/hyperlink" Target="#ES!A1"/><Relationship Id="rId2" Type="http://schemas.openxmlformats.org/officeDocument/2006/relationships/hyperlink" Target="#'POA 22'!A1"/><Relationship Id="rId1" Type="http://schemas.openxmlformats.org/officeDocument/2006/relationships/hyperlink" Target="#'POA 21'!A1"/><Relationship Id="rId6" Type="http://schemas.openxmlformats.org/officeDocument/2006/relationships/hyperlink" Target="#OB.!A1"/><Relationship Id="rId5" Type="http://schemas.openxmlformats.org/officeDocument/2006/relationships/hyperlink" Target="#GE.O!A1"/><Relationship Id="rId4" Type="http://schemas.openxmlformats.org/officeDocument/2006/relationships/hyperlink" Target="#'POA 24'!A1"/><Relationship Id="rId9"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hyperlink" Target="#OB.!A1"/><Relationship Id="rId3" Type="http://schemas.openxmlformats.org/officeDocument/2006/relationships/hyperlink" Target="#MI!A1"/><Relationship Id="rId7" Type="http://schemas.openxmlformats.org/officeDocument/2006/relationships/hyperlink" Target="#'PERFIL COMPETI'!A1"/><Relationship Id="rId12" Type="http://schemas.openxmlformats.org/officeDocument/2006/relationships/hyperlink" Target="#FODA!A1"/><Relationship Id="rId2" Type="http://schemas.openxmlformats.org/officeDocument/2006/relationships/hyperlink" Target="#GE.O!A1"/><Relationship Id="rId1" Type="http://schemas.openxmlformats.org/officeDocument/2006/relationships/image" Target="../media/image1.png"/><Relationship Id="rId6" Type="http://schemas.openxmlformats.org/officeDocument/2006/relationships/hyperlink" Target="#M.P!A1"/><Relationship Id="rId11" Type="http://schemas.openxmlformats.org/officeDocument/2006/relationships/hyperlink" Target="#DB!A1"/><Relationship Id="rId5" Type="http://schemas.openxmlformats.org/officeDocument/2006/relationships/hyperlink" Target="#VA!A1"/><Relationship Id="rId10" Type="http://schemas.openxmlformats.org/officeDocument/2006/relationships/hyperlink" Target="#'POA 21'!A1"/><Relationship Id="rId4" Type="http://schemas.openxmlformats.org/officeDocument/2006/relationships/hyperlink" Target="#VI!A1"/><Relationship Id="rId9" Type="http://schemas.openxmlformats.org/officeDocument/2006/relationships/hyperlink" Target="#ES!A1"/></Relationships>
</file>

<file path=xl/drawings/_rels/drawing20.xml.rels><?xml version="1.0" encoding="UTF-8" standalone="yes"?>
<Relationships xmlns="http://schemas.openxmlformats.org/package/2006/relationships"><Relationship Id="rId3" Type="http://schemas.openxmlformats.org/officeDocument/2006/relationships/hyperlink" Target="#ES!A1"/><Relationship Id="rId7" Type="http://schemas.openxmlformats.org/officeDocument/2006/relationships/hyperlink" Target="#GR&#193;FICOS!A1"/><Relationship Id="rId2" Type="http://schemas.openxmlformats.org/officeDocument/2006/relationships/hyperlink" Target="#OB.!A1"/><Relationship Id="rId1" Type="http://schemas.openxmlformats.org/officeDocument/2006/relationships/hyperlink" Target="#GE.O!A1"/><Relationship Id="rId6" Type="http://schemas.openxmlformats.org/officeDocument/2006/relationships/image" Target="../media/image1.png"/><Relationship Id="rId5" Type="http://schemas.openxmlformats.org/officeDocument/2006/relationships/hyperlink" Target="#DB!A1"/><Relationship Id="rId4" Type="http://schemas.openxmlformats.org/officeDocument/2006/relationships/hyperlink" Target="#'POA 21'!A1"/></Relationships>
</file>

<file path=xl/drawings/_rels/drawing21.xml.rels><?xml version="1.0" encoding="UTF-8" standalone="yes"?>
<Relationships xmlns="http://schemas.openxmlformats.org/package/2006/relationships"><Relationship Id="rId8" Type="http://schemas.openxmlformats.org/officeDocument/2006/relationships/hyperlink" Target="#ES!A1"/><Relationship Id="rId3" Type="http://schemas.openxmlformats.org/officeDocument/2006/relationships/chart" Target="../charts/chart3.xml"/><Relationship Id="rId7" Type="http://schemas.openxmlformats.org/officeDocument/2006/relationships/hyperlink" Target="#OB.!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GE.O!A1"/><Relationship Id="rId11" Type="http://schemas.openxmlformats.org/officeDocument/2006/relationships/chart" Target="../charts/chart5.xml"/><Relationship Id="rId5" Type="http://schemas.openxmlformats.org/officeDocument/2006/relationships/hyperlink" Target="#DB!A1"/><Relationship Id="rId10"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hyperlink" Target="#'POA 21'!A1"/></Relationships>
</file>

<file path=xl/drawings/_rels/drawing3.xml.rels><?xml version="1.0" encoding="UTF-8" standalone="yes"?>
<Relationships xmlns="http://schemas.openxmlformats.org/package/2006/relationships"><Relationship Id="rId8" Type="http://schemas.openxmlformats.org/officeDocument/2006/relationships/hyperlink" Target="#OB.!A1"/><Relationship Id="rId3" Type="http://schemas.openxmlformats.org/officeDocument/2006/relationships/hyperlink" Target="#MI!A1"/><Relationship Id="rId7" Type="http://schemas.openxmlformats.org/officeDocument/2006/relationships/hyperlink" Target="#'PERFIL COMPETI'!A1"/><Relationship Id="rId12" Type="http://schemas.openxmlformats.org/officeDocument/2006/relationships/hyperlink" Target="#FODA!A1"/><Relationship Id="rId2" Type="http://schemas.openxmlformats.org/officeDocument/2006/relationships/hyperlink" Target="#GE.O!A1"/><Relationship Id="rId1" Type="http://schemas.openxmlformats.org/officeDocument/2006/relationships/image" Target="../media/image1.png"/><Relationship Id="rId6" Type="http://schemas.openxmlformats.org/officeDocument/2006/relationships/hyperlink" Target="#M.P!A1"/><Relationship Id="rId11" Type="http://schemas.openxmlformats.org/officeDocument/2006/relationships/hyperlink" Target="#DB!A1"/><Relationship Id="rId5" Type="http://schemas.openxmlformats.org/officeDocument/2006/relationships/hyperlink" Target="#VA!A1"/><Relationship Id="rId10" Type="http://schemas.openxmlformats.org/officeDocument/2006/relationships/hyperlink" Target="#'POA 21'!A1"/><Relationship Id="rId4" Type="http://schemas.openxmlformats.org/officeDocument/2006/relationships/hyperlink" Target="#VI!A1"/><Relationship Id="rId9" Type="http://schemas.openxmlformats.org/officeDocument/2006/relationships/hyperlink" Target="#ES!A1"/></Relationships>
</file>

<file path=xl/drawings/_rels/drawing4.xml.rels><?xml version="1.0" encoding="UTF-8" standalone="yes"?>
<Relationships xmlns="http://schemas.openxmlformats.org/package/2006/relationships"><Relationship Id="rId8" Type="http://schemas.openxmlformats.org/officeDocument/2006/relationships/hyperlink" Target="#OB.!A1"/><Relationship Id="rId3" Type="http://schemas.openxmlformats.org/officeDocument/2006/relationships/hyperlink" Target="#MI!A1"/><Relationship Id="rId7" Type="http://schemas.openxmlformats.org/officeDocument/2006/relationships/hyperlink" Target="#'PERFIL COMPETI'!A1"/><Relationship Id="rId12" Type="http://schemas.openxmlformats.org/officeDocument/2006/relationships/hyperlink" Target="#FODA!A1"/><Relationship Id="rId2" Type="http://schemas.openxmlformats.org/officeDocument/2006/relationships/hyperlink" Target="#GE.O!A1"/><Relationship Id="rId1" Type="http://schemas.openxmlformats.org/officeDocument/2006/relationships/image" Target="../media/image1.png"/><Relationship Id="rId6" Type="http://schemas.openxmlformats.org/officeDocument/2006/relationships/hyperlink" Target="#M.P!A1"/><Relationship Id="rId11" Type="http://schemas.openxmlformats.org/officeDocument/2006/relationships/hyperlink" Target="#DB!A1"/><Relationship Id="rId5" Type="http://schemas.openxmlformats.org/officeDocument/2006/relationships/hyperlink" Target="#VA!A1"/><Relationship Id="rId10" Type="http://schemas.openxmlformats.org/officeDocument/2006/relationships/hyperlink" Target="#'POA 21'!A1"/><Relationship Id="rId4" Type="http://schemas.openxmlformats.org/officeDocument/2006/relationships/hyperlink" Target="#VI!A1"/><Relationship Id="rId9" Type="http://schemas.openxmlformats.org/officeDocument/2006/relationships/hyperlink" Target="#ES!A1"/></Relationships>
</file>

<file path=xl/drawings/_rels/drawing5.xml.rels><?xml version="1.0" encoding="UTF-8" standalone="yes"?>
<Relationships xmlns="http://schemas.openxmlformats.org/package/2006/relationships"><Relationship Id="rId8" Type="http://schemas.openxmlformats.org/officeDocument/2006/relationships/hyperlink" Target="#OB.!A1"/><Relationship Id="rId3" Type="http://schemas.openxmlformats.org/officeDocument/2006/relationships/hyperlink" Target="#VI!A1"/><Relationship Id="rId7" Type="http://schemas.openxmlformats.org/officeDocument/2006/relationships/hyperlink" Target="#'PERFIL COMPETI'!A1"/><Relationship Id="rId12" Type="http://schemas.openxmlformats.org/officeDocument/2006/relationships/hyperlink" Target="#FODA!A1"/><Relationship Id="rId2" Type="http://schemas.openxmlformats.org/officeDocument/2006/relationships/hyperlink" Target="#MI!A1"/><Relationship Id="rId1" Type="http://schemas.openxmlformats.org/officeDocument/2006/relationships/hyperlink" Target="#GE.O!A1"/><Relationship Id="rId6" Type="http://schemas.openxmlformats.org/officeDocument/2006/relationships/image" Target="../media/image1.png"/><Relationship Id="rId11" Type="http://schemas.openxmlformats.org/officeDocument/2006/relationships/hyperlink" Target="#DB!A1"/><Relationship Id="rId5" Type="http://schemas.openxmlformats.org/officeDocument/2006/relationships/hyperlink" Target="#M.P!A1"/><Relationship Id="rId10" Type="http://schemas.openxmlformats.org/officeDocument/2006/relationships/hyperlink" Target="#'POA 21'!A1"/><Relationship Id="rId4" Type="http://schemas.openxmlformats.org/officeDocument/2006/relationships/hyperlink" Target="#VA!A1"/><Relationship Id="rId9" Type="http://schemas.openxmlformats.org/officeDocument/2006/relationships/hyperlink" Target="#ES!A1"/></Relationships>
</file>

<file path=xl/drawings/_rels/drawing6.xml.rels><?xml version="1.0" encoding="UTF-8" standalone="yes"?>
<Relationships xmlns="http://schemas.openxmlformats.org/package/2006/relationships"><Relationship Id="rId8" Type="http://schemas.openxmlformats.org/officeDocument/2006/relationships/hyperlink" Target="#OB.!A1"/><Relationship Id="rId3" Type="http://schemas.openxmlformats.org/officeDocument/2006/relationships/hyperlink" Target="#VI!A1"/><Relationship Id="rId7" Type="http://schemas.openxmlformats.org/officeDocument/2006/relationships/image" Target="../media/image1.png"/><Relationship Id="rId12" Type="http://schemas.openxmlformats.org/officeDocument/2006/relationships/hyperlink" Target="#FODA!A1"/><Relationship Id="rId2" Type="http://schemas.openxmlformats.org/officeDocument/2006/relationships/hyperlink" Target="#MI!A1"/><Relationship Id="rId1" Type="http://schemas.openxmlformats.org/officeDocument/2006/relationships/hyperlink" Target="#GE.O!A1"/><Relationship Id="rId6" Type="http://schemas.openxmlformats.org/officeDocument/2006/relationships/hyperlink" Target="#'PERFIL COMPETI'!A1"/><Relationship Id="rId11" Type="http://schemas.openxmlformats.org/officeDocument/2006/relationships/hyperlink" Target="#DB!A1"/><Relationship Id="rId5" Type="http://schemas.openxmlformats.org/officeDocument/2006/relationships/hyperlink" Target="#M.P!A1"/><Relationship Id="rId10" Type="http://schemas.openxmlformats.org/officeDocument/2006/relationships/hyperlink" Target="#'POA 21'!A1"/><Relationship Id="rId4" Type="http://schemas.openxmlformats.org/officeDocument/2006/relationships/hyperlink" Target="#VA!A1"/><Relationship Id="rId9" Type="http://schemas.openxmlformats.org/officeDocument/2006/relationships/hyperlink" Target="#ES!A1"/></Relationships>
</file>

<file path=xl/drawings/_rels/drawing7.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hyperlink" Target="#FODA!A1"/><Relationship Id="rId3" Type="http://schemas.openxmlformats.org/officeDocument/2006/relationships/hyperlink" Target="#MI!A1"/><Relationship Id="rId7" Type="http://schemas.openxmlformats.org/officeDocument/2006/relationships/hyperlink" Target="#'PERFIL COMPETI'!A1"/><Relationship Id="rId12" Type="http://schemas.openxmlformats.org/officeDocument/2006/relationships/hyperlink" Target="#DB!A1"/><Relationship Id="rId2" Type="http://schemas.openxmlformats.org/officeDocument/2006/relationships/hyperlink" Target="#GE.O!A1"/><Relationship Id="rId1" Type="http://schemas.openxmlformats.org/officeDocument/2006/relationships/image" Target="../media/image3.png"/><Relationship Id="rId6" Type="http://schemas.openxmlformats.org/officeDocument/2006/relationships/hyperlink" Target="#M.P!A1"/><Relationship Id="rId11" Type="http://schemas.openxmlformats.org/officeDocument/2006/relationships/hyperlink" Target="#'POA 21'!A1"/><Relationship Id="rId5" Type="http://schemas.openxmlformats.org/officeDocument/2006/relationships/hyperlink" Target="#VA!A1"/><Relationship Id="rId10" Type="http://schemas.openxmlformats.org/officeDocument/2006/relationships/hyperlink" Target="#ES!A1"/><Relationship Id="rId4" Type="http://schemas.openxmlformats.org/officeDocument/2006/relationships/hyperlink" Target="#VI!A1"/><Relationship Id="rId9" Type="http://schemas.openxmlformats.org/officeDocument/2006/relationships/hyperlink" Target="#OB.!A1"/></Relationships>
</file>

<file path=xl/drawings/_rels/drawing8.xml.rels><?xml version="1.0" encoding="UTF-8" standalone="yes"?>
<Relationships xmlns="http://schemas.openxmlformats.org/package/2006/relationships"><Relationship Id="rId8" Type="http://schemas.openxmlformats.org/officeDocument/2006/relationships/hyperlink" Target="#'POA 21'!A1"/><Relationship Id="rId3" Type="http://schemas.openxmlformats.org/officeDocument/2006/relationships/hyperlink" Target="#PR!A1"/><Relationship Id="rId7" Type="http://schemas.openxmlformats.org/officeDocument/2006/relationships/hyperlink" Target="#ES!A1"/><Relationship Id="rId2" Type="http://schemas.openxmlformats.org/officeDocument/2006/relationships/hyperlink" Target="#CL!A1"/><Relationship Id="rId1" Type="http://schemas.openxmlformats.org/officeDocument/2006/relationships/hyperlink" Target="#OB.!A1"/><Relationship Id="rId6" Type="http://schemas.openxmlformats.org/officeDocument/2006/relationships/hyperlink" Target="#GE.O!A1"/><Relationship Id="rId5" Type="http://schemas.openxmlformats.org/officeDocument/2006/relationships/image" Target="../media/image1.png"/><Relationship Id="rId4" Type="http://schemas.openxmlformats.org/officeDocument/2006/relationships/hyperlink" Target="#AP!A1"/><Relationship Id="rId9" Type="http://schemas.openxmlformats.org/officeDocument/2006/relationships/hyperlink" Target="#DB!A1"/></Relationships>
</file>

<file path=xl/drawings/_rels/drawing9.xml.rels><?xml version="1.0" encoding="UTF-8" standalone="yes"?>
<Relationships xmlns="http://schemas.openxmlformats.org/package/2006/relationships"><Relationship Id="rId8" Type="http://schemas.openxmlformats.org/officeDocument/2006/relationships/hyperlink" Target="#DB!A1"/><Relationship Id="rId3" Type="http://schemas.openxmlformats.org/officeDocument/2006/relationships/hyperlink" Target="#PR!A1"/><Relationship Id="rId7" Type="http://schemas.openxmlformats.org/officeDocument/2006/relationships/hyperlink" Target="#'POA 21'!A1"/><Relationship Id="rId2" Type="http://schemas.openxmlformats.org/officeDocument/2006/relationships/hyperlink" Target="#CL!A1"/><Relationship Id="rId1" Type="http://schemas.openxmlformats.org/officeDocument/2006/relationships/hyperlink" Target="#OB.!A1"/><Relationship Id="rId6" Type="http://schemas.openxmlformats.org/officeDocument/2006/relationships/hyperlink" Target="#ES!A1"/><Relationship Id="rId5" Type="http://schemas.openxmlformats.org/officeDocument/2006/relationships/hyperlink" Target="#GE.O!A1"/><Relationship Id="rId4" Type="http://schemas.openxmlformats.org/officeDocument/2006/relationships/hyperlink" Target="#AP!A1"/><Relationship Id="rId9"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76201</xdr:colOff>
      <xdr:row>0</xdr:row>
      <xdr:rowOff>47625</xdr:rowOff>
    </xdr:from>
    <xdr:to>
      <xdr:col>2</xdr:col>
      <xdr:colOff>476250</xdr:colOff>
      <xdr:row>0</xdr:row>
      <xdr:rowOff>466724</xdr:rowOff>
    </xdr:to>
    <xdr:pic>
      <xdr:nvPicPr>
        <xdr:cNvPr id="3" name="Imagen 2"/>
        <xdr:cNvPicPr>
          <a:picLocks noChangeAspect="1"/>
        </xdr:cNvPicPr>
      </xdr:nvPicPr>
      <xdr:blipFill rotWithShape="1">
        <a:blip xmlns:r="http://schemas.openxmlformats.org/officeDocument/2006/relationships" r:embed="rId1"/>
        <a:srcRect l="10995" t="55907" r="34962" b="15302"/>
        <a:stretch/>
      </xdr:blipFill>
      <xdr:spPr>
        <a:xfrm>
          <a:off x="76201" y="47625"/>
          <a:ext cx="1466849" cy="419099"/>
        </a:xfrm>
        <a:prstGeom prst="rect">
          <a:avLst/>
        </a:prstGeom>
      </xdr:spPr>
    </xdr:pic>
    <xdr:clientData/>
  </xdr:twoCellAnchor>
  <xdr:twoCellAnchor>
    <xdr:from>
      <xdr:col>2</xdr:col>
      <xdr:colOff>666749</xdr:colOff>
      <xdr:row>0</xdr:row>
      <xdr:rowOff>9525</xdr:rowOff>
    </xdr:from>
    <xdr:to>
      <xdr:col>4</xdr:col>
      <xdr:colOff>133350</xdr:colOff>
      <xdr:row>1</xdr:row>
      <xdr:rowOff>0</xdr:rowOff>
    </xdr:to>
    <xdr:sp macro="" textlink="">
      <xdr:nvSpPr>
        <xdr:cNvPr id="5" name="Rectángulo 4">
          <a:hlinkClick xmlns:r="http://schemas.openxmlformats.org/officeDocument/2006/relationships" r:id="rId2"/>
        </xdr:cNvPr>
        <xdr:cNvSpPr/>
      </xdr:nvSpPr>
      <xdr:spPr>
        <a:xfrm>
          <a:off x="1609724" y="9525"/>
          <a:ext cx="1171576" cy="485775"/>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GENERALIDADES</a:t>
          </a:r>
        </a:p>
      </xdr:txBody>
    </xdr:sp>
    <xdr:clientData/>
  </xdr:twoCellAnchor>
  <xdr:twoCellAnchor>
    <xdr:from>
      <xdr:col>2</xdr:col>
      <xdr:colOff>295274</xdr:colOff>
      <xdr:row>1</xdr:row>
      <xdr:rowOff>133349</xdr:rowOff>
    </xdr:from>
    <xdr:to>
      <xdr:col>3</xdr:col>
      <xdr:colOff>628650</xdr:colOff>
      <xdr:row>2</xdr:row>
      <xdr:rowOff>0</xdr:rowOff>
    </xdr:to>
    <xdr:sp macro="" textlink="">
      <xdr:nvSpPr>
        <xdr:cNvPr id="6" name="Rectángulo 5">
          <a:hlinkClick xmlns:r="http://schemas.openxmlformats.org/officeDocument/2006/relationships" r:id="rId2"/>
        </xdr:cNvPr>
        <xdr:cNvSpPr/>
      </xdr:nvSpPr>
      <xdr:spPr>
        <a:xfrm>
          <a:off x="1362074" y="628649"/>
          <a:ext cx="1123951" cy="2571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ysClr val="windowText" lastClr="000000"/>
              </a:solidFill>
            </a:rPr>
            <a:t>ORGANIZACIÓN</a:t>
          </a:r>
        </a:p>
      </xdr:txBody>
    </xdr:sp>
    <xdr:clientData/>
  </xdr:twoCellAnchor>
  <xdr:twoCellAnchor>
    <xdr:from>
      <xdr:col>3</xdr:col>
      <xdr:colOff>704850</xdr:colOff>
      <xdr:row>1</xdr:row>
      <xdr:rowOff>133350</xdr:rowOff>
    </xdr:from>
    <xdr:to>
      <xdr:col>5</xdr:col>
      <xdr:colOff>123826</xdr:colOff>
      <xdr:row>2</xdr:row>
      <xdr:rowOff>1</xdr:rowOff>
    </xdr:to>
    <xdr:sp macro="" textlink="">
      <xdr:nvSpPr>
        <xdr:cNvPr id="7" name="Rectángulo 6">
          <a:hlinkClick xmlns:r="http://schemas.openxmlformats.org/officeDocument/2006/relationships" r:id="rId3"/>
        </xdr:cNvPr>
        <xdr:cNvSpPr/>
      </xdr:nvSpPr>
      <xdr:spPr>
        <a:xfrm>
          <a:off x="2562225" y="628650"/>
          <a:ext cx="1123951" cy="257176"/>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MISIÓN</a:t>
          </a:r>
        </a:p>
      </xdr:txBody>
    </xdr:sp>
    <xdr:clientData/>
  </xdr:twoCellAnchor>
  <xdr:twoCellAnchor>
    <xdr:from>
      <xdr:col>5</xdr:col>
      <xdr:colOff>219075</xdr:colOff>
      <xdr:row>1</xdr:row>
      <xdr:rowOff>133350</xdr:rowOff>
    </xdr:from>
    <xdr:to>
      <xdr:col>6</xdr:col>
      <xdr:colOff>581026</xdr:colOff>
      <xdr:row>2</xdr:row>
      <xdr:rowOff>1</xdr:rowOff>
    </xdr:to>
    <xdr:sp macro="" textlink="">
      <xdr:nvSpPr>
        <xdr:cNvPr id="8" name="Rectángulo 7">
          <a:hlinkClick xmlns:r="http://schemas.openxmlformats.org/officeDocument/2006/relationships" r:id="rId4"/>
        </xdr:cNvPr>
        <xdr:cNvSpPr/>
      </xdr:nvSpPr>
      <xdr:spPr>
        <a:xfrm>
          <a:off x="3781425" y="628650"/>
          <a:ext cx="1123951" cy="257176"/>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VISIÓN</a:t>
          </a:r>
        </a:p>
      </xdr:txBody>
    </xdr:sp>
    <xdr:clientData/>
  </xdr:twoCellAnchor>
  <xdr:twoCellAnchor>
    <xdr:from>
      <xdr:col>6</xdr:col>
      <xdr:colOff>666750</xdr:colOff>
      <xdr:row>1</xdr:row>
      <xdr:rowOff>133350</xdr:rowOff>
    </xdr:from>
    <xdr:to>
      <xdr:col>8</xdr:col>
      <xdr:colOff>666751</xdr:colOff>
      <xdr:row>2</xdr:row>
      <xdr:rowOff>1</xdr:rowOff>
    </xdr:to>
    <xdr:sp macro="" textlink="">
      <xdr:nvSpPr>
        <xdr:cNvPr id="9" name="Rectángulo 8">
          <a:hlinkClick xmlns:r="http://schemas.openxmlformats.org/officeDocument/2006/relationships" r:id="rId5"/>
        </xdr:cNvPr>
        <xdr:cNvSpPr/>
      </xdr:nvSpPr>
      <xdr:spPr>
        <a:xfrm>
          <a:off x="4991100" y="628650"/>
          <a:ext cx="1123951" cy="257176"/>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VALORES</a:t>
          </a:r>
        </a:p>
      </xdr:txBody>
    </xdr:sp>
    <xdr:clientData/>
  </xdr:twoCellAnchor>
  <xdr:twoCellAnchor>
    <xdr:from>
      <xdr:col>8</xdr:col>
      <xdr:colOff>742950</xdr:colOff>
      <xdr:row>1</xdr:row>
      <xdr:rowOff>142876</xdr:rowOff>
    </xdr:from>
    <xdr:to>
      <xdr:col>10</xdr:col>
      <xdr:colOff>657226</xdr:colOff>
      <xdr:row>2</xdr:row>
      <xdr:rowOff>1</xdr:rowOff>
    </xdr:to>
    <xdr:sp macro="" textlink="">
      <xdr:nvSpPr>
        <xdr:cNvPr id="10" name="Rectángulo 9">
          <a:hlinkClick xmlns:r="http://schemas.openxmlformats.org/officeDocument/2006/relationships" r:id="rId6"/>
        </xdr:cNvPr>
        <xdr:cNvSpPr/>
      </xdr:nvSpPr>
      <xdr:spPr>
        <a:xfrm>
          <a:off x="6191250" y="638176"/>
          <a:ext cx="1438276" cy="24765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MAPA</a:t>
          </a:r>
          <a:r>
            <a:rPr lang="es-EC" sz="1100" b="1" baseline="0">
              <a:solidFill>
                <a:schemeClr val="bg1"/>
              </a:solidFill>
            </a:rPr>
            <a:t> DE PROCESOS</a:t>
          </a:r>
          <a:endParaRPr lang="es-EC" sz="1100" b="1">
            <a:solidFill>
              <a:schemeClr val="bg1"/>
            </a:solidFill>
          </a:endParaRPr>
        </a:p>
      </xdr:txBody>
    </xdr:sp>
    <xdr:clientData/>
  </xdr:twoCellAnchor>
  <xdr:twoCellAnchor>
    <xdr:from>
      <xdr:col>10</xdr:col>
      <xdr:colOff>714375</xdr:colOff>
      <xdr:row>1</xdr:row>
      <xdr:rowOff>142876</xdr:rowOff>
    </xdr:from>
    <xdr:to>
      <xdr:col>12</xdr:col>
      <xdr:colOff>628651</xdr:colOff>
      <xdr:row>2</xdr:row>
      <xdr:rowOff>1</xdr:rowOff>
    </xdr:to>
    <xdr:sp macro="" textlink="">
      <xdr:nvSpPr>
        <xdr:cNvPr id="11" name="Rectángulo 10">
          <a:hlinkClick xmlns:r="http://schemas.openxmlformats.org/officeDocument/2006/relationships" r:id="rId7"/>
        </xdr:cNvPr>
        <xdr:cNvSpPr/>
      </xdr:nvSpPr>
      <xdr:spPr>
        <a:xfrm>
          <a:off x="7686675" y="638176"/>
          <a:ext cx="1438276" cy="24765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PERFIL</a:t>
          </a:r>
          <a:r>
            <a:rPr lang="es-EC" sz="1100" b="1" baseline="0">
              <a:solidFill>
                <a:schemeClr val="bg1"/>
              </a:solidFill>
            </a:rPr>
            <a:t> COMPETITIVO</a:t>
          </a:r>
          <a:endParaRPr lang="es-EC" sz="1100" b="1">
            <a:solidFill>
              <a:schemeClr val="bg1"/>
            </a:solidFill>
          </a:endParaRPr>
        </a:p>
      </xdr:txBody>
    </xdr:sp>
    <xdr:clientData/>
  </xdr:twoCellAnchor>
  <xdr:twoCellAnchor>
    <xdr:from>
      <xdr:col>4</xdr:col>
      <xdr:colOff>161924</xdr:colOff>
      <xdr:row>0</xdr:row>
      <xdr:rowOff>9525</xdr:rowOff>
    </xdr:from>
    <xdr:to>
      <xdr:col>5</xdr:col>
      <xdr:colOff>600075</xdr:colOff>
      <xdr:row>1</xdr:row>
      <xdr:rowOff>0</xdr:rowOff>
    </xdr:to>
    <xdr:sp macro="" textlink="">
      <xdr:nvSpPr>
        <xdr:cNvPr id="13" name="Rectángulo 12">
          <a:hlinkClick xmlns:r="http://schemas.openxmlformats.org/officeDocument/2006/relationships" r:id="rId8"/>
        </xdr:cNvPr>
        <xdr:cNvSpPr/>
      </xdr:nvSpPr>
      <xdr:spPr>
        <a:xfrm>
          <a:off x="2962274"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OBJETIVOS</a:t>
          </a:r>
        </a:p>
      </xdr:txBody>
    </xdr:sp>
    <xdr:clientData/>
  </xdr:twoCellAnchor>
  <xdr:twoCellAnchor>
    <xdr:from>
      <xdr:col>5</xdr:col>
      <xdr:colOff>628649</xdr:colOff>
      <xdr:row>0</xdr:row>
      <xdr:rowOff>9525</xdr:rowOff>
    </xdr:from>
    <xdr:to>
      <xdr:col>7</xdr:col>
      <xdr:colOff>304800</xdr:colOff>
      <xdr:row>1</xdr:row>
      <xdr:rowOff>0</xdr:rowOff>
    </xdr:to>
    <xdr:sp macro="" textlink="">
      <xdr:nvSpPr>
        <xdr:cNvPr id="14" name="Rectángulo 13">
          <a:hlinkClick xmlns:r="http://schemas.openxmlformats.org/officeDocument/2006/relationships" r:id="rId9"/>
        </xdr:cNvPr>
        <xdr:cNvSpPr/>
      </xdr:nvSpPr>
      <xdr:spPr>
        <a:xfrm>
          <a:off x="4190999"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ESTRATEGIAS</a:t>
          </a:r>
        </a:p>
      </xdr:txBody>
    </xdr:sp>
    <xdr:clientData/>
  </xdr:twoCellAnchor>
  <xdr:twoCellAnchor>
    <xdr:from>
      <xdr:col>7</xdr:col>
      <xdr:colOff>333374</xdr:colOff>
      <xdr:row>0</xdr:row>
      <xdr:rowOff>9525</xdr:rowOff>
    </xdr:from>
    <xdr:to>
      <xdr:col>9</xdr:col>
      <xdr:colOff>409575</xdr:colOff>
      <xdr:row>1</xdr:row>
      <xdr:rowOff>0</xdr:rowOff>
    </xdr:to>
    <xdr:sp macro="" textlink="">
      <xdr:nvSpPr>
        <xdr:cNvPr id="15" name="Rectángulo 14">
          <a:hlinkClick xmlns:r="http://schemas.openxmlformats.org/officeDocument/2006/relationships" r:id="rId10"/>
        </xdr:cNvPr>
        <xdr:cNvSpPr/>
      </xdr:nvSpPr>
      <xdr:spPr>
        <a:xfrm>
          <a:off x="5419724"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PROGRAMACIÓN</a:t>
          </a:r>
        </a:p>
      </xdr:txBody>
    </xdr:sp>
    <xdr:clientData/>
  </xdr:twoCellAnchor>
  <xdr:twoCellAnchor>
    <xdr:from>
      <xdr:col>9</xdr:col>
      <xdr:colOff>438149</xdr:colOff>
      <xdr:row>0</xdr:row>
      <xdr:rowOff>9525</xdr:rowOff>
    </xdr:from>
    <xdr:to>
      <xdr:col>11</xdr:col>
      <xdr:colOff>114300</xdr:colOff>
      <xdr:row>1</xdr:row>
      <xdr:rowOff>0</xdr:rowOff>
    </xdr:to>
    <xdr:sp macro="" textlink="">
      <xdr:nvSpPr>
        <xdr:cNvPr id="16" name="Rectángulo 15">
          <a:hlinkClick xmlns:r="http://schemas.openxmlformats.org/officeDocument/2006/relationships" r:id="rId11"/>
        </xdr:cNvPr>
        <xdr:cNvSpPr/>
      </xdr:nvSpPr>
      <xdr:spPr>
        <a:xfrm>
          <a:off x="6648449"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DASHBOARDS</a:t>
          </a:r>
        </a:p>
      </xdr:txBody>
    </xdr:sp>
    <xdr:clientData/>
  </xdr:twoCellAnchor>
  <xdr:twoCellAnchor>
    <xdr:from>
      <xdr:col>12</xdr:col>
      <xdr:colOff>590550</xdr:colOff>
      <xdr:row>1</xdr:row>
      <xdr:rowOff>133350</xdr:rowOff>
    </xdr:from>
    <xdr:to>
      <xdr:col>14</xdr:col>
      <xdr:colOff>504826</xdr:colOff>
      <xdr:row>1</xdr:row>
      <xdr:rowOff>381000</xdr:rowOff>
    </xdr:to>
    <xdr:sp macro="" textlink="">
      <xdr:nvSpPr>
        <xdr:cNvPr id="17" name="Rectángulo 16">
          <a:hlinkClick xmlns:r="http://schemas.openxmlformats.org/officeDocument/2006/relationships" r:id="rId12"/>
        </xdr:cNvPr>
        <xdr:cNvSpPr/>
      </xdr:nvSpPr>
      <xdr:spPr>
        <a:xfrm>
          <a:off x="9086850" y="628650"/>
          <a:ext cx="1438276" cy="24765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FODA</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295274</xdr:colOff>
      <xdr:row>1</xdr:row>
      <xdr:rowOff>133349</xdr:rowOff>
    </xdr:from>
    <xdr:to>
      <xdr:col>3</xdr:col>
      <xdr:colOff>628650</xdr:colOff>
      <xdr:row>2</xdr:row>
      <xdr:rowOff>0</xdr:rowOff>
    </xdr:to>
    <xdr:sp macro="" textlink="">
      <xdr:nvSpPr>
        <xdr:cNvPr id="2" name="Rectángulo 1">
          <a:hlinkClick xmlns:r="http://schemas.openxmlformats.org/officeDocument/2006/relationships" r:id="rId1"/>
        </xdr:cNvPr>
        <xdr:cNvSpPr/>
      </xdr:nvSpPr>
      <xdr:spPr>
        <a:xfrm>
          <a:off x="1362074" y="628649"/>
          <a:ext cx="1123951" cy="257176"/>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FINANCIERA</a:t>
          </a:r>
        </a:p>
      </xdr:txBody>
    </xdr:sp>
    <xdr:clientData/>
  </xdr:twoCellAnchor>
  <xdr:twoCellAnchor>
    <xdr:from>
      <xdr:col>3</xdr:col>
      <xdr:colOff>704850</xdr:colOff>
      <xdr:row>1</xdr:row>
      <xdr:rowOff>133350</xdr:rowOff>
    </xdr:from>
    <xdr:to>
      <xdr:col>5</xdr:col>
      <xdr:colOff>123826</xdr:colOff>
      <xdr:row>2</xdr:row>
      <xdr:rowOff>1</xdr:rowOff>
    </xdr:to>
    <xdr:sp macro="" textlink="">
      <xdr:nvSpPr>
        <xdr:cNvPr id="3" name="Rectángulo 2">
          <a:hlinkClick xmlns:r="http://schemas.openxmlformats.org/officeDocument/2006/relationships" r:id="rId2"/>
        </xdr:cNvPr>
        <xdr:cNvSpPr/>
      </xdr:nvSpPr>
      <xdr:spPr>
        <a:xfrm>
          <a:off x="2562225" y="628650"/>
          <a:ext cx="1123951" cy="257176"/>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CLIENTES</a:t>
          </a:r>
        </a:p>
      </xdr:txBody>
    </xdr:sp>
    <xdr:clientData/>
  </xdr:twoCellAnchor>
  <xdr:twoCellAnchor>
    <xdr:from>
      <xdr:col>5</xdr:col>
      <xdr:colOff>219075</xdr:colOff>
      <xdr:row>1</xdr:row>
      <xdr:rowOff>133350</xdr:rowOff>
    </xdr:from>
    <xdr:to>
      <xdr:col>6</xdr:col>
      <xdr:colOff>581026</xdr:colOff>
      <xdr:row>2</xdr:row>
      <xdr:rowOff>1</xdr:rowOff>
    </xdr:to>
    <xdr:sp macro="" textlink="">
      <xdr:nvSpPr>
        <xdr:cNvPr id="4" name="Rectángulo 3">
          <a:hlinkClick xmlns:r="http://schemas.openxmlformats.org/officeDocument/2006/relationships" r:id="rId3"/>
        </xdr:cNvPr>
        <xdr:cNvSpPr/>
      </xdr:nvSpPr>
      <xdr:spPr>
        <a:xfrm>
          <a:off x="3781425" y="628650"/>
          <a:ext cx="1123951" cy="25717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ysClr val="windowText" lastClr="000000"/>
              </a:solidFill>
            </a:rPr>
            <a:t>PROCESOS</a:t>
          </a:r>
        </a:p>
      </xdr:txBody>
    </xdr:sp>
    <xdr:clientData/>
  </xdr:twoCellAnchor>
  <xdr:twoCellAnchor>
    <xdr:from>
      <xdr:col>6</xdr:col>
      <xdr:colOff>666750</xdr:colOff>
      <xdr:row>1</xdr:row>
      <xdr:rowOff>133350</xdr:rowOff>
    </xdr:from>
    <xdr:to>
      <xdr:col>8</xdr:col>
      <xdr:colOff>666751</xdr:colOff>
      <xdr:row>2</xdr:row>
      <xdr:rowOff>1</xdr:rowOff>
    </xdr:to>
    <xdr:sp macro="" textlink="">
      <xdr:nvSpPr>
        <xdr:cNvPr id="5" name="Rectángulo 4">
          <a:hlinkClick xmlns:r="http://schemas.openxmlformats.org/officeDocument/2006/relationships" r:id="rId4"/>
        </xdr:cNvPr>
        <xdr:cNvSpPr/>
      </xdr:nvSpPr>
      <xdr:spPr>
        <a:xfrm>
          <a:off x="4991100" y="628650"/>
          <a:ext cx="1123951" cy="257176"/>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APRENDIZAJE</a:t>
          </a:r>
        </a:p>
      </xdr:txBody>
    </xdr:sp>
    <xdr:clientData/>
  </xdr:twoCellAnchor>
  <xdr:twoCellAnchor>
    <xdr:from>
      <xdr:col>2</xdr:col>
      <xdr:colOff>666749</xdr:colOff>
      <xdr:row>0</xdr:row>
      <xdr:rowOff>9525</xdr:rowOff>
    </xdr:from>
    <xdr:to>
      <xdr:col>4</xdr:col>
      <xdr:colOff>133350</xdr:colOff>
      <xdr:row>1</xdr:row>
      <xdr:rowOff>0</xdr:rowOff>
    </xdr:to>
    <xdr:sp macro="" textlink="">
      <xdr:nvSpPr>
        <xdr:cNvPr id="7" name="Rectángulo 6">
          <a:hlinkClick xmlns:r="http://schemas.openxmlformats.org/officeDocument/2006/relationships" r:id="rId5"/>
        </xdr:cNvPr>
        <xdr:cNvSpPr/>
      </xdr:nvSpPr>
      <xdr:spPr>
        <a:xfrm>
          <a:off x="1733549"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GENERALIDADES</a:t>
          </a:r>
        </a:p>
      </xdr:txBody>
    </xdr:sp>
    <xdr:clientData/>
  </xdr:twoCellAnchor>
  <xdr:twoCellAnchor>
    <xdr:from>
      <xdr:col>4</xdr:col>
      <xdr:colOff>161924</xdr:colOff>
      <xdr:row>0</xdr:row>
      <xdr:rowOff>9525</xdr:rowOff>
    </xdr:from>
    <xdr:to>
      <xdr:col>5</xdr:col>
      <xdr:colOff>600075</xdr:colOff>
      <xdr:row>1</xdr:row>
      <xdr:rowOff>0</xdr:rowOff>
    </xdr:to>
    <xdr:sp macro="" textlink="">
      <xdr:nvSpPr>
        <xdr:cNvPr id="8" name="Rectángulo 7">
          <a:hlinkClick xmlns:r="http://schemas.openxmlformats.org/officeDocument/2006/relationships" r:id="rId1"/>
        </xdr:cNvPr>
        <xdr:cNvSpPr/>
      </xdr:nvSpPr>
      <xdr:spPr>
        <a:xfrm>
          <a:off x="2962274" y="9525"/>
          <a:ext cx="1200151" cy="485775"/>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OBJETIVOS</a:t>
          </a:r>
        </a:p>
      </xdr:txBody>
    </xdr:sp>
    <xdr:clientData/>
  </xdr:twoCellAnchor>
  <xdr:twoCellAnchor>
    <xdr:from>
      <xdr:col>5</xdr:col>
      <xdr:colOff>628649</xdr:colOff>
      <xdr:row>0</xdr:row>
      <xdr:rowOff>9525</xdr:rowOff>
    </xdr:from>
    <xdr:to>
      <xdr:col>7</xdr:col>
      <xdr:colOff>304800</xdr:colOff>
      <xdr:row>1</xdr:row>
      <xdr:rowOff>0</xdr:rowOff>
    </xdr:to>
    <xdr:sp macro="" textlink="">
      <xdr:nvSpPr>
        <xdr:cNvPr id="9" name="Rectángulo 8">
          <a:hlinkClick xmlns:r="http://schemas.openxmlformats.org/officeDocument/2006/relationships" r:id="rId6"/>
        </xdr:cNvPr>
        <xdr:cNvSpPr/>
      </xdr:nvSpPr>
      <xdr:spPr>
        <a:xfrm>
          <a:off x="4190999"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ESTRATEGIAS</a:t>
          </a:r>
        </a:p>
      </xdr:txBody>
    </xdr:sp>
    <xdr:clientData/>
  </xdr:twoCellAnchor>
  <xdr:twoCellAnchor>
    <xdr:from>
      <xdr:col>7</xdr:col>
      <xdr:colOff>333374</xdr:colOff>
      <xdr:row>0</xdr:row>
      <xdr:rowOff>9525</xdr:rowOff>
    </xdr:from>
    <xdr:to>
      <xdr:col>9</xdr:col>
      <xdr:colOff>409575</xdr:colOff>
      <xdr:row>1</xdr:row>
      <xdr:rowOff>0</xdr:rowOff>
    </xdr:to>
    <xdr:sp macro="" textlink="">
      <xdr:nvSpPr>
        <xdr:cNvPr id="10" name="Rectángulo 9">
          <a:hlinkClick xmlns:r="http://schemas.openxmlformats.org/officeDocument/2006/relationships" r:id="rId7"/>
        </xdr:cNvPr>
        <xdr:cNvSpPr/>
      </xdr:nvSpPr>
      <xdr:spPr>
        <a:xfrm>
          <a:off x="5419724"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PROGRAMACIÓN</a:t>
          </a:r>
        </a:p>
      </xdr:txBody>
    </xdr:sp>
    <xdr:clientData/>
  </xdr:twoCellAnchor>
  <xdr:twoCellAnchor>
    <xdr:from>
      <xdr:col>9</xdr:col>
      <xdr:colOff>438149</xdr:colOff>
      <xdr:row>0</xdr:row>
      <xdr:rowOff>9525</xdr:rowOff>
    </xdr:from>
    <xdr:to>
      <xdr:col>11</xdr:col>
      <xdr:colOff>114300</xdr:colOff>
      <xdr:row>1</xdr:row>
      <xdr:rowOff>0</xdr:rowOff>
    </xdr:to>
    <xdr:sp macro="" textlink="">
      <xdr:nvSpPr>
        <xdr:cNvPr id="11" name="Rectángulo 10">
          <a:hlinkClick xmlns:r="http://schemas.openxmlformats.org/officeDocument/2006/relationships" r:id="rId8"/>
        </xdr:cNvPr>
        <xdr:cNvSpPr/>
      </xdr:nvSpPr>
      <xdr:spPr>
        <a:xfrm>
          <a:off x="6648449"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DASHBOARDS</a:t>
          </a:r>
        </a:p>
      </xdr:txBody>
    </xdr:sp>
    <xdr:clientData/>
  </xdr:twoCellAnchor>
  <xdr:twoCellAnchor editAs="oneCell">
    <xdr:from>
      <xdr:col>0</xdr:col>
      <xdr:colOff>76200</xdr:colOff>
      <xdr:row>0</xdr:row>
      <xdr:rowOff>47625</xdr:rowOff>
    </xdr:from>
    <xdr:to>
      <xdr:col>2</xdr:col>
      <xdr:colOff>476249</xdr:colOff>
      <xdr:row>0</xdr:row>
      <xdr:rowOff>466724</xdr:rowOff>
    </xdr:to>
    <xdr:pic>
      <xdr:nvPicPr>
        <xdr:cNvPr id="12" name="Imagen 11"/>
        <xdr:cNvPicPr>
          <a:picLocks noChangeAspect="1"/>
        </xdr:cNvPicPr>
      </xdr:nvPicPr>
      <xdr:blipFill rotWithShape="1">
        <a:blip xmlns:r="http://schemas.openxmlformats.org/officeDocument/2006/relationships" r:embed="rId9"/>
        <a:srcRect l="10995" t="55907" r="34962" b="15302"/>
        <a:stretch/>
      </xdr:blipFill>
      <xdr:spPr>
        <a:xfrm>
          <a:off x="76200" y="47625"/>
          <a:ext cx="1466849" cy="419099"/>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2</xdr:col>
      <xdr:colOff>295274</xdr:colOff>
      <xdr:row>1</xdr:row>
      <xdr:rowOff>133349</xdr:rowOff>
    </xdr:from>
    <xdr:to>
      <xdr:col>3</xdr:col>
      <xdr:colOff>628650</xdr:colOff>
      <xdr:row>2</xdr:row>
      <xdr:rowOff>0</xdr:rowOff>
    </xdr:to>
    <xdr:sp macro="" textlink="">
      <xdr:nvSpPr>
        <xdr:cNvPr id="2" name="Rectángulo 1">
          <a:hlinkClick xmlns:r="http://schemas.openxmlformats.org/officeDocument/2006/relationships" r:id="rId1"/>
        </xdr:cNvPr>
        <xdr:cNvSpPr/>
      </xdr:nvSpPr>
      <xdr:spPr>
        <a:xfrm>
          <a:off x="1362074" y="628649"/>
          <a:ext cx="1123951" cy="257176"/>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FINANCIERA</a:t>
          </a:r>
        </a:p>
      </xdr:txBody>
    </xdr:sp>
    <xdr:clientData/>
  </xdr:twoCellAnchor>
  <xdr:twoCellAnchor>
    <xdr:from>
      <xdr:col>3</xdr:col>
      <xdr:colOff>704850</xdr:colOff>
      <xdr:row>1</xdr:row>
      <xdr:rowOff>133350</xdr:rowOff>
    </xdr:from>
    <xdr:to>
      <xdr:col>5</xdr:col>
      <xdr:colOff>123826</xdr:colOff>
      <xdr:row>2</xdr:row>
      <xdr:rowOff>1</xdr:rowOff>
    </xdr:to>
    <xdr:sp macro="" textlink="">
      <xdr:nvSpPr>
        <xdr:cNvPr id="3" name="Rectángulo 2">
          <a:hlinkClick xmlns:r="http://schemas.openxmlformats.org/officeDocument/2006/relationships" r:id="rId2"/>
        </xdr:cNvPr>
        <xdr:cNvSpPr/>
      </xdr:nvSpPr>
      <xdr:spPr>
        <a:xfrm>
          <a:off x="2562225" y="628650"/>
          <a:ext cx="1123951" cy="257176"/>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CLIENTES</a:t>
          </a:r>
        </a:p>
      </xdr:txBody>
    </xdr:sp>
    <xdr:clientData/>
  </xdr:twoCellAnchor>
  <xdr:twoCellAnchor>
    <xdr:from>
      <xdr:col>5</xdr:col>
      <xdr:colOff>219075</xdr:colOff>
      <xdr:row>1</xdr:row>
      <xdr:rowOff>133350</xdr:rowOff>
    </xdr:from>
    <xdr:to>
      <xdr:col>6</xdr:col>
      <xdr:colOff>581026</xdr:colOff>
      <xdr:row>2</xdr:row>
      <xdr:rowOff>1</xdr:rowOff>
    </xdr:to>
    <xdr:sp macro="" textlink="">
      <xdr:nvSpPr>
        <xdr:cNvPr id="4" name="Rectángulo 3">
          <a:hlinkClick xmlns:r="http://schemas.openxmlformats.org/officeDocument/2006/relationships" r:id="rId3"/>
        </xdr:cNvPr>
        <xdr:cNvSpPr/>
      </xdr:nvSpPr>
      <xdr:spPr>
        <a:xfrm>
          <a:off x="3781425" y="628650"/>
          <a:ext cx="1123951" cy="257176"/>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PROCESOS</a:t>
          </a:r>
        </a:p>
      </xdr:txBody>
    </xdr:sp>
    <xdr:clientData/>
  </xdr:twoCellAnchor>
  <xdr:twoCellAnchor>
    <xdr:from>
      <xdr:col>6</xdr:col>
      <xdr:colOff>666750</xdr:colOff>
      <xdr:row>1</xdr:row>
      <xdr:rowOff>133350</xdr:rowOff>
    </xdr:from>
    <xdr:to>
      <xdr:col>8</xdr:col>
      <xdr:colOff>666751</xdr:colOff>
      <xdr:row>2</xdr:row>
      <xdr:rowOff>1</xdr:rowOff>
    </xdr:to>
    <xdr:sp macro="" textlink="">
      <xdr:nvSpPr>
        <xdr:cNvPr id="5" name="Rectángulo 4">
          <a:hlinkClick xmlns:r="http://schemas.openxmlformats.org/officeDocument/2006/relationships" r:id="rId4"/>
        </xdr:cNvPr>
        <xdr:cNvSpPr/>
      </xdr:nvSpPr>
      <xdr:spPr>
        <a:xfrm>
          <a:off x="4991100" y="628650"/>
          <a:ext cx="1123951" cy="25717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ysClr val="windowText" lastClr="000000"/>
              </a:solidFill>
            </a:rPr>
            <a:t>APRENDIZAJE</a:t>
          </a:r>
        </a:p>
      </xdr:txBody>
    </xdr:sp>
    <xdr:clientData/>
  </xdr:twoCellAnchor>
  <xdr:twoCellAnchor>
    <xdr:from>
      <xdr:col>2</xdr:col>
      <xdr:colOff>666749</xdr:colOff>
      <xdr:row>0</xdr:row>
      <xdr:rowOff>9525</xdr:rowOff>
    </xdr:from>
    <xdr:to>
      <xdr:col>4</xdr:col>
      <xdr:colOff>133350</xdr:colOff>
      <xdr:row>1</xdr:row>
      <xdr:rowOff>0</xdr:rowOff>
    </xdr:to>
    <xdr:sp macro="" textlink="">
      <xdr:nvSpPr>
        <xdr:cNvPr id="7" name="Rectángulo 6">
          <a:hlinkClick xmlns:r="http://schemas.openxmlformats.org/officeDocument/2006/relationships" r:id="rId5"/>
        </xdr:cNvPr>
        <xdr:cNvSpPr/>
      </xdr:nvSpPr>
      <xdr:spPr>
        <a:xfrm>
          <a:off x="1733549"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GENERALIDADES</a:t>
          </a:r>
        </a:p>
      </xdr:txBody>
    </xdr:sp>
    <xdr:clientData/>
  </xdr:twoCellAnchor>
  <xdr:twoCellAnchor>
    <xdr:from>
      <xdr:col>4</xdr:col>
      <xdr:colOff>161924</xdr:colOff>
      <xdr:row>0</xdr:row>
      <xdr:rowOff>9525</xdr:rowOff>
    </xdr:from>
    <xdr:to>
      <xdr:col>5</xdr:col>
      <xdr:colOff>600075</xdr:colOff>
      <xdr:row>1</xdr:row>
      <xdr:rowOff>0</xdr:rowOff>
    </xdr:to>
    <xdr:sp macro="" textlink="">
      <xdr:nvSpPr>
        <xdr:cNvPr id="8" name="Rectángulo 7"/>
        <xdr:cNvSpPr/>
      </xdr:nvSpPr>
      <xdr:spPr>
        <a:xfrm>
          <a:off x="2962274" y="9525"/>
          <a:ext cx="1200151" cy="485775"/>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OBJETIVOS</a:t>
          </a:r>
        </a:p>
      </xdr:txBody>
    </xdr:sp>
    <xdr:clientData/>
  </xdr:twoCellAnchor>
  <xdr:twoCellAnchor>
    <xdr:from>
      <xdr:col>5</xdr:col>
      <xdr:colOff>628649</xdr:colOff>
      <xdr:row>0</xdr:row>
      <xdr:rowOff>9525</xdr:rowOff>
    </xdr:from>
    <xdr:to>
      <xdr:col>7</xdr:col>
      <xdr:colOff>304800</xdr:colOff>
      <xdr:row>1</xdr:row>
      <xdr:rowOff>0</xdr:rowOff>
    </xdr:to>
    <xdr:sp macro="" textlink="">
      <xdr:nvSpPr>
        <xdr:cNvPr id="9" name="Rectángulo 8">
          <a:hlinkClick xmlns:r="http://schemas.openxmlformats.org/officeDocument/2006/relationships" r:id="rId6"/>
        </xdr:cNvPr>
        <xdr:cNvSpPr/>
      </xdr:nvSpPr>
      <xdr:spPr>
        <a:xfrm>
          <a:off x="4190999"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ESTRATEGIAS</a:t>
          </a:r>
        </a:p>
      </xdr:txBody>
    </xdr:sp>
    <xdr:clientData/>
  </xdr:twoCellAnchor>
  <xdr:twoCellAnchor>
    <xdr:from>
      <xdr:col>7</xdr:col>
      <xdr:colOff>333374</xdr:colOff>
      <xdr:row>0</xdr:row>
      <xdr:rowOff>9525</xdr:rowOff>
    </xdr:from>
    <xdr:to>
      <xdr:col>9</xdr:col>
      <xdr:colOff>409575</xdr:colOff>
      <xdr:row>1</xdr:row>
      <xdr:rowOff>0</xdr:rowOff>
    </xdr:to>
    <xdr:sp macro="" textlink="">
      <xdr:nvSpPr>
        <xdr:cNvPr id="10" name="Rectángulo 9">
          <a:hlinkClick xmlns:r="http://schemas.openxmlformats.org/officeDocument/2006/relationships" r:id="rId7"/>
        </xdr:cNvPr>
        <xdr:cNvSpPr/>
      </xdr:nvSpPr>
      <xdr:spPr>
        <a:xfrm>
          <a:off x="5419724"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PROGRAMACIÓN</a:t>
          </a:r>
        </a:p>
      </xdr:txBody>
    </xdr:sp>
    <xdr:clientData/>
  </xdr:twoCellAnchor>
  <xdr:twoCellAnchor>
    <xdr:from>
      <xdr:col>9</xdr:col>
      <xdr:colOff>438149</xdr:colOff>
      <xdr:row>0</xdr:row>
      <xdr:rowOff>9525</xdr:rowOff>
    </xdr:from>
    <xdr:to>
      <xdr:col>11</xdr:col>
      <xdr:colOff>114300</xdr:colOff>
      <xdr:row>1</xdr:row>
      <xdr:rowOff>0</xdr:rowOff>
    </xdr:to>
    <xdr:sp macro="" textlink="">
      <xdr:nvSpPr>
        <xdr:cNvPr id="11" name="Rectángulo 10">
          <a:hlinkClick xmlns:r="http://schemas.openxmlformats.org/officeDocument/2006/relationships" r:id="rId8"/>
        </xdr:cNvPr>
        <xdr:cNvSpPr/>
      </xdr:nvSpPr>
      <xdr:spPr>
        <a:xfrm>
          <a:off x="6648449"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DASHBOARDS</a:t>
          </a:r>
        </a:p>
      </xdr:txBody>
    </xdr:sp>
    <xdr:clientData/>
  </xdr:twoCellAnchor>
  <xdr:twoCellAnchor editAs="oneCell">
    <xdr:from>
      <xdr:col>0</xdr:col>
      <xdr:colOff>76200</xdr:colOff>
      <xdr:row>0</xdr:row>
      <xdr:rowOff>47625</xdr:rowOff>
    </xdr:from>
    <xdr:to>
      <xdr:col>2</xdr:col>
      <xdr:colOff>476249</xdr:colOff>
      <xdr:row>0</xdr:row>
      <xdr:rowOff>466724</xdr:rowOff>
    </xdr:to>
    <xdr:pic>
      <xdr:nvPicPr>
        <xdr:cNvPr id="12" name="Imagen 11"/>
        <xdr:cNvPicPr>
          <a:picLocks noChangeAspect="1"/>
        </xdr:cNvPicPr>
      </xdr:nvPicPr>
      <xdr:blipFill rotWithShape="1">
        <a:blip xmlns:r="http://schemas.openxmlformats.org/officeDocument/2006/relationships" r:embed="rId9"/>
        <a:srcRect l="10995" t="55907" r="34962" b="15302"/>
        <a:stretch/>
      </xdr:blipFill>
      <xdr:spPr>
        <a:xfrm>
          <a:off x="76200" y="47625"/>
          <a:ext cx="1466849" cy="419099"/>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2</xdr:col>
      <xdr:colOff>295274</xdr:colOff>
      <xdr:row>1</xdr:row>
      <xdr:rowOff>133349</xdr:rowOff>
    </xdr:from>
    <xdr:to>
      <xdr:col>3</xdr:col>
      <xdr:colOff>628650</xdr:colOff>
      <xdr:row>2</xdr:row>
      <xdr:rowOff>0</xdr:rowOff>
    </xdr:to>
    <xdr:sp macro="" textlink="">
      <xdr:nvSpPr>
        <xdr:cNvPr id="2" name="Rectángulo 1"/>
        <xdr:cNvSpPr/>
      </xdr:nvSpPr>
      <xdr:spPr>
        <a:xfrm>
          <a:off x="1362074" y="628649"/>
          <a:ext cx="1123951" cy="2571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tx1"/>
              </a:solidFill>
            </a:rPr>
            <a:t>FINANCIERA</a:t>
          </a:r>
        </a:p>
      </xdr:txBody>
    </xdr:sp>
    <xdr:clientData/>
  </xdr:twoCellAnchor>
  <xdr:twoCellAnchor>
    <xdr:from>
      <xdr:col>3</xdr:col>
      <xdr:colOff>704850</xdr:colOff>
      <xdr:row>1</xdr:row>
      <xdr:rowOff>133350</xdr:rowOff>
    </xdr:from>
    <xdr:to>
      <xdr:col>5</xdr:col>
      <xdr:colOff>123826</xdr:colOff>
      <xdr:row>2</xdr:row>
      <xdr:rowOff>1</xdr:rowOff>
    </xdr:to>
    <xdr:sp macro="" textlink="">
      <xdr:nvSpPr>
        <xdr:cNvPr id="3" name="Rectángulo 2">
          <a:hlinkClick xmlns:r="http://schemas.openxmlformats.org/officeDocument/2006/relationships" r:id="rId1"/>
        </xdr:cNvPr>
        <xdr:cNvSpPr/>
      </xdr:nvSpPr>
      <xdr:spPr>
        <a:xfrm>
          <a:off x="2562225" y="628650"/>
          <a:ext cx="1123951" cy="257176"/>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CLIENTES</a:t>
          </a:r>
        </a:p>
      </xdr:txBody>
    </xdr:sp>
    <xdr:clientData/>
  </xdr:twoCellAnchor>
  <xdr:twoCellAnchor>
    <xdr:from>
      <xdr:col>5</xdr:col>
      <xdr:colOff>219075</xdr:colOff>
      <xdr:row>1</xdr:row>
      <xdr:rowOff>133350</xdr:rowOff>
    </xdr:from>
    <xdr:to>
      <xdr:col>6</xdr:col>
      <xdr:colOff>581026</xdr:colOff>
      <xdr:row>2</xdr:row>
      <xdr:rowOff>1</xdr:rowOff>
    </xdr:to>
    <xdr:sp macro="" textlink="">
      <xdr:nvSpPr>
        <xdr:cNvPr id="4" name="Rectángulo 3">
          <a:hlinkClick xmlns:r="http://schemas.openxmlformats.org/officeDocument/2006/relationships" r:id="rId2"/>
        </xdr:cNvPr>
        <xdr:cNvSpPr/>
      </xdr:nvSpPr>
      <xdr:spPr>
        <a:xfrm>
          <a:off x="3781425" y="628650"/>
          <a:ext cx="1123951" cy="257176"/>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PROCESOS</a:t>
          </a:r>
        </a:p>
      </xdr:txBody>
    </xdr:sp>
    <xdr:clientData/>
  </xdr:twoCellAnchor>
  <xdr:twoCellAnchor>
    <xdr:from>
      <xdr:col>6</xdr:col>
      <xdr:colOff>666750</xdr:colOff>
      <xdr:row>1</xdr:row>
      <xdr:rowOff>133350</xdr:rowOff>
    </xdr:from>
    <xdr:to>
      <xdr:col>8</xdr:col>
      <xdr:colOff>666751</xdr:colOff>
      <xdr:row>2</xdr:row>
      <xdr:rowOff>1</xdr:rowOff>
    </xdr:to>
    <xdr:sp macro="" textlink="">
      <xdr:nvSpPr>
        <xdr:cNvPr id="5" name="Rectángulo 4">
          <a:hlinkClick xmlns:r="http://schemas.openxmlformats.org/officeDocument/2006/relationships" r:id="rId3"/>
        </xdr:cNvPr>
        <xdr:cNvSpPr/>
      </xdr:nvSpPr>
      <xdr:spPr>
        <a:xfrm>
          <a:off x="4991100" y="628650"/>
          <a:ext cx="1123951" cy="257176"/>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APRENDIZAJE</a:t>
          </a:r>
        </a:p>
      </xdr:txBody>
    </xdr:sp>
    <xdr:clientData/>
  </xdr:twoCellAnchor>
  <xdr:twoCellAnchor>
    <xdr:from>
      <xdr:col>2</xdr:col>
      <xdr:colOff>666749</xdr:colOff>
      <xdr:row>0</xdr:row>
      <xdr:rowOff>9525</xdr:rowOff>
    </xdr:from>
    <xdr:to>
      <xdr:col>4</xdr:col>
      <xdr:colOff>133350</xdr:colOff>
      <xdr:row>1</xdr:row>
      <xdr:rowOff>0</xdr:rowOff>
    </xdr:to>
    <xdr:sp macro="" textlink="">
      <xdr:nvSpPr>
        <xdr:cNvPr id="6" name="Rectángulo 5">
          <a:hlinkClick xmlns:r="http://schemas.openxmlformats.org/officeDocument/2006/relationships" r:id="rId4"/>
        </xdr:cNvPr>
        <xdr:cNvSpPr/>
      </xdr:nvSpPr>
      <xdr:spPr>
        <a:xfrm>
          <a:off x="1733549"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GENERALIDADES</a:t>
          </a:r>
        </a:p>
      </xdr:txBody>
    </xdr:sp>
    <xdr:clientData/>
  </xdr:twoCellAnchor>
  <xdr:twoCellAnchor>
    <xdr:from>
      <xdr:col>4</xdr:col>
      <xdr:colOff>161924</xdr:colOff>
      <xdr:row>0</xdr:row>
      <xdr:rowOff>9525</xdr:rowOff>
    </xdr:from>
    <xdr:to>
      <xdr:col>5</xdr:col>
      <xdr:colOff>600075</xdr:colOff>
      <xdr:row>1</xdr:row>
      <xdr:rowOff>0</xdr:rowOff>
    </xdr:to>
    <xdr:sp macro="" textlink="">
      <xdr:nvSpPr>
        <xdr:cNvPr id="7" name="Rectángulo 6">
          <a:hlinkClick xmlns:r="http://schemas.openxmlformats.org/officeDocument/2006/relationships" r:id="rId5"/>
        </xdr:cNvPr>
        <xdr:cNvSpPr/>
      </xdr:nvSpPr>
      <xdr:spPr>
        <a:xfrm>
          <a:off x="2962274"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OBJETIVOS</a:t>
          </a:r>
        </a:p>
      </xdr:txBody>
    </xdr:sp>
    <xdr:clientData/>
  </xdr:twoCellAnchor>
  <xdr:twoCellAnchor>
    <xdr:from>
      <xdr:col>5</xdr:col>
      <xdr:colOff>628649</xdr:colOff>
      <xdr:row>0</xdr:row>
      <xdr:rowOff>9525</xdr:rowOff>
    </xdr:from>
    <xdr:to>
      <xdr:col>7</xdr:col>
      <xdr:colOff>304800</xdr:colOff>
      <xdr:row>1</xdr:row>
      <xdr:rowOff>0</xdr:rowOff>
    </xdr:to>
    <xdr:sp macro="" textlink="">
      <xdr:nvSpPr>
        <xdr:cNvPr id="8" name="Rectángulo 7">
          <a:hlinkClick xmlns:r="http://schemas.openxmlformats.org/officeDocument/2006/relationships" r:id="rId6"/>
        </xdr:cNvPr>
        <xdr:cNvSpPr/>
      </xdr:nvSpPr>
      <xdr:spPr>
        <a:xfrm>
          <a:off x="4190999" y="9525"/>
          <a:ext cx="1200151" cy="485775"/>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ESTRATEGIAS</a:t>
          </a:r>
        </a:p>
      </xdr:txBody>
    </xdr:sp>
    <xdr:clientData/>
  </xdr:twoCellAnchor>
  <xdr:twoCellAnchor>
    <xdr:from>
      <xdr:col>7</xdr:col>
      <xdr:colOff>333374</xdr:colOff>
      <xdr:row>0</xdr:row>
      <xdr:rowOff>9525</xdr:rowOff>
    </xdr:from>
    <xdr:to>
      <xdr:col>9</xdr:col>
      <xdr:colOff>409575</xdr:colOff>
      <xdr:row>1</xdr:row>
      <xdr:rowOff>0</xdr:rowOff>
    </xdr:to>
    <xdr:sp macro="" textlink="">
      <xdr:nvSpPr>
        <xdr:cNvPr id="9" name="Rectángulo 8">
          <a:hlinkClick xmlns:r="http://schemas.openxmlformats.org/officeDocument/2006/relationships" r:id="rId7"/>
        </xdr:cNvPr>
        <xdr:cNvSpPr/>
      </xdr:nvSpPr>
      <xdr:spPr>
        <a:xfrm>
          <a:off x="5419724"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PROGRAMACIÓN</a:t>
          </a:r>
        </a:p>
      </xdr:txBody>
    </xdr:sp>
    <xdr:clientData/>
  </xdr:twoCellAnchor>
  <xdr:twoCellAnchor>
    <xdr:from>
      <xdr:col>9</xdr:col>
      <xdr:colOff>438149</xdr:colOff>
      <xdr:row>0</xdr:row>
      <xdr:rowOff>9525</xdr:rowOff>
    </xdr:from>
    <xdr:to>
      <xdr:col>11</xdr:col>
      <xdr:colOff>114300</xdr:colOff>
      <xdr:row>1</xdr:row>
      <xdr:rowOff>0</xdr:rowOff>
    </xdr:to>
    <xdr:sp macro="" textlink="">
      <xdr:nvSpPr>
        <xdr:cNvPr id="10" name="Rectángulo 9">
          <a:hlinkClick xmlns:r="http://schemas.openxmlformats.org/officeDocument/2006/relationships" r:id="rId8"/>
        </xdr:cNvPr>
        <xdr:cNvSpPr/>
      </xdr:nvSpPr>
      <xdr:spPr>
        <a:xfrm>
          <a:off x="6648449"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DASHBOARDS</a:t>
          </a:r>
        </a:p>
      </xdr:txBody>
    </xdr:sp>
    <xdr:clientData/>
  </xdr:twoCellAnchor>
  <xdr:twoCellAnchor editAs="oneCell">
    <xdr:from>
      <xdr:col>0</xdr:col>
      <xdr:colOff>76200</xdr:colOff>
      <xdr:row>0</xdr:row>
      <xdr:rowOff>47625</xdr:rowOff>
    </xdr:from>
    <xdr:to>
      <xdr:col>2</xdr:col>
      <xdr:colOff>476249</xdr:colOff>
      <xdr:row>0</xdr:row>
      <xdr:rowOff>466724</xdr:rowOff>
    </xdr:to>
    <xdr:pic>
      <xdr:nvPicPr>
        <xdr:cNvPr id="12" name="Imagen 11"/>
        <xdr:cNvPicPr>
          <a:picLocks noChangeAspect="1"/>
        </xdr:cNvPicPr>
      </xdr:nvPicPr>
      <xdr:blipFill rotWithShape="1">
        <a:blip xmlns:r="http://schemas.openxmlformats.org/officeDocument/2006/relationships" r:embed="rId9"/>
        <a:srcRect l="10995" t="55907" r="34962" b="15302"/>
        <a:stretch/>
      </xdr:blipFill>
      <xdr:spPr>
        <a:xfrm>
          <a:off x="76200" y="47625"/>
          <a:ext cx="1466849" cy="41909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2</xdr:col>
      <xdr:colOff>295274</xdr:colOff>
      <xdr:row>1</xdr:row>
      <xdr:rowOff>133349</xdr:rowOff>
    </xdr:from>
    <xdr:to>
      <xdr:col>3</xdr:col>
      <xdr:colOff>628650</xdr:colOff>
      <xdr:row>2</xdr:row>
      <xdr:rowOff>0</xdr:rowOff>
    </xdr:to>
    <xdr:sp macro="" textlink="">
      <xdr:nvSpPr>
        <xdr:cNvPr id="2" name="Rectángulo 1">
          <a:hlinkClick xmlns:r="http://schemas.openxmlformats.org/officeDocument/2006/relationships" r:id="rId1"/>
        </xdr:cNvPr>
        <xdr:cNvSpPr/>
      </xdr:nvSpPr>
      <xdr:spPr>
        <a:xfrm>
          <a:off x="1362074" y="628649"/>
          <a:ext cx="1123951" cy="2571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FINANCIERA</a:t>
          </a:r>
        </a:p>
      </xdr:txBody>
    </xdr:sp>
    <xdr:clientData/>
  </xdr:twoCellAnchor>
  <xdr:twoCellAnchor>
    <xdr:from>
      <xdr:col>3</xdr:col>
      <xdr:colOff>704850</xdr:colOff>
      <xdr:row>1</xdr:row>
      <xdr:rowOff>133350</xdr:rowOff>
    </xdr:from>
    <xdr:to>
      <xdr:col>5</xdr:col>
      <xdr:colOff>123826</xdr:colOff>
      <xdr:row>2</xdr:row>
      <xdr:rowOff>1</xdr:rowOff>
    </xdr:to>
    <xdr:sp macro="" textlink="">
      <xdr:nvSpPr>
        <xdr:cNvPr id="3" name="Rectángulo 2">
          <a:hlinkClick xmlns:r="http://schemas.openxmlformats.org/officeDocument/2006/relationships" r:id="rId2"/>
        </xdr:cNvPr>
        <xdr:cNvSpPr/>
      </xdr:nvSpPr>
      <xdr:spPr>
        <a:xfrm>
          <a:off x="2562225" y="628650"/>
          <a:ext cx="1123951" cy="25717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ysClr val="windowText" lastClr="000000"/>
              </a:solidFill>
            </a:rPr>
            <a:t>CLIENTES</a:t>
          </a:r>
        </a:p>
      </xdr:txBody>
    </xdr:sp>
    <xdr:clientData/>
  </xdr:twoCellAnchor>
  <xdr:twoCellAnchor>
    <xdr:from>
      <xdr:col>5</xdr:col>
      <xdr:colOff>219075</xdr:colOff>
      <xdr:row>1</xdr:row>
      <xdr:rowOff>133350</xdr:rowOff>
    </xdr:from>
    <xdr:to>
      <xdr:col>6</xdr:col>
      <xdr:colOff>581026</xdr:colOff>
      <xdr:row>2</xdr:row>
      <xdr:rowOff>1</xdr:rowOff>
    </xdr:to>
    <xdr:sp macro="" textlink="">
      <xdr:nvSpPr>
        <xdr:cNvPr id="4" name="Rectángulo 3">
          <a:hlinkClick xmlns:r="http://schemas.openxmlformats.org/officeDocument/2006/relationships" r:id="rId3"/>
        </xdr:cNvPr>
        <xdr:cNvSpPr/>
      </xdr:nvSpPr>
      <xdr:spPr>
        <a:xfrm>
          <a:off x="3781425" y="628650"/>
          <a:ext cx="1123951" cy="257176"/>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PROCESOS</a:t>
          </a:r>
        </a:p>
      </xdr:txBody>
    </xdr:sp>
    <xdr:clientData/>
  </xdr:twoCellAnchor>
  <xdr:twoCellAnchor>
    <xdr:from>
      <xdr:col>6</xdr:col>
      <xdr:colOff>666750</xdr:colOff>
      <xdr:row>1</xdr:row>
      <xdr:rowOff>133350</xdr:rowOff>
    </xdr:from>
    <xdr:to>
      <xdr:col>8</xdr:col>
      <xdr:colOff>666751</xdr:colOff>
      <xdr:row>2</xdr:row>
      <xdr:rowOff>1</xdr:rowOff>
    </xdr:to>
    <xdr:sp macro="" textlink="">
      <xdr:nvSpPr>
        <xdr:cNvPr id="5" name="Rectángulo 4">
          <a:hlinkClick xmlns:r="http://schemas.openxmlformats.org/officeDocument/2006/relationships" r:id="rId4"/>
        </xdr:cNvPr>
        <xdr:cNvSpPr/>
      </xdr:nvSpPr>
      <xdr:spPr>
        <a:xfrm>
          <a:off x="4991100" y="628650"/>
          <a:ext cx="1123951" cy="257176"/>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APRENDIZAJE</a:t>
          </a:r>
        </a:p>
      </xdr:txBody>
    </xdr:sp>
    <xdr:clientData/>
  </xdr:twoCellAnchor>
  <xdr:twoCellAnchor>
    <xdr:from>
      <xdr:col>2</xdr:col>
      <xdr:colOff>666749</xdr:colOff>
      <xdr:row>0</xdr:row>
      <xdr:rowOff>9525</xdr:rowOff>
    </xdr:from>
    <xdr:to>
      <xdr:col>4</xdr:col>
      <xdr:colOff>133350</xdr:colOff>
      <xdr:row>1</xdr:row>
      <xdr:rowOff>0</xdr:rowOff>
    </xdr:to>
    <xdr:sp macro="" textlink="">
      <xdr:nvSpPr>
        <xdr:cNvPr id="6" name="Rectángulo 5">
          <a:hlinkClick xmlns:r="http://schemas.openxmlformats.org/officeDocument/2006/relationships" r:id="rId5"/>
        </xdr:cNvPr>
        <xdr:cNvSpPr/>
      </xdr:nvSpPr>
      <xdr:spPr>
        <a:xfrm>
          <a:off x="1733549"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GENERALIDADES</a:t>
          </a:r>
        </a:p>
      </xdr:txBody>
    </xdr:sp>
    <xdr:clientData/>
  </xdr:twoCellAnchor>
  <xdr:twoCellAnchor>
    <xdr:from>
      <xdr:col>4</xdr:col>
      <xdr:colOff>161924</xdr:colOff>
      <xdr:row>0</xdr:row>
      <xdr:rowOff>9525</xdr:rowOff>
    </xdr:from>
    <xdr:to>
      <xdr:col>5</xdr:col>
      <xdr:colOff>600075</xdr:colOff>
      <xdr:row>1</xdr:row>
      <xdr:rowOff>0</xdr:rowOff>
    </xdr:to>
    <xdr:sp macro="" textlink="">
      <xdr:nvSpPr>
        <xdr:cNvPr id="7" name="Rectángulo 6">
          <a:hlinkClick xmlns:r="http://schemas.openxmlformats.org/officeDocument/2006/relationships" r:id="rId6"/>
        </xdr:cNvPr>
        <xdr:cNvSpPr/>
      </xdr:nvSpPr>
      <xdr:spPr>
        <a:xfrm>
          <a:off x="2962274"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OBJETIVOS</a:t>
          </a:r>
        </a:p>
      </xdr:txBody>
    </xdr:sp>
    <xdr:clientData/>
  </xdr:twoCellAnchor>
  <xdr:twoCellAnchor>
    <xdr:from>
      <xdr:col>5</xdr:col>
      <xdr:colOff>628649</xdr:colOff>
      <xdr:row>0</xdr:row>
      <xdr:rowOff>9525</xdr:rowOff>
    </xdr:from>
    <xdr:to>
      <xdr:col>7</xdr:col>
      <xdr:colOff>304800</xdr:colOff>
      <xdr:row>1</xdr:row>
      <xdr:rowOff>0</xdr:rowOff>
    </xdr:to>
    <xdr:sp macro="" textlink="">
      <xdr:nvSpPr>
        <xdr:cNvPr id="8" name="Rectángulo 7">
          <a:hlinkClick xmlns:r="http://schemas.openxmlformats.org/officeDocument/2006/relationships" r:id="rId1"/>
        </xdr:cNvPr>
        <xdr:cNvSpPr/>
      </xdr:nvSpPr>
      <xdr:spPr>
        <a:xfrm>
          <a:off x="4190999" y="9525"/>
          <a:ext cx="1200151" cy="485775"/>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ESTRATEGIAS</a:t>
          </a:r>
        </a:p>
      </xdr:txBody>
    </xdr:sp>
    <xdr:clientData/>
  </xdr:twoCellAnchor>
  <xdr:twoCellAnchor>
    <xdr:from>
      <xdr:col>7</xdr:col>
      <xdr:colOff>333374</xdr:colOff>
      <xdr:row>0</xdr:row>
      <xdr:rowOff>9525</xdr:rowOff>
    </xdr:from>
    <xdr:to>
      <xdr:col>9</xdr:col>
      <xdr:colOff>409575</xdr:colOff>
      <xdr:row>1</xdr:row>
      <xdr:rowOff>0</xdr:rowOff>
    </xdr:to>
    <xdr:sp macro="" textlink="">
      <xdr:nvSpPr>
        <xdr:cNvPr id="9" name="Rectángulo 8">
          <a:hlinkClick xmlns:r="http://schemas.openxmlformats.org/officeDocument/2006/relationships" r:id="rId7"/>
        </xdr:cNvPr>
        <xdr:cNvSpPr/>
      </xdr:nvSpPr>
      <xdr:spPr>
        <a:xfrm>
          <a:off x="5419724"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PROGRAMACIÓN</a:t>
          </a:r>
        </a:p>
      </xdr:txBody>
    </xdr:sp>
    <xdr:clientData/>
  </xdr:twoCellAnchor>
  <xdr:twoCellAnchor>
    <xdr:from>
      <xdr:col>9</xdr:col>
      <xdr:colOff>438149</xdr:colOff>
      <xdr:row>0</xdr:row>
      <xdr:rowOff>9525</xdr:rowOff>
    </xdr:from>
    <xdr:to>
      <xdr:col>11</xdr:col>
      <xdr:colOff>114300</xdr:colOff>
      <xdr:row>1</xdr:row>
      <xdr:rowOff>0</xdr:rowOff>
    </xdr:to>
    <xdr:sp macro="" textlink="">
      <xdr:nvSpPr>
        <xdr:cNvPr id="10" name="Rectángulo 9">
          <a:hlinkClick xmlns:r="http://schemas.openxmlformats.org/officeDocument/2006/relationships" r:id="rId8"/>
        </xdr:cNvPr>
        <xdr:cNvSpPr/>
      </xdr:nvSpPr>
      <xdr:spPr>
        <a:xfrm>
          <a:off x="6648449" y="9525"/>
          <a:ext cx="17716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DASHBOARDS</a:t>
          </a:r>
        </a:p>
      </xdr:txBody>
    </xdr:sp>
    <xdr:clientData/>
  </xdr:twoCellAnchor>
  <xdr:twoCellAnchor editAs="oneCell">
    <xdr:from>
      <xdr:col>0</xdr:col>
      <xdr:colOff>76200</xdr:colOff>
      <xdr:row>0</xdr:row>
      <xdr:rowOff>47625</xdr:rowOff>
    </xdr:from>
    <xdr:to>
      <xdr:col>2</xdr:col>
      <xdr:colOff>476249</xdr:colOff>
      <xdr:row>0</xdr:row>
      <xdr:rowOff>466724</xdr:rowOff>
    </xdr:to>
    <xdr:pic>
      <xdr:nvPicPr>
        <xdr:cNvPr id="12" name="Imagen 11"/>
        <xdr:cNvPicPr>
          <a:picLocks noChangeAspect="1"/>
        </xdr:cNvPicPr>
      </xdr:nvPicPr>
      <xdr:blipFill rotWithShape="1">
        <a:blip xmlns:r="http://schemas.openxmlformats.org/officeDocument/2006/relationships" r:embed="rId9"/>
        <a:srcRect l="10995" t="55907" r="34962" b="15302"/>
        <a:stretch/>
      </xdr:blipFill>
      <xdr:spPr>
        <a:xfrm>
          <a:off x="76200" y="47625"/>
          <a:ext cx="1466849" cy="419099"/>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2</xdr:col>
      <xdr:colOff>295274</xdr:colOff>
      <xdr:row>1</xdr:row>
      <xdr:rowOff>133349</xdr:rowOff>
    </xdr:from>
    <xdr:to>
      <xdr:col>3</xdr:col>
      <xdr:colOff>628650</xdr:colOff>
      <xdr:row>2</xdr:row>
      <xdr:rowOff>0</xdr:rowOff>
    </xdr:to>
    <xdr:sp macro="" textlink="">
      <xdr:nvSpPr>
        <xdr:cNvPr id="2" name="Rectángulo 1">
          <a:hlinkClick xmlns:r="http://schemas.openxmlformats.org/officeDocument/2006/relationships" r:id="rId1"/>
        </xdr:cNvPr>
        <xdr:cNvSpPr/>
      </xdr:nvSpPr>
      <xdr:spPr>
        <a:xfrm>
          <a:off x="1362074" y="628649"/>
          <a:ext cx="1123951" cy="2571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FINANCIERA</a:t>
          </a:r>
        </a:p>
      </xdr:txBody>
    </xdr:sp>
    <xdr:clientData/>
  </xdr:twoCellAnchor>
  <xdr:twoCellAnchor>
    <xdr:from>
      <xdr:col>3</xdr:col>
      <xdr:colOff>704850</xdr:colOff>
      <xdr:row>1</xdr:row>
      <xdr:rowOff>133350</xdr:rowOff>
    </xdr:from>
    <xdr:to>
      <xdr:col>5</xdr:col>
      <xdr:colOff>123826</xdr:colOff>
      <xdr:row>2</xdr:row>
      <xdr:rowOff>1</xdr:rowOff>
    </xdr:to>
    <xdr:sp macro="" textlink="">
      <xdr:nvSpPr>
        <xdr:cNvPr id="3" name="Rectángulo 2">
          <a:hlinkClick xmlns:r="http://schemas.openxmlformats.org/officeDocument/2006/relationships" r:id="rId2"/>
        </xdr:cNvPr>
        <xdr:cNvSpPr/>
      </xdr:nvSpPr>
      <xdr:spPr>
        <a:xfrm>
          <a:off x="2562225" y="628650"/>
          <a:ext cx="1123951" cy="2571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CLIENTES</a:t>
          </a:r>
        </a:p>
      </xdr:txBody>
    </xdr:sp>
    <xdr:clientData/>
  </xdr:twoCellAnchor>
  <xdr:twoCellAnchor>
    <xdr:from>
      <xdr:col>5</xdr:col>
      <xdr:colOff>219075</xdr:colOff>
      <xdr:row>1</xdr:row>
      <xdr:rowOff>133350</xdr:rowOff>
    </xdr:from>
    <xdr:to>
      <xdr:col>6</xdr:col>
      <xdr:colOff>581026</xdr:colOff>
      <xdr:row>2</xdr:row>
      <xdr:rowOff>1</xdr:rowOff>
    </xdr:to>
    <xdr:sp macro="" textlink="">
      <xdr:nvSpPr>
        <xdr:cNvPr id="4" name="Rectángulo 3">
          <a:hlinkClick xmlns:r="http://schemas.openxmlformats.org/officeDocument/2006/relationships" r:id="rId3"/>
        </xdr:cNvPr>
        <xdr:cNvSpPr/>
      </xdr:nvSpPr>
      <xdr:spPr>
        <a:xfrm>
          <a:off x="3781425" y="628650"/>
          <a:ext cx="1123951" cy="25717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ysClr val="windowText" lastClr="000000"/>
              </a:solidFill>
            </a:rPr>
            <a:t>PROCESOS</a:t>
          </a:r>
        </a:p>
      </xdr:txBody>
    </xdr:sp>
    <xdr:clientData/>
  </xdr:twoCellAnchor>
  <xdr:twoCellAnchor>
    <xdr:from>
      <xdr:col>6</xdr:col>
      <xdr:colOff>666750</xdr:colOff>
      <xdr:row>1</xdr:row>
      <xdr:rowOff>133350</xdr:rowOff>
    </xdr:from>
    <xdr:to>
      <xdr:col>8</xdr:col>
      <xdr:colOff>666751</xdr:colOff>
      <xdr:row>2</xdr:row>
      <xdr:rowOff>1</xdr:rowOff>
    </xdr:to>
    <xdr:sp macro="" textlink="">
      <xdr:nvSpPr>
        <xdr:cNvPr id="5" name="Rectángulo 4">
          <a:hlinkClick xmlns:r="http://schemas.openxmlformats.org/officeDocument/2006/relationships" r:id="rId4"/>
        </xdr:cNvPr>
        <xdr:cNvSpPr/>
      </xdr:nvSpPr>
      <xdr:spPr>
        <a:xfrm>
          <a:off x="4991100" y="628650"/>
          <a:ext cx="1123951" cy="257176"/>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APRENDIZAJE</a:t>
          </a:r>
        </a:p>
      </xdr:txBody>
    </xdr:sp>
    <xdr:clientData/>
  </xdr:twoCellAnchor>
  <xdr:twoCellAnchor>
    <xdr:from>
      <xdr:col>2</xdr:col>
      <xdr:colOff>666749</xdr:colOff>
      <xdr:row>0</xdr:row>
      <xdr:rowOff>9525</xdr:rowOff>
    </xdr:from>
    <xdr:to>
      <xdr:col>4</xdr:col>
      <xdr:colOff>133350</xdr:colOff>
      <xdr:row>1</xdr:row>
      <xdr:rowOff>0</xdr:rowOff>
    </xdr:to>
    <xdr:sp macro="" textlink="">
      <xdr:nvSpPr>
        <xdr:cNvPr id="6" name="Rectángulo 5">
          <a:hlinkClick xmlns:r="http://schemas.openxmlformats.org/officeDocument/2006/relationships" r:id="rId5"/>
        </xdr:cNvPr>
        <xdr:cNvSpPr/>
      </xdr:nvSpPr>
      <xdr:spPr>
        <a:xfrm>
          <a:off x="1733549"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GENERALIDADES</a:t>
          </a:r>
        </a:p>
      </xdr:txBody>
    </xdr:sp>
    <xdr:clientData/>
  </xdr:twoCellAnchor>
  <xdr:twoCellAnchor>
    <xdr:from>
      <xdr:col>4</xdr:col>
      <xdr:colOff>161924</xdr:colOff>
      <xdr:row>0</xdr:row>
      <xdr:rowOff>9525</xdr:rowOff>
    </xdr:from>
    <xdr:to>
      <xdr:col>5</xdr:col>
      <xdr:colOff>600075</xdr:colOff>
      <xdr:row>1</xdr:row>
      <xdr:rowOff>0</xdr:rowOff>
    </xdr:to>
    <xdr:sp macro="" textlink="">
      <xdr:nvSpPr>
        <xdr:cNvPr id="7" name="Rectángulo 6">
          <a:hlinkClick xmlns:r="http://schemas.openxmlformats.org/officeDocument/2006/relationships" r:id="rId6"/>
        </xdr:cNvPr>
        <xdr:cNvSpPr/>
      </xdr:nvSpPr>
      <xdr:spPr>
        <a:xfrm>
          <a:off x="2962274"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OBJETIVOS</a:t>
          </a:r>
        </a:p>
      </xdr:txBody>
    </xdr:sp>
    <xdr:clientData/>
  </xdr:twoCellAnchor>
  <xdr:twoCellAnchor>
    <xdr:from>
      <xdr:col>5</xdr:col>
      <xdr:colOff>628649</xdr:colOff>
      <xdr:row>0</xdr:row>
      <xdr:rowOff>9525</xdr:rowOff>
    </xdr:from>
    <xdr:to>
      <xdr:col>7</xdr:col>
      <xdr:colOff>304800</xdr:colOff>
      <xdr:row>1</xdr:row>
      <xdr:rowOff>0</xdr:rowOff>
    </xdr:to>
    <xdr:sp macro="" textlink="">
      <xdr:nvSpPr>
        <xdr:cNvPr id="8" name="Rectángulo 7">
          <a:hlinkClick xmlns:r="http://schemas.openxmlformats.org/officeDocument/2006/relationships" r:id="rId1"/>
        </xdr:cNvPr>
        <xdr:cNvSpPr/>
      </xdr:nvSpPr>
      <xdr:spPr>
        <a:xfrm>
          <a:off x="4190999" y="9525"/>
          <a:ext cx="1200151" cy="485775"/>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ESTRATEGIAS</a:t>
          </a:r>
        </a:p>
      </xdr:txBody>
    </xdr:sp>
    <xdr:clientData/>
  </xdr:twoCellAnchor>
  <xdr:twoCellAnchor>
    <xdr:from>
      <xdr:col>7</xdr:col>
      <xdr:colOff>333374</xdr:colOff>
      <xdr:row>0</xdr:row>
      <xdr:rowOff>9525</xdr:rowOff>
    </xdr:from>
    <xdr:to>
      <xdr:col>9</xdr:col>
      <xdr:colOff>409575</xdr:colOff>
      <xdr:row>1</xdr:row>
      <xdr:rowOff>0</xdr:rowOff>
    </xdr:to>
    <xdr:sp macro="" textlink="">
      <xdr:nvSpPr>
        <xdr:cNvPr id="9" name="Rectángulo 8">
          <a:hlinkClick xmlns:r="http://schemas.openxmlformats.org/officeDocument/2006/relationships" r:id="rId7"/>
        </xdr:cNvPr>
        <xdr:cNvSpPr/>
      </xdr:nvSpPr>
      <xdr:spPr>
        <a:xfrm>
          <a:off x="5419724"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PROGRAMACIÓN</a:t>
          </a:r>
        </a:p>
      </xdr:txBody>
    </xdr:sp>
    <xdr:clientData/>
  </xdr:twoCellAnchor>
  <xdr:twoCellAnchor>
    <xdr:from>
      <xdr:col>9</xdr:col>
      <xdr:colOff>438149</xdr:colOff>
      <xdr:row>0</xdr:row>
      <xdr:rowOff>9525</xdr:rowOff>
    </xdr:from>
    <xdr:to>
      <xdr:col>11</xdr:col>
      <xdr:colOff>114300</xdr:colOff>
      <xdr:row>1</xdr:row>
      <xdr:rowOff>0</xdr:rowOff>
    </xdr:to>
    <xdr:sp macro="" textlink="">
      <xdr:nvSpPr>
        <xdr:cNvPr id="10" name="Rectángulo 9">
          <a:hlinkClick xmlns:r="http://schemas.openxmlformats.org/officeDocument/2006/relationships" r:id="rId8"/>
        </xdr:cNvPr>
        <xdr:cNvSpPr/>
      </xdr:nvSpPr>
      <xdr:spPr>
        <a:xfrm>
          <a:off x="6648449" y="9525"/>
          <a:ext cx="17716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DASHBOARDS</a:t>
          </a:r>
        </a:p>
      </xdr:txBody>
    </xdr:sp>
    <xdr:clientData/>
  </xdr:twoCellAnchor>
  <xdr:twoCellAnchor editAs="oneCell">
    <xdr:from>
      <xdr:col>0</xdr:col>
      <xdr:colOff>76200</xdr:colOff>
      <xdr:row>0</xdr:row>
      <xdr:rowOff>47625</xdr:rowOff>
    </xdr:from>
    <xdr:to>
      <xdr:col>2</xdr:col>
      <xdr:colOff>476249</xdr:colOff>
      <xdr:row>0</xdr:row>
      <xdr:rowOff>466724</xdr:rowOff>
    </xdr:to>
    <xdr:pic>
      <xdr:nvPicPr>
        <xdr:cNvPr id="12" name="Imagen 11"/>
        <xdr:cNvPicPr>
          <a:picLocks noChangeAspect="1"/>
        </xdr:cNvPicPr>
      </xdr:nvPicPr>
      <xdr:blipFill rotWithShape="1">
        <a:blip xmlns:r="http://schemas.openxmlformats.org/officeDocument/2006/relationships" r:embed="rId9"/>
        <a:srcRect l="10995" t="55907" r="34962" b="15302"/>
        <a:stretch/>
      </xdr:blipFill>
      <xdr:spPr>
        <a:xfrm>
          <a:off x="76200" y="47625"/>
          <a:ext cx="1466849" cy="419099"/>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2</xdr:col>
      <xdr:colOff>295274</xdr:colOff>
      <xdr:row>1</xdr:row>
      <xdr:rowOff>133349</xdr:rowOff>
    </xdr:from>
    <xdr:to>
      <xdr:col>3</xdr:col>
      <xdr:colOff>628650</xdr:colOff>
      <xdr:row>2</xdr:row>
      <xdr:rowOff>0</xdr:rowOff>
    </xdr:to>
    <xdr:sp macro="" textlink="">
      <xdr:nvSpPr>
        <xdr:cNvPr id="2" name="Rectángulo 1">
          <a:hlinkClick xmlns:r="http://schemas.openxmlformats.org/officeDocument/2006/relationships" r:id="rId1"/>
        </xdr:cNvPr>
        <xdr:cNvSpPr/>
      </xdr:nvSpPr>
      <xdr:spPr>
        <a:xfrm>
          <a:off x="1362074" y="628649"/>
          <a:ext cx="1123951" cy="2571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FINANCIERA</a:t>
          </a:r>
        </a:p>
      </xdr:txBody>
    </xdr:sp>
    <xdr:clientData/>
  </xdr:twoCellAnchor>
  <xdr:twoCellAnchor>
    <xdr:from>
      <xdr:col>3</xdr:col>
      <xdr:colOff>704850</xdr:colOff>
      <xdr:row>1</xdr:row>
      <xdr:rowOff>133350</xdr:rowOff>
    </xdr:from>
    <xdr:to>
      <xdr:col>5</xdr:col>
      <xdr:colOff>123826</xdr:colOff>
      <xdr:row>2</xdr:row>
      <xdr:rowOff>1</xdr:rowOff>
    </xdr:to>
    <xdr:sp macro="" textlink="">
      <xdr:nvSpPr>
        <xdr:cNvPr id="3" name="Rectángulo 2">
          <a:hlinkClick xmlns:r="http://schemas.openxmlformats.org/officeDocument/2006/relationships" r:id="rId2"/>
        </xdr:cNvPr>
        <xdr:cNvSpPr/>
      </xdr:nvSpPr>
      <xdr:spPr>
        <a:xfrm>
          <a:off x="2562225" y="628650"/>
          <a:ext cx="1123951" cy="2571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CLIENTES</a:t>
          </a:r>
        </a:p>
      </xdr:txBody>
    </xdr:sp>
    <xdr:clientData/>
  </xdr:twoCellAnchor>
  <xdr:twoCellAnchor>
    <xdr:from>
      <xdr:col>5</xdr:col>
      <xdr:colOff>219075</xdr:colOff>
      <xdr:row>1</xdr:row>
      <xdr:rowOff>133350</xdr:rowOff>
    </xdr:from>
    <xdr:to>
      <xdr:col>6</xdr:col>
      <xdr:colOff>581026</xdr:colOff>
      <xdr:row>2</xdr:row>
      <xdr:rowOff>1</xdr:rowOff>
    </xdr:to>
    <xdr:sp macro="" textlink="">
      <xdr:nvSpPr>
        <xdr:cNvPr id="4" name="Rectángulo 3">
          <a:hlinkClick xmlns:r="http://schemas.openxmlformats.org/officeDocument/2006/relationships" r:id="rId3"/>
        </xdr:cNvPr>
        <xdr:cNvSpPr/>
      </xdr:nvSpPr>
      <xdr:spPr>
        <a:xfrm>
          <a:off x="3781425" y="628650"/>
          <a:ext cx="1123951" cy="2571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PROCESOS</a:t>
          </a:r>
        </a:p>
      </xdr:txBody>
    </xdr:sp>
    <xdr:clientData/>
  </xdr:twoCellAnchor>
  <xdr:twoCellAnchor>
    <xdr:from>
      <xdr:col>6</xdr:col>
      <xdr:colOff>666750</xdr:colOff>
      <xdr:row>1</xdr:row>
      <xdr:rowOff>133350</xdr:rowOff>
    </xdr:from>
    <xdr:to>
      <xdr:col>8</xdr:col>
      <xdr:colOff>666751</xdr:colOff>
      <xdr:row>2</xdr:row>
      <xdr:rowOff>1</xdr:rowOff>
    </xdr:to>
    <xdr:sp macro="" textlink="">
      <xdr:nvSpPr>
        <xdr:cNvPr id="5" name="Rectángulo 4">
          <a:hlinkClick xmlns:r="http://schemas.openxmlformats.org/officeDocument/2006/relationships" r:id="rId4"/>
        </xdr:cNvPr>
        <xdr:cNvSpPr/>
      </xdr:nvSpPr>
      <xdr:spPr>
        <a:xfrm>
          <a:off x="4991100" y="628650"/>
          <a:ext cx="1123951" cy="25717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ysClr val="windowText" lastClr="000000"/>
              </a:solidFill>
            </a:rPr>
            <a:t>APRENDIZAJE</a:t>
          </a:r>
        </a:p>
      </xdr:txBody>
    </xdr:sp>
    <xdr:clientData/>
  </xdr:twoCellAnchor>
  <xdr:twoCellAnchor>
    <xdr:from>
      <xdr:col>2</xdr:col>
      <xdr:colOff>666749</xdr:colOff>
      <xdr:row>0</xdr:row>
      <xdr:rowOff>9525</xdr:rowOff>
    </xdr:from>
    <xdr:to>
      <xdr:col>4</xdr:col>
      <xdr:colOff>133350</xdr:colOff>
      <xdr:row>1</xdr:row>
      <xdr:rowOff>0</xdr:rowOff>
    </xdr:to>
    <xdr:sp macro="" textlink="">
      <xdr:nvSpPr>
        <xdr:cNvPr id="6" name="Rectángulo 5">
          <a:hlinkClick xmlns:r="http://schemas.openxmlformats.org/officeDocument/2006/relationships" r:id="rId5"/>
        </xdr:cNvPr>
        <xdr:cNvSpPr/>
      </xdr:nvSpPr>
      <xdr:spPr>
        <a:xfrm>
          <a:off x="1733549"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GENERALIDADES</a:t>
          </a:r>
        </a:p>
      </xdr:txBody>
    </xdr:sp>
    <xdr:clientData/>
  </xdr:twoCellAnchor>
  <xdr:twoCellAnchor>
    <xdr:from>
      <xdr:col>4</xdr:col>
      <xdr:colOff>161924</xdr:colOff>
      <xdr:row>0</xdr:row>
      <xdr:rowOff>9525</xdr:rowOff>
    </xdr:from>
    <xdr:to>
      <xdr:col>5</xdr:col>
      <xdr:colOff>600075</xdr:colOff>
      <xdr:row>1</xdr:row>
      <xdr:rowOff>0</xdr:rowOff>
    </xdr:to>
    <xdr:sp macro="" textlink="">
      <xdr:nvSpPr>
        <xdr:cNvPr id="7" name="Rectángulo 6">
          <a:hlinkClick xmlns:r="http://schemas.openxmlformats.org/officeDocument/2006/relationships" r:id="rId6"/>
        </xdr:cNvPr>
        <xdr:cNvSpPr/>
      </xdr:nvSpPr>
      <xdr:spPr>
        <a:xfrm>
          <a:off x="2962274"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OBJETIVOS</a:t>
          </a:r>
        </a:p>
      </xdr:txBody>
    </xdr:sp>
    <xdr:clientData/>
  </xdr:twoCellAnchor>
  <xdr:twoCellAnchor>
    <xdr:from>
      <xdr:col>5</xdr:col>
      <xdr:colOff>628649</xdr:colOff>
      <xdr:row>0</xdr:row>
      <xdr:rowOff>9525</xdr:rowOff>
    </xdr:from>
    <xdr:to>
      <xdr:col>7</xdr:col>
      <xdr:colOff>304800</xdr:colOff>
      <xdr:row>1</xdr:row>
      <xdr:rowOff>0</xdr:rowOff>
    </xdr:to>
    <xdr:sp macro="" textlink="">
      <xdr:nvSpPr>
        <xdr:cNvPr id="8" name="Rectángulo 7">
          <a:hlinkClick xmlns:r="http://schemas.openxmlformats.org/officeDocument/2006/relationships" r:id="rId1"/>
        </xdr:cNvPr>
        <xdr:cNvSpPr/>
      </xdr:nvSpPr>
      <xdr:spPr>
        <a:xfrm>
          <a:off x="4190999" y="9525"/>
          <a:ext cx="1200151" cy="485775"/>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ESTRATEGIAS</a:t>
          </a:r>
        </a:p>
      </xdr:txBody>
    </xdr:sp>
    <xdr:clientData/>
  </xdr:twoCellAnchor>
  <xdr:twoCellAnchor>
    <xdr:from>
      <xdr:col>7</xdr:col>
      <xdr:colOff>333374</xdr:colOff>
      <xdr:row>0</xdr:row>
      <xdr:rowOff>9525</xdr:rowOff>
    </xdr:from>
    <xdr:to>
      <xdr:col>9</xdr:col>
      <xdr:colOff>409575</xdr:colOff>
      <xdr:row>1</xdr:row>
      <xdr:rowOff>0</xdr:rowOff>
    </xdr:to>
    <xdr:sp macro="" textlink="">
      <xdr:nvSpPr>
        <xdr:cNvPr id="9" name="Rectángulo 8">
          <a:hlinkClick xmlns:r="http://schemas.openxmlformats.org/officeDocument/2006/relationships" r:id="rId7"/>
        </xdr:cNvPr>
        <xdr:cNvSpPr/>
      </xdr:nvSpPr>
      <xdr:spPr>
        <a:xfrm>
          <a:off x="5419724"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PROGRAMACIÓN</a:t>
          </a:r>
        </a:p>
      </xdr:txBody>
    </xdr:sp>
    <xdr:clientData/>
  </xdr:twoCellAnchor>
  <xdr:twoCellAnchor>
    <xdr:from>
      <xdr:col>9</xdr:col>
      <xdr:colOff>438149</xdr:colOff>
      <xdr:row>0</xdr:row>
      <xdr:rowOff>9525</xdr:rowOff>
    </xdr:from>
    <xdr:to>
      <xdr:col>11</xdr:col>
      <xdr:colOff>114300</xdr:colOff>
      <xdr:row>1</xdr:row>
      <xdr:rowOff>0</xdr:rowOff>
    </xdr:to>
    <xdr:sp macro="" textlink="">
      <xdr:nvSpPr>
        <xdr:cNvPr id="10" name="Rectángulo 9">
          <a:hlinkClick xmlns:r="http://schemas.openxmlformats.org/officeDocument/2006/relationships" r:id="rId8"/>
        </xdr:cNvPr>
        <xdr:cNvSpPr/>
      </xdr:nvSpPr>
      <xdr:spPr>
        <a:xfrm>
          <a:off x="6648449" y="9525"/>
          <a:ext cx="186690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DASHBOARDS</a:t>
          </a:r>
        </a:p>
      </xdr:txBody>
    </xdr:sp>
    <xdr:clientData/>
  </xdr:twoCellAnchor>
  <xdr:twoCellAnchor editAs="oneCell">
    <xdr:from>
      <xdr:col>0</xdr:col>
      <xdr:colOff>76200</xdr:colOff>
      <xdr:row>0</xdr:row>
      <xdr:rowOff>47625</xdr:rowOff>
    </xdr:from>
    <xdr:to>
      <xdr:col>2</xdr:col>
      <xdr:colOff>476249</xdr:colOff>
      <xdr:row>0</xdr:row>
      <xdr:rowOff>466724</xdr:rowOff>
    </xdr:to>
    <xdr:pic>
      <xdr:nvPicPr>
        <xdr:cNvPr id="12" name="Imagen 11"/>
        <xdr:cNvPicPr>
          <a:picLocks noChangeAspect="1"/>
        </xdr:cNvPicPr>
      </xdr:nvPicPr>
      <xdr:blipFill rotWithShape="1">
        <a:blip xmlns:r="http://schemas.openxmlformats.org/officeDocument/2006/relationships" r:embed="rId9"/>
        <a:srcRect l="10995" t="55907" r="34962" b="15302"/>
        <a:stretch/>
      </xdr:blipFill>
      <xdr:spPr>
        <a:xfrm>
          <a:off x="76200" y="47625"/>
          <a:ext cx="1466849" cy="419099"/>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2</xdr:col>
      <xdr:colOff>295274</xdr:colOff>
      <xdr:row>1</xdr:row>
      <xdr:rowOff>133349</xdr:rowOff>
    </xdr:from>
    <xdr:to>
      <xdr:col>3</xdr:col>
      <xdr:colOff>628650</xdr:colOff>
      <xdr:row>2</xdr:row>
      <xdr:rowOff>0</xdr:rowOff>
    </xdr:to>
    <xdr:sp macro="" textlink="">
      <xdr:nvSpPr>
        <xdr:cNvPr id="2" name="Rectángulo 1">
          <a:hlinkClick xmlns:r="http://schemas.openxmlformats.org/officeDocument/2006/relationships" r:id="rId1"/>
        </xdr:cNvPr>
        <xdr:cNvSpPr/>
      </xdr:nvSpPr>
      <xdr:spPr>
        <a:xfrm>
          <a:off x="1362074" y="628649"/>
          <a:ext cx="1123951" cy="25717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tx1"/>
              </a:solidFill>
            </a:rPr>
            <a:t>POA 2021</a:t>
          </a:r>
        </a:p>
      </xdr:txBody>
    </xdr:sp>
    <xdr:clientData/>
  </xdr:twoCellAnchor>
  <xdr:twoCellAnchor>
    <xdr:from>
      <xdr:col>3</xdr:col>
      <xdr:colOff>704850</xdr:colOff>
      <xdr:row>1</xdr:row>
      <xdr:rowOff>133350</xdr:rowOff>
    </xdr:from>
    <xdr:to>
      <xdr:col>5</xdr:col>
      <xdr:colOff>123826</xdr:colOff>
      <xdr:row>2</xdr:row>
      <xdr:rowOff>1</xdr:rowOff>
    </xdr:to>
    <xdr:sp macro="" textlink="">
      <xdr:nvSpPr>
        <xdr:cNvPr id="3" name="Rectángulo 2">
          <a:hlinkClick xmlns:r="http://schemas.openxmlformats.org/officeDocument/2006/relationships" r:id="rId2"/>
        </xdr:cNvPr>
        <xdr:cNvSpPr/>
      </xdr:nvSpPr>
      <xdr:spPr>
        <a:xfrm>
          <a:off x="2562225" y="628650"/>
          <a:ext cx="1123951" cy="2571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POA 2022</a:t>
          </a:r>
        </a:p>
      </xdr:txBody>
    </xdr:sp>
    <xdr:clientData/>
  </xdr:twoCellAnchor>
  <xdr:twoCellAnchor>
    <xdr:from>
      <xdr:col>5</xdr:col>
      <xdr:colOff>219075</xdr:colOff>
      <xdr:row>1</xdr:row>
      <xdr:rowOff>133350</xdr:rowOff>
    </xdr:from>
    <xdr:to>
      <xdr:col>6</xdr:col>
      <xdr:colOff>581026</xdr:colOff>
      <xdr:row>2</xdr:row>
      <xdr:rowOff>1</xdr:rowOff>
    </xdr:to>
    <xdr:sp macro="" textlink="">
      <xdr:nvSpPr>
        <xdr:cNvPr id="4" name="Rectángulo 3">
          <a:hlinkClick xmlns:r="http://schemas.openxmlformats.org/officeDocument/2006/relationships" r:id="rId3"/>
        </xdr:cNvPr>
        <xdr:cNvSpPr/>
      </xdr:nvSpPr>
      <xdr:spPr>
        <a:xfrm>
          <a:off x="3781425" y="628650"/>
          <a:ext cx="1123951" cy="2571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POA 2023</a:t>
          </a:r>
        </a:p>
      </xdr:txBody>
    </xdr:sp>
    <xdr:clientData/>
  </xdr:twoCellAnchor>
  <xdr:twoCellAnchor>
    <xdr:from>
      <xdr:col>6</xdr:col>
      <xdr:colOff>666750</xdr:colOff>
      <xdr:row>1</xdr:row>
      <xdr:rowOff>133350</xdr:rowOff>
    </xdr:from>
    <xdr:to>
      <xdr:col>8</xdr:col>
      <xdr:colOff>666751</xdr:colOff>
      <xdr:row>2</xdr:row>
      <xdr:rowOff>1</xdr:rowOff>
    </xdr:to>
    <xdr:sp macro="" textlink="">
      <xdr:nvSpPr>
        <xdr:cNvPr id="5" name="Rectángulo 4">
          <a:hlinkClick xmlns:r="http://schemas.openxmlformats.org/officeDocument/2006/relationships" r:id="rId4"/>
        </xdr:cNvPr>
        <xdr:cNvSpPr/>
      </xdr:nvSpPr>
      <xdr:spPr>
        <a:xfrm>
          <a:off x="4991100" y="628650"/>
          <a:ext cx="1123951" cy="257176"/>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POA 2024</a:t>
          </a:r>
        </a:p>
      </xdr:txBody>
    </xdr:sp>
    <xdr:clientData/>
  </xdr:twoCellAnchor>
  <xdr:twoCellAnchor>
    <xdr:from>
      <xdr:col>2</xdr:col>
      <xdr:colOff>666749</xdr:colOff>
      <xdr:row>0</xdr:row>
      <xdr:rowOff>9525</xdr:rowOff>
    </xdr:from>
    <xdr:to>
      <xdr:col>4</xdr:col>
      <xdr:colOff>133350</xdr:colOff>
      <xdr:row>1</xdr:row>
      <xdr:rowOff>0</xdr:rowOff>
    </xdr:to>
    <xdr:sp macro="" textlink="">
      <xdr:nvSpPr>
        <xdr:cNvPr id="6" name="Rectángulo 5">
          <a:hlinkClick xmlns:r="http://schemas.openxmlformats.org/officeDocument/2006/relationships" r:id="rId5"/>
        </xdr:cNvPr>
        <xdr:cNvSpPr/>
      </xdr:nvSpPr>
      <xdr:spPr>
        <a:xfrm>
          <a:off x="1733549"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GENERALIDADES</a:t>
          </a:r>
        </a:p>
      </xdr:txBody>
    </xdr:sp>
    <xdr:clientData/>
  </xdr:twoCellAnchor>
  <xdr:twoCellAnchor>
    <xdr:from>
      <xdr:col>4</xdr:col>
      <xdr:colOff>161924</xdr:colOff>
      <xdr:row>0</xdr:row>
      <xdr:rowOff>9525</xdr:rowOff>
    </xdr:from>
    <xdr:to>
      <xdr:col>5</xdr:col>
      <xdr:colOff>600075</xdr:colOff>
      <xdr:row>1</xdr:row>
      <xdr:rowOff>0</xdr:rowOff>
    </xdr:to>
    <xdr:sp macro="" textlink="">
      <xdr:nvSpPr>
        <xdr:cNvPr id="7" name="Rectángulo 6">
          <a:hlinkClick xmlns:r="http://schemas.openxmlformats.org/officeDocument/2006/relationships" r:id="rId6"/>
        </xdr:cNvPr>
        <xdr:cNvSpPr/>
      </xdr:nvSpPr>
      <xdr:spPr>
        <a:xfrm>
          <a:off x="2962274"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OBJETIVOS</a:t>
          </a:r>
        </a:p>
      </xdr:txBody>
    </xdr:sp>
    <xdr:clientData/>
  </xdr:twoCellAnchor>
  <xdr:twoCellAnchor>
    <xdr:from>
      <xdr:col>5</xdr:col>
      <xdr:colOff>628649</xdr:colOff>
      <xdr:row>0</xdr:row>
      <xdr:rowOff>9525</xdr:rowOff>
    </xdr:from>
    <xdr:to>
      <xdr:col>7</xdr:col>
      <xdr:colOff>304800</xdr:colOff>
      <xdr:row>1</xdr:row>
      <xdr:rowOff>0</xdr:rowOff>
    </xdr:to>
    <xdr:sp macro="" textlink="">
      <xdr:nvSpPr>
        <xdr:cNvPr id="8" name="Rectángulo 7">
          <a:hlinkClick xmlns:r="http://schemas.openxmlformats.org/officeDocument/2006/relationships" r:id="rId7"/>
        </xdr:cNvPr>
        <xdr:cNvSpPr/>
      </xdr:nvSpPr>
      <xdr:spPr>
        <a:xfrm>
          <a:off x="4190999"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ESTRATEGIAS</a:t>
          </a:r>
        </a:p>
      </xdr:txBody>
    </xdr:sp>
    <xdr:clientData/>
  </xdr:twoCellAnchor>
  <xdr:twoCellAnchor>
    <xdr:from>
      <xdr:col>7</xdr:col>
      <xdr:colOff>333374</xdr:colOff>
      <xdr:row>0</xdr:row>
      <xdr:rowOff>9525</xdr:rowOff>
    </xdr:from>
    <xdr:to>
      <xdr:col>9</xdr:col>
      <xdr:colOff>409575</xdr:colOff>
      <xdr:row>1</xdr:row>
      <xdr:rowOff>0</xdr:rowOff>
    </xdr:to>
    <xdr:sp macro="" textlink="">
      <xdr:nvSpPr>
        <xdr:cNvPr id="9" name="Rectángulo 8">
          <a:hlinkClick xmlns:r="http://schemas.openxmlformats.org/officeDocument/2006/relationships" r:id="rId1"/>
        </xdr:cNvPr>
        <xdr:cNvSpPr/>
      </xdr:nvSpPr>
      <xdr:spPr>
        <a:xfrm>
          <a:off x="5419724" y="9525"/>
          <a:ext cx="1200151" cy="485775"/>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PROGRAMACIÓN</a:t>
          </a:r>
        </a:p>
      </xdr:txBody>
    </xdr:sp>
    <xdr:clientData/>
  </xdr:twoCellAnchor>
  <xdr:twoCellAnchor>
    <xdr:from>
      <xdr:col>9</xdr:col>
      <xdr:colOff>438149</xdr:colOff>
      <xdr:row>0</xdr:row>
      <xdr:rowOff>9525</xdr:rowOff>
    </xdr:from>
    <xdr:to>
      <xdr:col>10</xdr:col>
      <xdr:colOff>923925</xdr:colOff>
      <xdr:row>1</xdr:row>
      <xdr:rowOff>0</xdr:rowOff>
    </xdr:to>
    <xdr:sp macro="" textlink="">
      <xdr:nvSpPr>
        <xdr:cNvPr id="10" name="Rectángulo 9">
          <a:hlinkClick xmlns:r="http://schemas.openxmlformats.org/officeDocument/2006/relationships" r:id="rId8"/>
        </xdr:cNvPr>
        <xdr:cNvSpPr/>
      </xdr:nvSpPr>
      <xdr:spPr>
        <a:xfrm>
          <a:off x="6648449" y="9525"/>
          <a:ext cx="1581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DASHBOARDS</a:t>
          </a:r>
        </a:p>
      </xdr:txBody>
    </xdr:sp>
    <xdr:clientData/>
  </xdr:twoCellAnchor>
  <xdr:oneCellAnchor>
    <xdr:from>
      <xdr:col>0</xdr:col>
      <xdr:colOff>76200</xdr:colOff>
      <xdr:row>0</xdr:row>
      <xdr:rowOff>47625</xdr:rowOff>
    </xdr:from>
    <xdr:ext cx="1466849" cy="419099"/>
    <xdr:pic>
      <xdr:nvPicPr>
        <xdr:cNvPr id="12" name="Imagen 11"/>
        <xdr:cNvPicPr>
          <a:picLocks noChangeAspect="1"/>
        </xdr:cNvPicPr>
      </xdr:nvPicPr>
      <xdr:blipFill rotWithShape="1">
        <a:blip xmlns:r="http://schemas.openxmlformats.org/officeDocument/2006/relationships" r:embed="rId9"/>
        <a:srcRect l="10995" t="55907" r="34962" b="15302"/>
        <a:stretch/>
      </xdr:blipFill>
      <xdr:spPr>
        <a:xfrm>
          <a:off x="76200" y="47625"/>
          <a:ext cx="1466849" cy="419099"/>
        </a:xfrm>
        <a:prstGeom prst="rect">
          <a:avLst/>
        </a:prstGeom>
      </xdr:spPr>
    </xdr:pic>
    <xdr:clientData/>
  </xdr:oneCellAnchor>
</xdr:wsDr>
</file>

<file path=xl/drawings/drawing17.xml><?xml version="1.0" encoding="utf-8"?>
<xdr:wsDr xmlns:xdr="http://schemas.openxmlformats.org/drawingml/2006/spreadsheetDrawing" xmlns:a="http://schemas.openxmlformats.org/drawingml/2006/main">
  <xdr:twoCellAnchor>
    <xdr:from>
      <xdr:col>2</xdr:col>
      <xdr:colOff>295274</xdr:colOff>
      <xdr:row>1</xdr:row>
      <xdr:rowOff>133349</xdr:rowOff>
    </xdr:from>
    <xdr:to>
      <xdr:col>3</xdr:col>
      <xdr:colOff>628650</xdr:colOff>
      <xdr:row>2</xdr:row>
      <xdr:rowOff>0</xdr:rowOff>
    </xdr:to>
    <xdr:sp macro="" textlink="">
      <xdr:nvSpPr>
        <xdr:cNvPr id="2" name="Rectángulo 1">
          <a:hlinkClick xmlns:r="http://schemas.openxmlformats.org/officeDocument/2006/relationships" r:id="rId1"/>
        </xdr:cNvPr>
        <xdr:cNvSpPr/>
      </xdr:nvSpPr>
      <xdr:spPr>
        <a:xfrm>
          <a:off x="1362074" y="628649"/>
          <a:ext cx="1123951" cy="257176"/>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POA 2021</a:t>
          </a:r>
        </a:p>
      </xdr:txBody>
    </xdr:sp>
    <xdr:clientData/>
  </xdr:twoCellAnchor>
  <xdr:twoCellAnchor>
    <xdr:from>
      <xdr:col>3</xdr:col>
      <xdr:colOff>704850</xdr:colOff>
      <xdr:row>1</xdr:row>
      <xdr:rowOff>133350</xdr:rowOff>
    </xdr:from>
    <xdr:to>
      <xdr:col>5</xdr:col>
      <xdr:colOff>123826</xdr:colOff>
      <xdr:row>2</xdr:row>
      <xdr:rowOff>1</xdr:rowOff>
    </xdr:to>
    <xdr:sp macro="" textlink="">
      <xdr:nvSpPr>
        <xdr:cNvPr id="3" name="Rectángulo 2">
          <a:hlinkClick xmlns:r="http://schemas.openxmlformats.org/officeDocument/2006/relationships" r:id="rId2"/>
        </xdr:cNvPr>
        <xdr:cNvSpPr/>
      </xdr:nvSpPr>
      <xdr:spPr>
        <a:xfrm>
          <a:off x="2562225" y="628650"/>
          <a:ext cx="1123951" cy="25717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tx1"/>
              </a:solidFill>
            </a:rPr>
            <a:t>POA 2022</a:t>
          </a:r>
        </a:p>
      </xdr:txBody>
    </xdr:sp>
    <xdr:clientData/>
  </xdr:twoCellAnchor>
  <xdr:twoCellAnchor>
    <xdr:from>
      <xdr:col>5</xdr:col>
      <xdr:colOff>219075</xdr:colOff>
      <xdr:row>1</xdr:row>
      <xdr:rowOff>133350</xdr:rowOff>
    </xdr:from>
    <xdr:to>
      <xdr:col>6</xdr:col>
      <xdr:colOff>581026</xdr:colOff>
      <xdr:row>2</xdr:row>
      <xdr:rowOff>1</xdr:rowOff>
    </xdr:to>
    <xdr:sp macro="" textlink="">
      <xdr:nvSpPr>
        <xdr:cNvPr id="4" name="Rectángulo 3">
          <a:hlinkClick xmlns:r="http://schemas.openxmlformats.org/officeDocument/2006/relationships" r:id="rId3"/>
        </xdr:cNvPr>
        <xdr:cNvSpPr/>
      </xdr:nvSpPr>
      <xdr:spPr>
        <a:xfrm>
          <a:off x="3781425" y="628650"/>
          <a:ext cx="1123951" cy="2571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POA 2023</a:t>
          </a:r>
        </a:p>
      </xdr:txBody>
    </xdr:sp>
    <xdr:clientData/>
  </xdr:twoCellAnchor>
  <xdr:twoCellAnchor>
    <xdr:from>
      <xdr:col>6</xdr:col>
      <xdr:colOff>666750</xdr:colOff>
      <xdr:row>1</xdr:row>
      <xdr:rowOff>133350</xdr:rowOff>
    </xdr:from>
    <xdr:to>
      <xdr:col>8</xdr:col>
      <xdr:colOff>666751</xdr:colOff>
      <xdr:row>2</xdr:row>
      <xdr:rowOff>1</xdr:rowOff>
    </xdr:to>
    <xdr:sp macro="" textlink="">
      <xdr:nvSpPr>
        <xdr:cNvPr id="5" name="Rectángulo 4">
          <a:hlinkClick xmlns:r="http://schemas.openxmlformats.org/officeDocument/2006/relationships" r:id="rId4"/>
        </xdr:cNvPr>
        <xdr:cNvSpPr/>
      </xdr:nvSpPr>
      <xdr:spPr>
        <a:xfrm>
          <a:off x="4991100" y="628650"/>
          <a:ext cx="1123951" cy="257176"/>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POA 2024</a:t>
          </a:r>
        </a:p>
      </xdr:txBody>
    </xdr:sp>
    <xdr:clientData/>
  </xdr:twoCellAnchor>
  <xdr:twoCellAnchor>
    <xdr:from>
      <xdr:col>2</xdr:col>
      <xdr:colOff>666749</xdr:colOff>
      <xdr:row>0</xdr:row>
      <xdr:rowOff>9525</xdr:rowOff>
    </xdr:from>
    <xdr:to>
      <xdr:col>4</xdr:col>
      <xdr:colOff>133350</xdr:colOff>
      <xdr:row>1</xdr:row>
      <xdr:rowOff>0</xdr:rowOff>
    </xdr:to>
    <xdr:sp macro="" textlink="">
      <xdr:nvSpPr>
        <xdr:cNvPr id="6" name="Rectángulo 5">
          <a:hlinkClick xmlns:r="http://schemas.openxmlformats.org/officeDocument/2006/relationships" r:id="rId5"/>
        </xdr:cNvPr>
        <xdr:cNvSpPr/>
      </xdr:nvSpPr>
      <xdr:spPr>
        <a:xfrm>
          <a:off x="1733549"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GENERALIDADES</a:t>
          </a:r>
        </a:p>
      </xdr:txBody>
    </xdr:sp>
    <xdr:clientData/>
  </xdr:twoCellAnchor>
  <xdr:twoCellAnchor>
    <xdr:from>
      <xdr:col>4</xdr:col>
      <xdr:colOff>161924</xdr:colOff>
      <xdr:row>0</xdr:row>
      <xdr:rowOff>9525</xdr:rowOff>
    </xdr:from>
    <xdr:to>
      <xdr:col>5</xdr:col>
      <xdr:colOff>600075</xdr:colOff>
      <xdr:row>1</xdr:row>
      <xdr:rowOff>0</xdr:rowOff>
    </xdr:to>
    <xdr:sp macro="" textlink="">
      <xdr:nvSpPr>
        <xdr:cNvPr id="7" name="Rectángulo 6">
          <a:hlinkClick xmlns:r="http://schemas.openxmlformats.org/officeDocument/2006/relationships" r:id="rId6"/>
        </xdr:cNvPr>
        <xdr:cNvSpPr/>
      </xdr:nvSpPr>
      <xdr:spPr>
        <a:xfrm>
          <a:off x="2962274"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OBJETIVOS</a:t>
          </a:r>
        </a:p>
      </xdr:txBody>
    </xdr:sp>
    <xdr:clientData/>
  </xdr:twoCellAnchor>
  <xdr:twoCellAnchor>
    <xdr:from>
      <xdr:col>5</xdr:col>
      <xdr:colOff>628649</xdr:colOff>
      <xdr:row>0</xdr:row>
      <xdr:rowOff>9525</xdr:rowOff>
    </xdr:from>
    <xdr:to>
      <xdr:col>7</xdr:col>
      <xdr:colOff>304800</xdr:colOff>
      <xdr:row>1</xdr:row>
      <xdr:rowOff>0</xdr:rowOff>
    </xdr:to>
    <xdr:sp macro="" textlink="">
      <xdr:nvSpPr>
        <xdr:cNvPr id="8" name="Rectángulo 7">
          <a:hlinkClick xmlns:r="http://schemas.openxmlformats.org/officeDocument/2006/relationships" r:id="rId7"/>
        </xdr:cNvPr>
        <xdr:cNvSpPr/>
      </xdr:nvSpPr>
      <xdr:spPr>
        <a:xfrm>
          <a:off x="4190999"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ESTRATEGIAS</a:t>
          </a:r>
        </a:p>
      </xdr:txBody>
    </xdr:sp>
    <xdr:clientData/>
  </xdr:twoCellAnchor>
  <xdr:twoCellAnchor>
    <xdr:from>
      <xdr:col>7</xdr:col>
      <xdr:colOff>333374</xdr:colOff>
      <xdr:row>0</xdr:row>
      <xdr:rowOff>9525</xdr:rowOff>
    </xdr:from>
    <xdr:to>
      <xdr:col>9</xdr:col>
      <xdr:colOff>409575</xdr:colOff>
      <xdr:row>1</xdr:row>
      <xdr:rowOff>0</xdr:rowOff>
    </xdr:to>
    <xdr:sp macro="" textlink="">
      <xdr:nvSpPr>
        <xdr:cNvPr id="9" name="Rectángulo 8">
          <a:hlinkClick xmlns:r="http://schemas.openxmlformats.org/officeDocument/2006/relationships" r:id="rId1"/>
        </xdr:cNvPr>
        <xdr:cNvSpPr/>
      </xdr:nvSpPr>
      <xdr:spPr>
        <a:xfrm>
          <a:off x="5419724" y="9525"/>
          <a:ext cx="1200151" cy="485775"/>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PROGRAMACIÓN</a:t>
          </a:r>
        </a:p>
      </xdr:txBody>
    </xdr:sp>
    <xdr:clientData/>
  </xdr:twoCellAnchor>
  <xdr:twoCellAnchor>
    <xdr:from>
      <xdr:col>9</xdr:col>
      <xdr:colOff>438149</xdr:colOff>
      <xdr:row>0</xdr:row>
      <xdr:rowOff>9525</xdr:rowOff>
    </xdr:from>
    <xdr:to>
      <xdr:col>11</xdr:col>
      <xdr:colOff>114300</xdr:colOff>
      <xdr:row>1</xdr:row>
      <xdr:rowOff>0</xdr:rowOff>
    </xdr:to>
    <xdr:sp macro="" textlink="">
      <xdr:nvSpPr>
        <xdr:cNvPr id="10" name="Rectángulo 9">
          <a:hlinkClick xmlns:r="http://schemas.openxmlformats.org/officeDocument/2006/relationships" r:id="rId8"/>
        </xdr:cNvPr>
        <xdr:cNvSpPr/>
      </xdr:nvSpPr>
      <xdr:spPr>
        <a:xfrm>
          <a:off x="6648449" y="9525"/>
          <a:ext cx="186690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DASHBOARDS</a:t>
          </a:r>
        </a:p>
      </xdr:txBody>
    </xdr:sp>
    <xdr:clientData/>
  </xdr:twoCellAnchor>
  <xdr:twoCellAnchor editAs="oneCell">
    <xdr:from>
      <xdr:col>0</xdr:col>
      <xdr:colOff>76200</xdr:colOff>
      <xdr:row>0</xdr:row>
      <xdr:rowOff>47625</xdr:rowOff>
    </xdr:from>
    <xdr:to>
      <xdr:col>2</xdr:col>
      <xdr:colOff>476249</xdr:colOff>
      <xdr:row>0</xdr:row>
      <xdr:rowOff>466724</xdr:rowOff>
    </xdr:to>
    <xdr:pic>
      <xdr:nvPicPr>
        <xdr:cNvPr id="12" name="Imagen 11"/>
        <xdr:cNvPicPr>
          <a:picLocks noChangeAspect="1"/>
        </xdr:cNvPicPr>
      </xdr:nvPicPr>
      <xdr:blipFill rotWithShape="1">
        <a:blip xmlns:r="http://schemas.openxmlformats.org/officeDocument/2006/relationships" r:embed="rId9"/>
        <a:srcRect l="10995" t="55907" r="34962" b="15302"/>
        <a:stretch/>
      </xdr:blipFill>
      <xdr:spPr>
        <a:xfrm>
          <a:off x="76200" y="47625"/>
          <a:ext cx="1466849" cy="419099"/>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2</xdr:col>
      <xdr:colOff>295274</xdr:colOff>
      <xdr:row>1</xdr:row>
      <xdr:rowOff>133349</xdr:rowOff>
    </xdr:from>
    <xdr:to>
      <xdr:col>3</xdr:col>
      <xdr:colOff>628650</xdr:colOff>
      <xdr:row>2</xdr:row>
      <xdr:rowOff>0</xdr:rowOff>
    </xdr:to>
    <xdr:sp macro="" textlink="">
      <xdr:nvSpPr>
        <xdr:cNvPr id="2" name="Rectángulo 1">
          <a:hlinkClick xmlns:r="http://schemas.openxmlformats.org/officeDocument/2006/relationships" r:id="rId1"/>
        </xdr:cNvPr>
        <xdr:cNvSpPr/>
      </xdr:nvSpPr>
      <xdr:spPr>
        <a:xfrm>
          <a:off x="1362074" y="628649"/>
          <a:ext cx="1123951" cy="257176"/>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POA 2021</a:t>
          </a:r>
        </a:p>
      </xdr:txBody>
    </xdr:sp>
    <xdr:clientData/>
  </xdr:twoCellAnchor>
  <xdr:twoCellAnchor>
    <xdr:from>
      <xdr:col>3</xdr:col>
      <xdr:colOff>704850</xdr:colOff>
      <xdr:row>1</xdr:row>
      <xdr:rowOff>133350</xdr:rowOff>
    </xdr:from>
    <xdr:to>
      <xdr:col>5</xdr:col>
      <xdr:colOff>123826</xdr:colOff>
      <xdr:row>2</xdr:row>
      <xdr:rowOff>1</xdr:rowOff>
    </xdr:to>
    <xdr:sp macro="" textlink="">
      <xdr:nvSpPr>
        <xdr:cNvPr id="3" name="Rectángulo 2">
          <a:hlinkClick xmlns:r="http://schemas.openxmlformats.org/officeDocument/2006/relationships" r:id="rId2"/>
        </xdr:cNvPr>
        <xdr:cNvSpPr/>
      </xdr:nvSpPr>
      <xdr:spPr>
        <a:xfrm>
          <a:off x="2562225" y="628650"/>
          <a:ext cx="1123951" cy="2571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POA 2022</a:t>
          </a:r>
        </a:p>
      </xdr:txBody>
    </xdr:sp>
    <xdr:clientData/>
  </xdr:twoCellAnchor>
  <xdr:twoCellAnchor>
    <xdr:from>
      <xdr:col>5</xdr:col>
      <xdr:colOff>219075</xdr:colOff>
      <xdr:row>1</xdr:row>
      <xdr:rowOff>133350</xdr:rowOff>
    </xdr:from>
    <xdr:to>
      <xdr:col>6</xdr:col>
      <xdr:colOff>581026</xdr:colOff>
      <xdr:row>2</xdr:row>
      <xdr:rowOff>1</xdr:rowOff>
    </xdr:to>
    <xdr:sp macro="" textlink="">
      <xdr:nvSpPr>
        <xdr:cNvPr id="4" name="Rectángulo 3">
          <a:hlinkClick xmlns:r="http://schemas.openxmlformats.org/officeDocument/2006/relationships" r:id="rId3"/>
        </xdr:cNvPr>
        <xdr:cNvSpPr/>
      </xdr:nvSpPr>
      <xdr:spPr>
        <a:xfrm>
          <a:off x="3781425" y="628650"/>
          <a:ext cx="1123951" cy="25717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tx1"/>
              </a:solidFill>
            </a:rPr>
            <a:t>POA 2023</a:t>
          </a:r>
        </a:p>
      </xdr:txBody>
    </xdr:sp>
    <xdr:clientData/>
  </xdr:twoCellAnchor>
  <xdr:twoCellAnchor>
    <xdr:from>
      <xdr:col>6</xdr:col>
      <xdr:colOff>666750</xdr:colOff>
      <xdr:row>1</xdr:row>
      <xdr:rowOff>133350</xdr:rowOff>
    </xdr:from>
    <xdr:to>
      <xdr:col>8</xdr:col>
      <xdr:colOff>666751</xdr:colOff>
      <xdr:row>2</xdr:row>
      <xdr:rowOff>1</xdr:rowOff>
    </xdr:to>
    <xdr:sp macro="" textlink="">
      <xdr:nvSpPr>
        <xdr:cNvPr id="5" name="Rectángulo 4">
          <a:hlinkClick xmlns:r="http://schemas.openxmlformats.org/officeDocument/2006/relationships" r:id="rId4"/>
        </xdr:cNvPr>
        <xdr:cNvSpPr/>
      </xdr:nvSpPr>
      <xdr:spPr>
        <a:xfrm>
          <a:off x="4991100" y="628650"/>
          <a:ext cx="1123951" cy="257176"/>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POA 2024</a:t>
          </a:r>
        </a:p>
      </xdr:txBody>
    </xdr:sp>
    <xdr:clientData/>
  </xdr:twoCellAnchor>
  <xdr:twoCellAnchor>
    <xdr:from>
      <xdr:col>2</xdr:col>
      <xdr:colOff>666749</xdr:colOff>
      <xdr:row>0</xdr:row>
      <xdr:rowOff>9525</xdr:rowOff>
    </xdr:from>
    <xdr:to>
      <xdr:col>4</xdr:col>
      <xdr:colOff>133350</xdr:colOff>
      <xdr:row>1</xdr:row>
      <xdr:rowOff>0</xdr:rowOff>
    </xdr:to>
    <xdr:sp macro="" textlink="">
      <xdr:nvSpPr>
        <xdr:cNvPr id="6" name="Rectángulo 5">
          <a:hlinkClick xmlns:r="http://schemas.openxmlformats.org/officeDocument/2006/relationships" r:id="rId5"/>
        </xdr:cNvPr>
        <xdr:cNvSpPr/>
      </xdr:nvSpPr>
      <xdr:spPr>
        <a:xfrm>
          <a:off x="1733549"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GENERALIDADES</a:t>
          </a:r>
        </a:p>
      </xdr:txBody>
    </xdr:sp>
    <xdr:clientData/>
  </xdr:twoCellAnchor>
  <xdr:twoCellAnchor>
    <xdr:from>
      <xdr:col>4</xdr:col>
      <xdr:colOff>161924</xdr:colOff>
      <xdr:row>0</xdr:row>
      <xdr:rowOff>9525</xdr:rowOff>
    </xdr:from>
    <xdr:to>
      <xdr:col>5</xdr:col>
      <xdr:colOff>600075</xdr:colOff>
      <xdr:row>1</xdr:row>
      <xdr:rowOff>0</xdr:rowOff>
    </xdr:to>
    <xdr:sp macro="" textlink="">
      <xdr:nvSpPr>
        <xdr:cNvPr id="7" name="Rectángulo 6">
          <a:hlinkClick xmlns:r="http://schemas.openxmlformats.org/officeDocument/2006/relationships" r:id="rId6"/>
        </xdr:cNvPr>
        <xdr:cNvSpPr/>
      </xdr:nvSpPr>
      <xdr:spPr>
        <a:xfrm>
          <a:off x="2962274"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OBJETIVOS</a:t>
          </a:r>
        </a:p>
      </xdr:txBody>
    </xdr:sp>
    <xdr:clientData/>
  </xdr:twoCellAnchor>
  <xdr:twoCellAnchor>
    <xdr:from>
      <xdr:col>5</xdr:col>
      <xdr:colOff>628649</xdr:colOff>
      <xdr:row>0</xdr:row>
      <xdr:rowOff>9525</xdr:rowOff>
    </xdr:from>
    <xdr:to>
      <xdr:col>7</xdr:col>
      <xdr:colOff>304800</xdr:colOff>
      <xdr:row>1</xdr:row>
      <xdr:rowOff>0</xdr:rowOff>
    </xdr:to>
    <xdr:sp macro="" textlink="">
      <xdr:nvSpPr>
        <xdr:cNvPr id="8" name="Rectángulo 7">
          <a:hlinkClick xmlns:r="http://schemas.openxmlformats.org/officeDocument/2006/relationships" r:id="rId7"/>
        </xdr:cNvPr>
        <xdr:cNvSpPr/>
      </xdr:nvSpPr>
      <xdr:spPr>
        <a:xfrm>
          <a:off x="4190999"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ESTRATEGIAS</a:t>
          </a:r>
        </a:p>
      </xdr:txBody>
    </xdr:sp>
    <xdr:clientData/>
  </xdr:twoCellAnchor>
  <xdr:twoCellAnchor>
    <xdr:from>
      <xdr:col>7</xdr:col>
      <xdr:colOff>333374</xdr:colOff>
      <xdr:row>0</xdr:row>
      <xdr:rowOff>9525</xdr:rowOff>
    </xdr:from>
    <xdr:to>
      <xdr:col>9</xdr:col>
      <xdr:colOff>409575</xdr:colOff>
      <xdr:row>1</xdr:row>
      <xdr:rowOff>0</xdr:rowOff>
    </xdr:to>
    <xdr:sp macro="" textlink="">
      <xdr:nvSpPr>
        <xdr:cNvPr id="9" name="Rectángulo 8">
          <a:hlinkClick xmlns:r="http://schemas.openxmlformats.org/officeDocument/2006/relationships" r:id="rId1"/>
        </xdr:cNvPr>
        <xdr:cNvSpPr/>
      </xdr:nvSpPr>
      <xdr:spPr>
        <a:xfrm>
          <a:off x="5419724" y="9525"/>
          <a:ext cx="1200151" cy="485775"/>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PROGRAMACIÓN</a:t>
          </a:r>
        </a:p>
      </xdr:txBody>
    </xdr:sp>
    <xdr:clientData/>
  </xdr:twoCellAnchor>
  <xdr:twoCellAnchor>
    <xdr:from>
      <xdr:col>9</xdr:col>
      <xdr:colOff>438149</xdr:colOff>
      <xdr:row>0</xdr:row>
      <xdr:rowOff>9525</xdr:rowOff>
    </xdr:from>
    <xdr:to>
      <xdr:col>11</xdr:col>
      <xdr:colOff>114300</xdr:colOff>
      <xdr:row>1</xdr:row>
      <xdr:rowOff>0</xdr:rowOff>
    </xdr:to>
    <xdr:sp macro="" textlink="">
      <xdr:nvSpPr>
        <xdr:cNvPr id="10" name="Rectángulo 9">
          <a:hlinkClick xmlns:r="http://schemas.openxmlformats.org/officeDocument/2006/relationships" r:id="rId8"/>
        </xdr:cNvPr>
        <xdr:cNvSpPr/>
      </xdr:nvSpPr>
      <xdr:spPr>
        <a:xfrm>
          <a:off x="6648449" y="9525"/>
          <a:ext cx="186690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DASHBOARDS</a:t>
          </a:r>
        </a:p>
      </xdr:txBody>
    </xdr:sp>
    <xdr:clientData/>
  </xdr:twoCellAnchor>
  <xdr:twoCellAnchor editAs="oneCell">
    <xdr:from>
      <xdr:col>0</xdr:col>
      <xdr:colOff>76200</xdr:colOff>
      <xdr:row>0</xdr:row>
      <xdr:rowOff>47625</xdr:rowOff>
    </xdr:from>
    <xdr:to>
      <xdr:col>2</xdr:col>
      <xdr:colOff>476249</xdr:colOff>
      <xdr:row>0</xdr:row>
      <xdr:rowOff>466724</xdr:rowOff>
    </xdr:to>
    <xdr:pic>
      <xdr:nvPicPr>
        <xdr:cNvPr id="12" name="Imagen 11"/>
        <xdr:cNvPicPr>
          <a:picLocks noChangeAspect="1"/>
        </xdr:cNvPicPr>
      </xdr:nvPicPr>
      <xdr:blipFill rotWithShape="1">
        <a:blip xmlns:r="http://schemas.openxmlformats.org/officeDocument/2006/relationships" r:embed="rId9"/>
        <a:srcRect l="10995" t="55907" r="34962" b="15302"/>
        <a:stretch/>
      </xdr:blipFill>
      <xdr:spPr>
        <a:xfrm>
          <a:off x="76200" y="47625"/>
          <a:ext cx="1466849" cy="419099"/>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2</xdr:col>
      <xdr:colOff>295274</xdr:colOff>
      <xdr:row>1</xdr:row>
      <xdr:rowOff>133349</xdr:rowOff>
    </xdr:from>
    <xdr:to>
      <xdr:col>3</xdr:col>
      <xdr:colOff>628650</xdr:colOff>
      <xdr:row>2</xdr:row>
      <xdr:rowOff>0</xdr:rowOff>
    </xdr:to>
    <xdr:sp macro="" textlink="">
      <xdr:nvSpPr>
        <xdr:cNvPr id="2" name="Rectángulo 1">
          <a:hlinkClick xmlns:r="http://schemas.openxmlformats.org/officeDocument/2006/relationships" r:id="rId1"/>
        </xdr:cNvPr>
        <xdr:cNvSpPr/>
      </xdr:nvSpPr>
      <xdr:spPr>
        <a:xfrm>
          <a:off x="1362074" y="628649"/>
          <a:ext cx="1123951" cy="257176"/>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POA 2021</a:t>
          </a:r>
        </a:p>
      </xdr:txBody>
    </xdr:sp>
    <xdr:clientData/>
  </xdr:twoCellAnchor>
  <xdr:twoCellAnchor>
    <xdr:from>
      <xdr:col>3</xdr:col>
      <xdr:colOff>704850</xdr:colOff>
      <xdr:row>1</xdr:row>
      <xdr:rowOff>133350</xdr:rowOff>
    </xdr:from>
    <xdr:to>
      <xdr:col>5</xdr:col>
      <xdr:colOff>123826</xdr:colOff>
      <xdr:row>2</xdr:row>
      <xdr:rowOff>1</xdr:rowOff>
    </xdr:to>
    <xdr:sp macro="" textlink="">
      <xdr:nvSpPr>
        <xdr:cNvPr id="3" name="Rectángulo 2">
          <a:hlinkClick xmlns:r="http://schemas.openxmlformats.org/officeDocument/2006/relationships" r:id="rId2"/>
        </xdr:cNvPr>
        <xdr:cNvSpPr/>
      </xdr:nvSpPr>
      <xdr:spPr>
        <a:xfrm>
          <a:off x="2562225" y="628650"/>
          <a:ext cx="1123951" cy="2571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POA 2022</a:t>
          </a:r>
        </a:p>
      </xdr:txBody>
    </xdr:sp>
    <xdr:clientData/>
  </xdr:twoCellAnchor>
  <xdr:twoCellAnchor>
    <xdr:from>
      <xdr:col>5</xdr:col>
      <xdr:colOff>219075</xdr:colOff>
      <xdr:row>1</xdr:row>
      <xdr:rowOff>133350</xdr:rowOff>
    </xdr:from>
    <xdr:to>
      <xdr:col>6</xdr:col>
      <xdr:colOff>581026</xdr:colOff>
      <xdr:row>2</xdr:row>
      <xdr:rowOff>1</xdr:rowOff>
    </xdr:to>
    <xdr:sp macro="" textlink="">
      <xdr:nvSpPr>
        <xdr:cNvPr id="4" name="Rectángulo 3">
          <a:hlinkClick xmlns:r="http://schemas.openxmlformats.org/officeDocument/2006/relationships" r:id="rId3"/>
        </xdr:cNvPr>
        <xdr:cNvSpPr/>
      </xdr:nvSpPr>
      <xdr:spPr>
        <a:xfrm>
          <a:off x="3781425" y="628650"/>
          <a:ext cx="1123951" cy="2571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POA 2023</a:t>
          </a:r>
        </a:p>
      </xdr:txBody>
    </xdr:sp>
    <xdr:clientData/>
  </xdr:twoCellAnchor>
  <xdr:twoCellAnchor>
    <xdr:from>
      <xdr:col>6</xdr:col>
      <xdr:colOff>666750</xdr:colOff>
      <xdr:row>1</xdr:row>
      <xdr:rowOff>133350</xdr:rowOff>
    </xdr:from>
    <xdr:to>
      <xdr:col>8</xdr:col>
      <xdr:colOff>666751</xdr:colOff>
      <xdr:row>2</xdr:row>
      <xdr:rowOff>1</xdr:rowOff>
    </xdr:to>
    <xdr:sp macro="" textlink="">
      <xdr:nvSpPr>
        <xdr:cNvPr id="5" name="Rectángulo 4">
          <a:hlinkClick xmlns:r="http://schemas.openxmlformats.org/officeDocument/2006/relationships" r:id="rId4"/>
        </xdr:cNvPr>
        <xdr:cNvSpPr/>
      </xdr:nvSpPr>
      <xdr:spPr>
        <a:xfrm>
          <a:off x="4991100" y="628650"/>
          <a:ext cx="1123951" cy="2571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ysClr val="windowText" lastClr="000000"/>
              </a:solidFill>
            </a:rPr>
            <a:t>POA 2024</a:t>
          </a:r>
        </a:p>
      </xdr:txBody>
    </xdr:sp>
    <xdr:clientData/>
  </xdr:twoCellAnchor>
  <xdr:twoCellAnchor>
    <xdr:from>
      <xdr:col>2</xdr:col>
      <xdr:colOff>666749</xdr:colOff>
      <xdr:row>0</xdr:row>
      <xdr:rowOff>9525</xdr:rowOff>
    </xdr:from>
    <xdr:to>
      <xdr:col>4</xdr:col>
      <xdr:colOff>133350</xdr:colOff>
      <xdr:row>1</xdr:row>
      <xdr:rowOff>0</xdr:rowOff>
    </xdr:to>
    <xdr:sp macro="" textlink="">
      <xdr:nvSpPr>
        <xdr:cNvPr id="6" name="Rectángulo 5">
          <a:hlinkClick xmlns:r="http://schemas.openxmlformats.org/officeDocument/2006/relationships" r:id="rId5"/>
        </xdr:cNvPr>
        <xdr:cNvSpPr/>
      </xdr:nvSpPr>
      <xdr:spPr>
        <a:xfrm>
          <a:off x="1733549"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GENERALIDADES</a:t>
          </a:r>
        </a:p>
      </xdr:txBody>
    </xdr:sp>
    <xdr:clientData/>
  </xdr:twoCellAnchor>
  <xdr:twoCellAnchor>
    <xdr:from>
      <xdr:col>4</xdr:col>
      <xdr:colOff>161924</xdr:colOff>
      <xdr:row>0</xdr:row>
      <xdr:rowOff>9525</xdr:rowOff>
    </xdr:from>
    <xdr:to>
      <xdr:col>5</xdr:col>
      <xdr:colOff>600075</xdr:colOff>
      <xdr:row>1</xdr:row>
      <xdr:rowOff>0</xdr:rowOff>
    </xdr:to>
    <xdr:sp macro="" textlink="">
      <xdr:nvSpPr>
        <xdr:cNvPr id="7" name="Rectángulo 6">
          <a:hlinkClick xmlns:r="http://schemas.openxmlformats.org/officeDocument/2006/relationships" r:id="rId6"/>
        </xdr:cNvPr>
        <xdr:cNvSpPr/>
      </xdr:nvSpPr>
      <xdr:spPr>
        <a:xfrm>
          <a:off x="2962274"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OBJETIVOS</a:t>
          </a:r>
        </a:p>
      </xdr:txBody>
    </xdr:sp>
    <xdr:clientData/>
  </xdr:twoCellAnchor>
  <xdr:twoCellAnchor>
    <xdr:from>
      <xdr:col>5</xdr:col>
      <xdr:colOff>628649</xdr:colOff>
      <xdr:row>0</xdr:row>
      <xdr:rowOff>9525</xdr:rowOff>
    </xdr:from>
    <xdr:to>
      <xdr:col>7</xdr:col>
      <xdr:colOff>304800</xdr:colOff>
      <xdr:row>1</xdr:row>
      <xdr:rowOff>0</xdr:rowOff>
    </xdr:to>
    <xdr:sp macro="" textlink="">
      <xdr:nvSpPr>
        <xdr:cNvPr id="8" name="Rectángulo 7">
          <a:hlinkClick xmlns:r="http://schemas.openxmlformats.org/officeDocument/2006/relationships" r:id="rId7"/>
        </xdr:cNvPr>
        <xdr:cNvSpPr/>
      </xdr:nvSpPr>
      <xdr:spPr>
        <a:xfrm>
          <a:off x="4190999"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ESTRATEGIAS</a:t>
          </a:r>
        </a:p>
      </xdr:txBody>
    </xdr:sp>
    <xdr:clientData/>
  </xdr:twoCellAnchor>
  <xdr:twoCellAnchor>
    <xdr:from>
      <xdr:col>7</xdr:col>
      <xdr:colOff>333374</xdr:colOff>
      <xdr:row>0</xdr:row>
      <xdr:rowOff>9525</xdr:rowOff>
    </xdr:from>
    <xdr:to>
      <xdr:col>9</xdr:col>
      <xdr:colOff>409575</xdr:colOff>
      <xdr:row>1</xdr:row>
      <xdr:rowOff>0</xdr:rowOff>
    </xdr:to>
    <xdr:sp macro="" textlink="">
      <xdr:nvSpPr>
        <xdr:cNvPr id="9" name="Rectángulo 8">
          <a:hlinkClick xmlns:r="http://schemas.openxmlformats.org/officeDocument/2006/relationships" r:id="rId1"/>
        </xdr:cNvPr>
        <xdr:cNvSpPr/>
      </xdr:nvSpPr>
      <xdr:spPr>
        <a:xfrm>
          <a:off x="5419724" y="9525"/>
          <a:ext cx="1200151" cy="485775"/>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PROGRAMACIÓN</a:t>
          </a:r>
        </a:p>
      </xdr:txBody>
    </xdr:sp>
    <xdr:clientData/>
  </xdr:twoCellAnchor>
  <xdr:twoCellAnchor>
    <xdr:from>
      <xdr:col>9</xdr:col>
      <xdr:colOff>438149</xdr:colOff>
      <xdr:row>0</xdr:row>
      <xdr:rowOff>9525</xdr:rowOff>
    </xdr:from>
    <xdr:to>
      <xdr:col>11</xdr:col>
      <xdr:colOff>114300</xdr:colOff>
      <xdr:row>1</xdr:row>
      <xdr:rowOff>0</xdr:rowOff>
    </xdr:to>
    <xdr:sp macro="" textlink="">
      <xdr:nvSpPr>
        <xdr:cNvPr id="10" name="Rectángulo 9">
          <a:hlinkClick xmlns:r="http://schemas.openxmlformats.org/officeDocument/2006/relationships" r:id="rId8"/>
        </xdr:cNvPr>
        <xdr:cNvSpPr/>
      </xdr:nvSpPr>
      <xdr:spPr>
        <a:xfrm>
          <a:off x="6648449" y="9525"/>
          <a:ext cx="186690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DASHBOARDS</a:t>
          </a:r>
        </a:p>
      </xdr:txBody>
    </xdr:sp>
    <xdr:clientData/>
  </xdr:twoCellAnchor>
  <xdr:twoCellAnchor editAs="oneCell">
    <xdr:from>
      <xdr:col>0</xdr:col>
      <xdr:colOff>76200</xdr:colOff>
      <xdr:row>0</xdr:row>
      <xdr:rowOff>47625</xdr:rowOff>
    </xdr:from>
    <xdr:to>
      <xdr:col>2</xdr:col>
      <xdr:colOff>476249</xdr:colOff>
      <xdr:row>0</xdr:row>
      <xdr:rowOff>466724</xdr:rowOff>
    </xdr:to>
    <xdr:pic>
      <xdr:nvPicPr>
        <xdr:cNvPr id="12" name="Imagen 11"/>
        <xdr:cNvPicPr>
          <a:picLocks noChangeAspect="1"/>
        </xdr:cNvPicPr>
      </xdr:nvPicPr>
      <xdr:blipFill rotWithShape="1">
        <a:blip xmlns:r="http://schemas.openxmlformats.org/officeDocument/2006/relationships" r:embed="rId9"/>
        <a:srcRect l="10995" t="55907" r="34962" b="15302"/>
        <a:stretch/>
      </xdr:blipFill>
      <xdr:spPr>
        <a:xfrm>
          <a:off x="76200" y="47625"/>
          <a:ext cx="1466849" cy="4190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76201</xdr:colOff>
      <xdr:row>0</xdr:row>
      <xdr:rowOff>47626</xdr:rowOff>
    </xdr:from>
    <xdr:to>
      <xdr:col>2</xdr:col>
      <xdr:colOff>476250</xdr:colOff>
      <xdr:row>0</xdr:row>
      <xdr:rowOff>485775</xdr:rowOff>
    </xdr:to>
    <xdr:pic>
      <xdr:nvPicPr>
        <xdr:cNvPr id="2" name="Imagen 1"/>
        <xdr:cNvPicPr>
          <a:picLocks noChangeAspect="1"/>
        </xdr:cNvPicPr>
      </xdr:nvPicPr>
      <xdr:blipFill rotWithShape="1">
        <a:blip xmlns:r="http://schemas.openxmlformats.org/officeDocument/2006/relationships" r:embed="rId1"/>
        <a:srcRect l="10995" t="55907" r="34962" b="15302"/>
        <a:stretch/>
      </xdr:blipFill>
      <xdr:spPr>
        <a:xfrm>
          <a:off x="76201" y="47626"/>
          <a:ext cx="1466849" cy="438149"/>
        </a:xfrm>
        <a:prstGeom prst="rect">
          <a:avLst/>
        </a:prstGeom>
      </xdr:spPr>
    </xdr:pic>
    <xdr:clientData/>
  </xdr:twoCellAnchor>
  <xdr:twoCellAnchor>
    <xdr:from>
      <xdr:col>2</xdr:col>
      <xdr:colOff>666749</xdr:colOff>
      <xdr:row>0</xdr:row>
      <xdr:rowOff>9525</xdr:rowOff>
    </xdr:from>
    <xdr:to>
      <xdr:col>4</xdr:col>
      <xdr:colOff>133350</xdr:colOff>
      <xdr:row>1</xdr:row>
      <xdr:rowOff>0</xdr:rowOff>
    </xdr:to>
    <xdr:sp macro="" textlink="">
      <xdr:nvSpPr>
        <xdr:cNvPr id="3" name="Rectángulo 2">
          <a:hlinkClick xmlns:r="http://schemas.openxmlformats.org/officeDocument/2006/relationships" r:id="rId2"/>
        </xdr:cNvPr>
        <xdr:cNvSpPr/>
      </xdr:nvSpPr>
      <xdr:spPr>
        <a:xfrm>
          <a:off x="1733549" y="9525"/>
          <a:ext cx="1200151" cy="485775"/>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GENERALIDADES</a:t>
          </a:r>
        </a:p>
      </xdr:txBody>
    </xdr:sp>
    <xdr:clientData/>
  </xdr:twoCellAnchor>
  <xdr:twoCellAnchor>
    <xdr:from>
      <xdr:col>2</xdr:col>
      <xdr:colOff>295274</xdr:colOff>
      <xdr:row>1</xdr:row>
      <xdr:rowOff>133349</xdr:rowOff>
    </xdr:from>
    <xdr:to>
      <xdr:col>3</xdr:col>
      <xdr:colOff>628650</xdr:colOff>
      <xdr:row>2</xdr:row>
      <xdr:rowOff>0</xdr:rowOff>
    </xdr:to>
    <xdr:sp macro="" textlink="">
      <xdr:nvSpPr>
        <xdr:cNvPr id="4" name="Rectángulo 3">
          <a:hlinkClick xmlns:r="http://schemas.openxmlformats.org/officeDocument/2006/relationships" r:id="rId2"/>
        </xdr:cNvPr>
        <xdr:cNvSpPr/>
      </xdr:nvSpPr>
      <xdr:spPr>
        <a:xfrm>
          <a:off x="1362074" y="628649"/>
          <a:ext cx="1123951" cy="257176"/>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ORGANIZACIÓN</a:t>
          </a:r>
        </a:p>
      </xdr:txBody>
    </xdr:sp>
    <xdr:clientData/>
  </xdr:twoCellAnchor>
  <xdr:twoCellAnchor>
    <xdr:from>
      <xdr:col>3</xdr:col>
      <xdr:colOff>704850</xdr:colOff>
      <xdr:row>1</xdr:row>
      <xdr:rowOff>133350</xdr:rowOff>
    </xdr:from>
    <xdr:to>
      <xdr:col>5</xdr:col>
      <xdr:colOff>123826</xdr:colOff>
      <xdr:row>2</xdr:row>
      <xdr:rowOff>1</xdr:rowOff>
    </xdr:to>
    <xdr:sp macro="" textlink="">
      <xdr:nvSpPr>
        <xdr:cNvPr id="5" name="Rectángulo 4">
          <a:hlinkClick xmlns:r="http://schemas.openxmlformats.org/officeDocument/2006/relationships" r:id="rId3"/>
        </xdr:cNvPr>
        <xdr:cNvSpPr/>
      </xdr:nvSpPr>
      <xdr:spPr>
        <a:xfrm>
          <a:off x="2562225" y="628650"/>
          <a:ext cx="1123951" cy="2571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ysClr val="windowText" lastClr="000000"/>
              </a:solidFill>
            </a:rPr>
            <a:t>MISIÓN</a:t>
          </a:r>
        </a:p>
      </xdr:txBody>
    </xdr:sp>
    <xdr:clientData/>
  </xdr:twoCellAnchor>
  <xdr:twoCellAnchor>
    <xdr:from>
      <xdr:col>5</xdr:col>
      <xdr:colOff>219075</xdr:colOff>
      <xdr:row>1</xdr:row>
      <xdr:rowOff>133350</xdr:rowOff>
    </xdr:from>
    <xdr:to>
      <xdr:col>6</xdr:col>
      <xdr:colOff>581026</xdr:colOff>
      <xdr:row>2</xdr:row>
      <xdr:rowOff>1</xdr:rowOff>
    </xdr:to>
    <xdr:sp macro="" textlink="">
      <xdr:nvSpPr>
        <xdr:cNvPr id="6" name="Rectángulo 5">
          <a:hlinkClick xmlns:r="http://schemas.openxmlformats.org/officeDocument/2006/relationships" r:id="rId4"/>
        </xdr:cNvPr>
        <xdr:cNvSpPr/>
      </xdr:nvSpPr>
      <xdr:spPr>
        <a:xfrm>
          <a:off x="3781425" y="628650"/>
          <a:ext cx="1123951" cy="257176"/>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VISIÓN</a:t>
          </a:r>
        </a:p>
      </xdr:txBody>
    </xdr:sp>
    <xdr:clientData/>
  </xdr:twoCellAnchor>
  <xdr:twoCellAnchor>
    <xdr:from>
      <xdr:col>6</xdr:col>
      <xdr:colOff>666750</xdr:colOff>
      <xdr:row>1</xdr:row>
      <xdr:rowOff>133350</xdr:rowOff>
    </xdr:from>
    <xdr:to>
      <xdr:col>8</xdr:col>
      <xdr:colOff>666751</xdr:colOff>
      <xdr:row>2</xdr:row>
      <xdr:rowOff>1</xdr:rowOff>
    </xdr:to>
    <xdr:sp macro="" textlink="">
      <xdr:nvSpPr>
        <xdr:cNvPr id="7" name="Rectángulo 6">
          <a:hlinkClick xmlns:r="http://schemas.openxmlformats.org/officeDocument/2006/relationships" r:id="rId5"/>
        </xdr:cNvPr>
        <xdr:cNvSpPr/>
      </xdr:nvSpPr>
      <xdr:spPr>
        <a:xfrm>
          <a:off x="4991100" y="628650"/>
          <a:ext cx="1123951" cy="257176"/>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VALORES</a:t>
          </a:r>
        </a:p>
      </xdr:txBody>
    </xdr:sp>
    <xdr:clientData/>
  </xdr:twoCellAnchor>
  <xdr:twoCellAnchor>
    <xdr:from>
      <xdr:col>8</xdr:col>
      <xdr:colOff>742950</xdr:colOff>
      <xdr:row>1</xdr:row>
      <xdr:rowOff>142876</xdr:rowOff>
    </xdr:from>
    <xdr:to>
      <xdr:col>10</xdr:col>
      <xdr:colOff>657226</xdr:colOff>
      <xdr:row>2</xdr:row>
      <xdr:rowOff>1</xdr:rowOff>
    </xdr:to>
    <xdr:sp macro="" textlink="">
      <xdr:nvSpPr>
        <xdr:cNvPr id="8" name="Rectángulo 7">
          <a:hlinkClick xmlns:r="http://schemas.openxmlformats.org/officeDocument/2006/relationships" r:id="rId6"/>
        </xdr:cNvPr>
        <xdr:cNvSpPr/>
      </xdr:nvSpPr>
      <xdr:spPr>
        <a:xfrm>
          <a:off x="6191250" y="638176"/>
          <a:ext cx="1438276" cy="24765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MAPA</a:t>
          </a:r>
          <a:r>
            <a:rPr lang="es-EC" sz="1100" b="1" baseline="0">
              <a:solidFill>
                <a:schemeClr val="bg1"/>
              </a:solidFill>
            </a:rPr>
            <a:t> DE PROCESOS</a:t>
          </a:r>
          <a:endParaRPr lang="es-EC" sz="1100" b="1">
            <a:solidFill>
              <a:schemeClr val="bg1"/>
            </a:solidFill>
          </a:endParaRPr>
        </a:p>
      </xdr:txBody>
    </xdr:sp>
    <xdr:clientData/>
  </xdr:twoCellAnchor>
  <xdr:twoCellAnchor>
    <xdr:from>
      <xdr:col>10</xdr:col>
      <xdr:colOff>714375</xdr:colOff>
      <xdr:row>1</xdr:row>
      <xdr:rowOff>142875</xdr:rowOff>
    </xdr:from>
    <xdr:to>
      <xdr:col>12</xdr:col>
      <xdr:colOff>628651</xdr:colOff>
      <xdr:row>2</xdr:row>
      <xdr:rowOff>0</xdr:rowOff>
    </xdr:to>
    <xdr:sp macro="" textlink="">
      <xdr:nvSpPr>
        <xdr:cNvPr id="9" name="Rectángulo 8">
          <a:hlinkClick xmlns:r="http://schemas.openxmlformats.org/officeDocument/2006/relationships" r:id="rId7"/>
        </xdr:cNvPr>
        <xdr:cNvSpPr/>
      </xdr:nvSpPr>
      <xdr:spPr>
        <a:xfrm>
          <a:off x="7686675" y="638175"/>
          <a:ext cx="1438276" cy="24765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PERFIL</a:t>
          </a:r>
          <a:r>
            <a:rPr lang="es-EC" sz="1100" b="1" baseline="0">
              <a:solidFill>
                <a:schemeClr val="bg1"/>
              </a:solidFill>
            </a:rPr>
            <a:t> COMPETITIVO</a:t>
          </a:r>
          <a:endParaRPr lang="es-EC" sz="1100" b="1">
            <a:solidFill>
              <a:schemeClr val="bg1"/>
            </a:solidFill>
          </a:endParaRPr>
        </a:p>
      </xdr:txBody>
    </xdr:sp>
    <xdr:clientData/>
  </xdr:twoCellAnchor>
  <xdr:twoCellAnchor>
    <xdr:from>
      <xdr:col>4</xdr:col>
      <xdr:colOff>161924</xdr:colOff>
      <xdr:row>0</xdr:row>
      <xdr:rowOff>9525</xdr:rowOff>
    </xdr:from>
    <xdr:to>
      <xdr:col>5</xdr:col>
      <xdr:colOff>600075</xdr:colOff>
      <xdr:row>1</xdr:row>
      <xdr:rowOff>0</xdr:rowOff>
    </xdr:to>
    <xdr:sp macro="" textlink="">
      <xdr:nvSpPr>
        <xdr:cNvPr id="12" name="Rectángulo 11">
          <a:hlinkClick xmlns:r="http://schemas.openxmlformats.org/officeDocument/2006/relationships" r:id="rId8"/>
        </xdr:cNvPr>
        <xdr:cNvSpPr/>
      </xdr:nvSpPr>
      <xdr:spPr>
        <a:xfrm>
          <a:off x="2962274"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OBJETIVOS</a:t>
          </a:r>
        </a:p>
      </xdr:txBody>
    </xdr:sp>
    <xdr:clientData/>
  </xdr:twoCellAnchor>
  <xdr:twoCellAnchor>
    <xdr:from>
      <xdr:col>5</xdr:col>
      <xdr:colOff>628649</xdr:colOff>
      <xdr:row>0</xdr:row>
      <xdr:rowOff>9525</xdr:rowOff>
    </xdr:from>
    <xdr:to>
      <xdr:col>7</xdr:col>
      <xdr:colOff>304800</xdr:colOff>
      <xdr:row>1</xdr:row>
      <xdr:rowOff>0</xdr:rowOff>
    </xdr:to>
    <xdr:sp macro="" textlink="">
      <xdr:nvSpPr>
        <xdr:cNvPr id="13" name="Rectángulo 12">
          <a:hlinkClick xmlns:r="http://schemas.openxmlformats.org/officeDocument/2006/relationships" r:id="rId9"/>
        </xdr:cNvPr>
        <xdr:cNvSpPr/>
      </xdr:nvSpPr>
      <xdr:spPr>
        <a:xfrm>
          <a:off x="4190999"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ESTRATEGIAS</a:t>
          </a:r>
        </a:p>
      </xdr:txBody>
    </xdr:sp>
    <xdr:clientData/>
  </xdr:twoCellAnchor>
  <xdr:twoCellAnchor>
    <xdr:from>
      <xdr:col>7</xdr:col>
      <xdr:colOff>333374</xdr:colOff>
      <xdr:row>0</xdr:row>
      <xdr:rowOff>9525</xdr:rowOff>
    </xdr:from>
    <xdr:to>
      <xdr:col>9</xdr:col>
      <xdr:colOff>409575</xdr:colOff>
      <xdr:row>1</xdr:row>
      <xdr:rowOff>0</xdr:rowOff>
    </xdr:to>
    <xdr:sp macro="" textlink="">
      <xdr:nvSpPr>
        <xdr:cNvPr id="14" name="Rectángulo 13">
          <a:hlinkClick xmlns:r="http://schemas.openxmlformats.org/officeDocument/2006/relationships" r:id="rId10"/>
        </xdr:cNvPr>
        <xdr:cNvSpPr/>
      </xdr:nvSpPr>
      <xdr:spPr>
        <a:xfrm>
          <a:off x="5419724"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PROGRAMACIÓN</a:t>
          </a:r>
        </a:p>
      </xdr:txBody>
    </xdr:sp>
    <xdr:clientData/>
  </xdr:twoCellAnchor>
  <xdr:twoCellAnchor>
    <xdr:from>
      <xdr:col>9</xdr:col>
      <xdr:colOff>438149</xdr:colOff>
      <xdr:row>0</xdr:row>
      <xdr:rowOff>9525</xdr:rowOff>
    </xdr:from>
    <xdr:to>
      <xdr:col>11</xdr:col>
      <xdr:colOff>114300</xdr:colOff>
      <xdr:row>1</xdr:row>
      <xdr:rowOff>0</xdr:rowOff>
    </xdr:to>
    <xdr:sp macro="" textlink="">
      <xdr:nvSpPr>
        <xdr:cNvPr id="15" name="Rectángulo 14">
          <a:hlinkClick xmlns:r="http://schemas.openxmlformats.org/officeDocument/2006/relationships" r:id="rId11"/>
        </xdr:cNvPr>
        <xdr:cNvSpPr/>
      </xdr:nvSpPr>
      <xdr:spPr>
        <a:xfrm>
          <a:off x="6648449"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DASHBOARDS</a:t>
          </a:r>
        </a:p>
      </xdr:txBody>
    </xdr:sp>
    <xdr:clientData/>
  </xdr:twoCellAnchor>
  <xdr:twoCellAnchor>
    <xdr:from>
      <xdr:col>12</xdr:col>
      <xdr:colOff>552450</xdr:colOff>
      <xdr:row>1</xdr:row>
      <xdr:rowOff>133350</xdr:rowOff>
    </xdr:from>
    <xdr:to>
      <xdr:col>14</xdr:col>
      <xdr:colOff>466726</xdr:colOff>
      <xdr:row>1</xdr:row>
      <xdr:rowOff>381000</xdr:rowOff>
    </xdr:to>
    <xdr:sp macro="" textlink="">
      <xdr:nvSpPr>
        <xdr:cNvPr id="16" name="Rectángulo 15">
          <a:hlinkClick xmlns:r="http://schemas.openxmlformats.org/officeDocument/2006/relationships" r:id="rId12"/>
        </xdr:cNvPr>
        <xdr:cNvSpPr/>
      </xdr:nvSpPr>
      <xdr:spPr>
        <a:xfrm>
          <a:off x="9048750" y="628650"/>
          <a:ext cx="1438276" cy="24765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FODA</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2</xdr:col>
      <xdr:colOff>295274</xdr:colOff>
      <xdr:row>1</xdr:row>
      <xdr:rowOff>133349</xdr:rowOff>
    </xdr:from>
    <xdr:to>
      <xdr:col>3</xdr:col>
      <xdr:colOff>628650</xdr:colOff>
      <xdr:row>2</xdr:row>
      <xdr:rowOff>0</xdr:rowOff>
    </xdr:to>
    <xdr:sp macro="" textlink="">
      <xdr:nvSpPr>
        <xdr:cNvPr id="2" name="Rectángulo 1"/>
        <xdr:cNvSpPr/>
      </xdr:nvSpPr>
      <xdr:spPr>
        <a:xfrm>
          <a:off x="1362074" y="628649"/>
          <a:ext cx="1123951" cy="25717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tx1"/>
              </a:solidFill>
            </a:rPr>
            <a:t>POA 2021</a:t>
          </a:r>
        </a:p>
      </xdr:txBody>
    </xdr:sp>
    <xdr:clientData/>
  </xdr:twoCellAnchor>
  <xdr:twoCellAnchor>
    <xdr:from>
      <xdr:col>3</xdr:col>
      <xdr:colOff>704850</xdr:colOff>
      <xdr:row>1</xdr:row>
      <xdr:rowOff>133350</xdr:rowOff>
    </xdr:from>
    <xdr:to>
      <xdr:col>5</xdr:col>
      <xdr:colOff>123826</xdr:colOff>
      <xdr:row>2</xdr:row>
      <xdr:rowOff>1</xdr:rowOff>
    </xdr:to>
    <xdr:sp macro="" textlink="">
      <xdr:nvSpPr>
        <xdr:cNvPr id="3" name="Rectángulo 2"/>
        <xdr:cNvSpPr/>
      </xdr:nvSpPr>
      <xdr:spPr>
        <a:xfrm>
          <a:off x="2562225" y="628650"/>
          <a:ext cx="1123951" cy="2571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POA 2022</a:t>
          </a:r>
        </a:p>
      </xdr:txBody>
    </xdr:sp>
    <xdr:clientData/>
  </xdr:twoCellAnchor>
  <xdr:twoCellAnchor>
    <xdr:from>
      <xdr:col>5</xdr:col>
      <xdr:colOff>219075</xdr:colOff>
      <xdr:row>1</xdr:row>
      <xdr:rowOff>133350</xdr:rowOff>
    </xdr:from>
    <xdr:to>
      <xdr:col>6</xdr:col>
      <xdr:colOff>581026</xdr:colOff>
      <xdr:row>2</xdr:row>
      <xdr:rowOff>1</xdr:rowOff>
    </xdr:to>
    <xdr:sp macro="" textlink="">
      <xdr:nvSpPr>
        <xdr:cNvPr id="4" name="Rectángulo 3"/>
        <xdr:cNvSpPr/>
      </xdr:nvSpPr>
      <xdr:spPr>
        <a:xfrm>
          <a:off x="3781425" y="628650"/>
          <a:ext cx="1123951" cy="2571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POA 2023</a:t>
          </a:r>
        </a:p>
      </xdr:txBody>
    </xdr:sp>
    <xdr:clientData/>
  </xdr:twoCellAnchor>
  <xdr:twoCellAnchor>
    <xdr:from>
      <xdr:col>6</xdr:col>
      <xdr:colOff>666750</xdr:colOff>
      <xdr:row>1</xdr:row>
      <xdr:rowOff>133350</xdr:rowOff>
    </xdr:from>
    <xdr:to>
      <xdr:col>8</xdr:col>
      <xdr:colOff>666751</xdr:colOff>
      <xdr:row>2</xdr:row>
      <xdr:rowOff>1</xdr:rowOff>
    </xdr:to>
    <xdr:sp macro="" textlink="">
      <xdr:nvSpPr>
        <xdr:cNvPr id="5" name="Rectángulo 4"/>
        <xdr:cNvSpPr/>
      </xdr:nvSpPr>
      <xdr:spPr>
        <a:xfrm>
          <a:off x="4991100" y="628650"/>
          <a:ext cx="1123951" cy="257176"/>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POA 2024</a:t>
          </a:r>
        </a:p>
      </xdr:txBody>
    </xdr:sp>
    <xdr:clientData/>
  </xdr:twoCellAnchor>
  <xdr:twoCellAnchor>
    <xdr:from>
      <xdr:col>2</xdr:col>
      <xdr:colOff>666749</xdr:colOff>
      <xdr:row>0</xdr:row>
      <xdr:rowOff>9525</xdr:rowOff>
    </xdr:from>
    <xdr:to>
      <xdr:col>4</xdr:col>
      <xdr:colOff>133350</xdr:colOff>
      <xdr:row>1</xdr:row>
      <xdr:rowOff>0</xdr:rowOff>
    </xdr:to>
    <xdr:sp macro="" textlink="">
      <xdr:nvSpPr>
        <xdr:cNvPr id="6" name="Rectángulo 5">
          <a:hlinkClick xmlns:r="http://schemas.openxmlformats.org/officeDocument/2006/relationships" r:id="rId1"/>
        </xdr:cNvPr>
        <xdr:cNvSpPr/>
      </xdr:nvSpPr>
      <xdr:spPr>
        <a:xfrm>
          <a:off x="1733549"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GENERALIDADES</a:t>
          </a:r>
        </a:p>
      </xdr:txBody>
    </xdr:sp>
    <xdr:clientData/>
  </xdr:twoCellAnchor>
  <xdr:twoCellAnchor>
    <xdr:from>
      <xdr:col>4</xdr:col>
      <xdr:colOff>161924</xdr:colOff>
      <xdr:row>0</xdr:row>
      <xdr:rowOff>9525</xdr:rowOff>
    </xdr:from>
    <xdr:to>
      <xdr:col>5</xdr:col>
      <xdr:colOff>600075</xdr:colOff>
      <xdr:row>1</xdr:row>
      <xdr:rowOff>0</xdr:rowOff>
    </xdr:to>
    <xdr:sp macro="" textlink="">
      <xdr:nvSpPr>
        <xdr:cNvPr id="7" name="Rectángulo 6">
          <a:hlinkClick xmlns:r="http://schemas.openxmlformats.org/officeDocument/2006/relationships" r:id="rId2"/>
        </xdr:cNvPr>
        <xdr:cNvSpPr/>
      </xdr:nvSpPr>
      <xdr:spPr>
        <a:xfrm>
          <a:off x="2962274"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OBJETIVOS</a:t>
          </a:r>
        </a:p>
      </xdr:txBody>
    </xdr:sp>
    <xdr:clientData/>
  </xdr:twoCellAnchor>
  <xdr:twoCellAnchor>
    <xdr:from>
      <xdr:col>5</xdr:col>
      <xdr:colOff>628649</xdr:colOff>
      <xdr:row>0</xdr:row>
      <xdr:rowOff>9525</xdr:rowOff>
    </xdr:from>
    <xdr:to>
      <xdr:col>7</xdr:col>
      <xdr:colOff>304800</xdr:colOff>
      <xdr:row>1</xdr:row>
      <xdr:rowOff>0</xdr:rowOff>
    </xdr:to>
    <xdr:sp macro="" textlink="">
      <xdr:nvSpPr>
        <xdr:cNvPr id="8" name="Rectángulo 7">
          <a:hlinkClick xmlns:r="http://schemas.openxmlformats.org/officeDocument/2006/relationships" r:id="rId3"/>
        </xdr:cNvPr>
        <xdr:cNvSpPr/>
      </xdr:nvSpPr>
      <xdr:spPr>
        <a:xfrm>
          <a:off x="4190999"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ESTRATEGIAS</a:t>
          </a:r>
        </a:p>
      </xdr:txBody>
    </xdr:sp>
    <xdr:clientData/>
  </xdr:twoCellAnchor>
  <xdr:twoCellAnchor>
    <xdr:from>
      <xdr:col>7</xdr:col>
      <xdr:colOff>333374</xdr:colOff>
      <xdr:row>0</xdr:row>
      <xdr:rowOff>9525</xdr:rowOff>
    </xdr:from>
    <xdr:to>
      <xdr:col>9</xdr:col>
      <xdr:colOff>409575</xdr:colOff>
      <xdr:row>1</xdr:row>
      <xdr:rowOff>0</xdr:rowOff>
    </xdr:to>
    <xdr:sp macro="" textlink="">
      <xdr:nvSpPr>
        <xdr:cNvPr id="9" name="Rectángulo 8">
          <a:hlinkClick xmlns:r="http://schemas.openxmlformats.org/officeDocument/2006/relationships" r:id="rId4"/>
        </xdr:cNvPr>
        <xdr:cNvSpPr/>
      </xdr:nvSpPr>
      <xdr:spPr>
        <a:xfrm>
          <a:off x="5419724"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PROGRAMACIÓN</a:t>
          </a:r>
        </a:p>
      </xdr:txBody>
    </xdr:sp>
    <xdr:clientData/>
  </xdr:twoCellAnchor>
  <xdr:twoCellAnchor>
    <xdr:from>
      <xdr:col>9</xdr:col>
      <xdr:colOff>438149</xdr:colOff>
      <xdr:row>0</xdr:row>
      <xdr:rowOff>9525</xdr:rowOff>
    </xdr:from>
    <xdr:to>
      <xdr:col>11</xdr:col>
      <xdr:colOff>114300</xdr:colOff>
      <xdr:row>1</xdr:row>
      <xdr:rowOff>0</xdr:rowOff>
    </xdr:to>
    <xdr:sp macro="" textlink="">
      <xdr:nvSpPr>
        <xdr:cNvPr id="10" name="Rectángulo 9">
          <a:hlinkClick xmlns:r="http://schemas.openxmlformats.org/officeDocument/2006/relationships" r:id="rId5"/>
        </xdr:cNvPr>
        <xdr:cNvSpPr/>
      </xdr:nvSpPr>
      <xdr:spPr>
        <a:xfrm>
          <a:off x="6648449" y="9525"/>
          <a:ext cx="1866901" cy="485775"/>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DASHBOARDS</a:t>
          </a:r>
        </a:p>
      </xdr:txBody>
    </xdr:sp>
    <xdr:clientData/>
  </xdr:twoCellAnchor>
  <xdr:twoCellAnchor editAs="oneCell">
    <xdr:from>
      <xdr:col>0</xdr:col>
      <xdr:colOff>76200</xdr:colOff>
      <xdr:row>0</xdr:row>
      <xdr:rowOff>47625</xdr:rowOff>
    </xdr:from>
    <xdr:to>
      <xdr:col>2</xdr:col>
      <xdr:colOff>476249</xdr:colOff>
      <xdr:row>0</xdr:row>
      <xdr:rowOff>466724</xdr:rowOff>
    </xdr:to>
    <xdr:pic>
      <xdr:nvPicPr>
        <xdr:cNvPr id="11" name="Imagen 10"/>
        <xdr:cNvPicPr>
          <a:picLocks noChangeAspect="1"/>
        </xdr:cNvPicPr>
      </xdr:nvPicPr>
      <xdr:blipFill rotWithShape="1">
        <a:blip xmlns:r="http://schemas.openxmlformats.org/officeDocument/2006/relationships" r:embed="rId6"/>
        <a:srcRect l="10995" t="55907" r="34962" b="15302"/>
        <a:stretch/>
      </xdr:blipFill>
      <xdr:spPr>
        <a:xfrm>
          <a:off x="76200" y="47625"/>
          <a:ext cx="1466849" cy="419099"/>
        </a:xfrm>
        <a:prstGeom prst="rect">
          <a:avLst/>
        </a:prstGeom>
      </xdr:spPr>
    </xdr:pic>
    <xdr:clientData/>
  </xdr:twoCellAnchor>
  <xdr:twoCellAnchor>
    <xdr:from>
      <xdr:col>2</xdr:col>
      <xdr:colOff>295275</xdr:colOff>
      <xdr:row>2</xdr:row>
      <xdr:rowOff>9525</xdr:rowOff>
    </xdr:from>
    <xdr:to>
      <xdr:col>3</xdr:col>
      <xdr:colOff>628650</xdr:colOff>
      <xdr:row>3</xdr:row>
      <xdr:rowOff>161925</xdr:rowOff>
    </xdr:to>
    <xdr:sp macro="" textlink="">
      <xdr:nvSpPr>
        <xdr:cNvPr id="12" name="Rectángulo 11">
          <a:hlinkClick xmlns:r="http://schemas.openxmlformats.org/officeDocument/2006/relationships" r:id="rId7"/>
        </xdr:cNvPr>
        <xdr:cNvSpPr/>
      </xdr:nvSpPr>
      <xdr:spPr>
        <a:xfrm>
          <a:off x="1362075" y="895350"/>
          <a:ext cx="1209675" cy="247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ysClr val="windowText" lastClr="000000"/>
              </a:solidFill>
            </a:rPr>
            <a:t>GRAFICOS</a:t>
          </a: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76200</xdr:colOff>
      <xdr:row>2</xdr:row>
      <xdr:rowOff>85724</xdr:rowOff>
    </xdr:from>
    <xdr:to>
      <xdr:col>2</xdr:col>
      <xdr:colOff>152400</xdr:colOff>
      <xdr:row>21</xdr:row>
      <xdr:rowOff>47625</xdr:rowOff>
    </xdr:to>
    <mc:AlternateContent xmlns:mc="http://schemas.openxmlformats.org/markup-compatibility/2006" xmlns:a14="http://schemas.microsoft.com/office/drawing/2010/main">
      <mc:Choice Requires="a14">
        <xdr:graphicFrame macro="">
          <xdr:nvGraphicFramePr>
            <xdr:cNvPr id="2" name="MES"/>
            <xdr:cNvGraphicFramePr/>
          </xdr:nvGraphicFramePr>
          <xdr:xfrm>
            <a:off x="0" y="0"/>
            <a:ext cx="0" cy="0"/>
          </xdr:xfrm>
          <a:graphic>
            <a:graphicData uri="http://schemas.microsoft.com/office/drawing/2010/slicer">
              <sle:slicer xmlns:sle="http://schemas.microsoft.com/office/drawing/2010/slicer" name="MES"/>
            </a:graphicData>
          </a:graphic>
        </xdr:graphicFrame>
      </mc:Choice>
      <mc:Fallback xmlns="">
        <xdr:sp macro="" textlink="">
          <xdr:nvSpPr>
            <xdr:cNvPr id="0" name=""/>
            <xdr:cNvSpPr>
              <a:spLocks noTextEdit="1"/>
            </xdr:cNvSpPr>
          </xdr:nvSpPr>
          <xdr:spPr>
            <a:xfrm>
              <a:off x="76200" y="971549"/>
              <a:ext cx="1143000" cy="3581401"/>
            </a:xfrm>
            <a:prstGeom prst="rect">
              <a:avLst/>
            </a:prstGeom>
            <a:solidFill>
              <a:prstClr val="white"/>
            </a:solidFill>
            <a:ln w="1">
              <a:solidFill>
                <a:prstClr val="green"/>
              </a:solidFill>
            </a:ln>
          </xdr:spPr>
          <xdr:txBody>
            <a:bodyPr vertOverflow="clip" horzOverflow="clip"/>
            <a:lstStyle/>
            <a:p>
              <a:r>
                <a:rPr lang="es-EC"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2</xdr:col>
      <xdr:colOff>200024</xdr:colOff>
      <xdr:row>2</xdr:row>
      <xdr:rowOff>76200</xdr:rowOff>
    </xdr:from>
    <xdr:to>
      <xdr:col>5</xdr:col>
      <xdr:colOff>609599</xdr:colOff>
      <xdr:row>21</xdr:row>
      <xdr:rowOff>47625</xdr:rowOff>
    </xdr:to>
    <mc:AlternateContent xmlns:mc="http://schemas.openxmlformats.org/markup-compatibility/2006" xmlns:a14="http://schemas.microsoft.com/office/drawing/2010/main">
      <mc:Choice Requires="a14">
        <xdr:graphicFrame macro="">
          <xdr:nvGraphicFramePr>
            <xdr:cNvPr id="3" name="INDICADOR"/>
            <xdr:cNvGraphicFramePr/>
          </xdr:nvGraphicFramePr>
          <xdr:xfrm>
            <a:off x="0" y="0"/>
            <a:ext cx="0" cy="0"/>
          </xdr:xfrm>
          <a:graphic>
            <a:graphicData uri="http://schemas.microsoft.com/office/drawing/2010/slicer">
              <sle:slicer xmlns:sle="http://schemas.microsoft.com/office/drawing/2010/slicer" name="INDICADOR"/>
            </a:graphicData>
          </a:graphic>
        </xdr:graphicFrame>
      </mc:Choice>
      <mc:Fallback xmlns="">
        <xdr:sp macro="" textlink="">
          <xdr:nvSpPr>
            <xdr:cNvPr id="0" name=""/>
            <xdr:cNvSpPr>
              <a:spLocks noTextEdit="1"/>
            </xdr:cNvSpPr>
          </xdr:nvSpPr>
          <xdr:spPr>
            <a:xfrm>
              <a:off x="1266825" y="962025"/>
              <a:ext cx="2924176" cy="3590925"/>
            </a:xfrm>
            <a:prstGeom prst="rect">
              <a:avLst/>
            </a:prstGeom>
            <a:solidFill>
              <a:prstClr val="white"/>
            </a:solidFill>
            <a:ln w="1">
              <a:solidFill>
                <a:prstClr val="green"/>
              </a:solidFill>
            </a:ln>
          </xdr:spPr>
          <xdr:txBody>
            <a:bodyPr vertOverflow="clip" horzOverflow="clip"/>
            <a:lstStyle/>
            <a:p>
              <a:r>
                <a:rPr lang="es-EC"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5</xdr:col>
      <xdr:colOff>695325</xdr:colOff>
      <xdr:row>2</xdr:row>
      <xdr:rowOff>85724</xdr:rowOff>
    </xdr:from>
    <xdr:to>
      <xdr:col>14</xdr:col>
      <xdr:colOff>317500</xdr:colOff>
      <xdr:row>21</xdr:row>
      <xdr:rowOff>38100</xdr:rowOff>
    </xdr:to>
    <xdr:graphicFrame macro="">
      <xdr:nvGraphicFramePr>
        <xdr:cNvPr id="4" name="Grá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657224</xdr:colOff>
      <xdr:row>23</xdr:row>
      <xdr:rowOff>152400</xdr:rowOff>
    </xdr:from>
    <xdr:to>
      <xdr:col>14</xdr:col>
      <xdr:colOff>381000</xdr:colOff>
      <xdr:row>42</xdr:row>
      <xdr:rowOff>114300</xdr:rowOff>
    </xdr:to>
    <xdr:graphicFrame macro="">
      <xdr:nvGraphicFramePr>
        <xdr:cNvPr id="5" name="Grá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47625</xdr:colOff>
      <xdr:row>23</xdr:row>
      <xdr:rowOff>133349</xdr:rowOff>
    </xdr:from>
    <xdr:to>
      <xdr:col>2</xdr:col>
      <xdr:colOff>114300</xdr:colOff>
      <xdr:row>42</xdr:row>
      <xdr:rowOff>76200</xdr:rowOff>
    </xdr:to>
    <mc:AlternateContent xmlns:mc="http://schemas.openxmlformats.org/markup-compatibility/2006" xmlns:a14="http://schemas.microsoft.com/office/drawing/2010/main">
      <mc:Choice Requires="a14">
        <xdr:graphicFrame macro="">
          <xdr:nvGraphicFramePr>
            <xdr:cNvPr id="6" name="MES 1"/>
            <xdr:cNvGraphicFramePr/>
          </xdr:nvGraphicFramePr>
          <xdr:xfrm>
            <a:off x="0" y="0"/>
            <a:ext cx="0" cy="0"/>
          </xdr:xfrm>
          <a:graphic>
            <a:graphicData uri="http://schemas.microsoft.com/office/drawing/2010/slicer">
              <sle:slicer xmlns:sle="http://schemas.microsoft.com/office/drawing/2010/slicer" name="MES 1"/>
            </a:graphicData>
          </a:graphic>
        </xdr:graphicFrame>
      </mc:Choice>
      <mc:Fallback xmlns="">
        <xdr:sp macro="" textlink="">
          <xdr:nvSpPr>
            <xdr:cNvPr id="0" name=""/>
            <xdr:cNvSpPr>
              <a:spLocks noTextEdit="1"/>
            </xdr:cNvSpPr>
          </xdr:nvSpPr>
          <xdr:spPr>
            <a:xfrm>
              <a:off x="47625" y="5019674"/>
              <a:ext cx="1133475" cy="3562351"/>
            </a:xfrm>
            <a:prstGeom prst="rect">
              <a:avLst/>
            </a:prstGeom>
            <a:solidFill>
              <a:prstClr val="white"/>
            </a:solidFill>
            <a:ln w="1">
              <a:solidFill>
                <a:prstClr val="green"/>
              </a:solidFill>
            </a:ln>
          </xdr:spPr>
          <xdr:txBody>
            <a:bodyPr vertOverflow="clip" horzOverflow="clip"/>
            <a:lstStyle/>
            <a:p>
              <a:r>
                <a:rPr lang="es-EC"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2</xdr:col>
      <xdr:colOff>142875</xdr:colOff>
      <xdr:row>23</xdr:row>
      <xdr:rowOff>142876</xdr:rowOff>
    </xdr:from>
    <xdr:to>
      <xdr:col>5</xdr:col>
      <xdr:colOff>609600</xdr:colOff>
      <xdr:row>42</xdr:row>
      <xdr:rowOff>42334</xdr:rowOff>
    </xdr:to>
    <mc:AlternateContent xmlns:mc="http://schemas.openxmlformats.org/markup-compatibility/2006" xmlns:a14="http://schemas.microsoft.com/office/drawing/2010/main">
      <mc:Choice Requires="a14">
        <xdr:graphicFrame macro="">
          <xdr:nvGraphicFramePr>
            <xdr:cNvPr id="7" name="INDICADOR 1"/>
            <xdr:cNvGraphicFramePr/>
          </xdr:nvGraphicFramePr>
          <xdr:xfrm>
            <a:off x="0" y="0"/>
            <a:ext cx="0" cy="0"/>
          </xdr:xfrm>
          <a:graphic>
            <a:graphicData uri="http://schemas.microsoft.com/office/drawing/2010/slicer">
              <sle:slicer xmlns:sle="http://schemas.microsoft.com/office/drawing/2010/slicer" name="INDICADOR 1"/>
            </a:graphicData>
          </a:graphic>
        </xdr:graphicFrame>
      </mc:Choice>
      <mc:Fallback xmlns="">
        <xdr:sp macro="" textlink="">
          <xdr:nvSpPr>
            <xdr:cNvPr id="0" name=""/>
            <xdr:cNvSpPr>
              <a:spLocks noTextEdit="1"/>
            </xdr:cNvSpPr>
          </xdr:nvSpPr>
          <xdr:spPr>
            <a:xfrm>
              <a:off x="1209675" y="5029200"/>
              <a:ext cx="2962275" cy="3057525"/>
            </a:xfrm>
            <a:prstGeom prst="rect">
              <a:avLst/>
            </a:prstGeom>
            <a:solidFill>
              <a:prstClr val="white"/>
            </a:solidFill>
            <a:ln w="1">
              <a:solidFill>
                <a:prstClr val="green"/>
              </a:solidFill>
            </a:ln>
          </xdr:spPr>
          <xdr:txBody>
            <a:bodyPr vertOverflow="clip" horzOverflow="clip"/>
            <a:lstStyle/>
            <a:p>
              <a:r>
                <a:rPr lang="es-EC"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0</xdr:col>
      <xdr:colOff>66675</xdr:colOff>
      <xdr:row>45</xdr:row>
      <xdr:rowOff>152399</xdr:rowOff>
    </xdr:from>
    <xdr:to>
      <xdr:col>2</xdr:col>
      <xdr:colOff>161925</xdr:colOff>
      <xdr:row>64</xdr:row>
      <xdr:rowOff>123824</xdr:rowOff>
    </xdr:to>
    <mc:AlternateContent xmlns:mc="http://schemas.openxmlformats.org/markup-compatibility/2006" xmlns:a14="http://schemas.microsoft.com/office/drawing/2010/main">
      <mc:Choice Requires="a14">
        <xdr:graphicFrame macro="">
          <xdr:nvGraphicFramePr>
            <xdr:cNvPr id="9" name="MES 2"/>
            <xdr:cNvGraphicFramePr/>
          </xdr:nvGraphicFramePr>
          <xdr:xfrm>
            <a:off x="0" y="0"/>
            <a:ext cx="0" cy="0"/>
          </xdr:xfrm>
          <a:graphic>
            <a:graphicData uri="http://schemas.microsoft.com/office/drawing/2010/slicer">
              <sle:slicer xmlns:sle="http://schemas.microsoft.com/office/drawing/2010/slicer" name="MES 2"/>
            </a:graphicData>
          </a:graphic>
        </xdr:graphicFrame>
      </mc:Choice>
      <mc:Fallback xmlns="">
        <xdr:sp macro="" textlink="">
          <xdr:nvSpPr>
            <xdr:cNvPr id="0" name=""/>
            <xdr:cNvSpPr>
              <a:spLocks noTextEdit="1"/>
            </xdr:cNvSpPr>
          </xdr:nvSpPr>
          <xdr:spPr>
            <a:xfrm>
              <a:off x="66675" y="9229724"/>
              <a:ext cx="1162050" cy="3590925"/>
            </a:xfrm>
            <a:prstGeom prst="rect">
              <a:avLst/>
            </a:prstGeom>
            <a:solidFill>
              <a:prstClr val="white"/>
            </a:solidFill>
            <a:ln w="1">
              <a:solidFill>
                <a:prstClr val="green"/>
              </a:solidFill>
            </a:ln>
          </xdr:spPr>
          <xdr:txBody>
            <a:bodyPr vertOverflow="clip" horzOverflow="clip"/>
            <a:lstStyle/>
            <a:p>
              <a:r>
                <a:rPr lang="es-EC"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2</xdr:col>
      <xdr:colOff>200024</xdr:colOff>
      <xdr:row>45</xdr:row>
      <xdr:rowOff>142876</xdr:rowOff>
    </xdr:from>
    <xdr:to>
      <xdr:col>5</xdr:col>
      <xdr:colOff>542925</xdr:colOff>
      <xdr:row>56</xdr:row>
      <xdr:rowOff>123826</xdr:rowOff>
    </xdr:to>
    <mc:AlternateContent xmlns:mc="http://schemas.openxmlformats.org/markup-compatibility/2006" xmlns:a14="http://schemas.microsoft.com/office/drawing/2010/main">
      <mc:Choice Requires="a14">
        <xdr:graphicFrame macro="">
          <xdr:nvGraphicFramePr>
            <xdr:cNvPr id="10" name="INDICADOR 2"/>
            <xdr:cNvGraphicFramePr/>
          </xdr:nvGraphicFramePr>
          <xdr:xfrm>
            <a:off x="0" y="0"/>
            <a:ext cx="0" cy="0"/>
          </xdr:xfrm>
          <a:graphic>
            <a:graphicData uri="http://schemas.microsoft.com/office/drawing/2010/slicer">
              <sle:slicer xmlns:sle="http://schemas.microsoft.com/office/drawing/2010/slicer" name="INDICADOR 2"/>
            </a:graphicData>
          </a:graphic>
        </xdr:graphicFrame>
      </mc:Choice>
      <mc:Fallback xmlns="">
        <xdr:sp macro="" textlink="">
          <xdr:nvSpPr>
            <xdr:cNvPr id="0" name=""/>
            <xdr:cNvSpPr>
              <a:spLocks noTextEdit="1"/>
            </xdr:cNvSpPr>
          </xdr:nvSpPr>
          <xdr:spPr>
            <a:xfrm>
              <a:off x="1266824" y="9220201"/>
              <a:ext cx="2838451" cy="2076450"/>
            </a:xfrm>
            <a:prstGeom prst="rect">
              <a:avLst/>
            </a:prstGeom>
            <a:solidFill>
              <a:prstClr val="white"/>
            </a:solidFill>
            <a:ln w="1">
              <a:solidFill>
                <a:prstClr val="green"/>
              </a:solidFill>
            </a:ln>
          </xdr:spPr>
          <xdr:txBody>
            <a:bodyPr vertOverflow="clip" horzOverflow="clip"/>
            <a:lstStyle/>
            <a:p>
              <a:r>
                <a:rPr lang="es-EC"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5</xdr:col>
      <xdr:colOff>600074</xdr:colOff>
      <xdr:row>45</xdr:row>
      <xdr:rowOff>142874</xdr:rowOff>
    </xdr:from>
    <xdr:to>
      <xdr:col>15</xdr:col>
      <xdr:colOff>609600</xdr:colOff>
      <xdr:row>64</xdr:row>
      <xdr:rowOff>76199</xdr:rowOff>
    </xdr:to>
    <xdr:graphicFrame macro="">
      <xdr:nvGraphicFramePr>
        <xdr:cNvPr id="11" name="Gráfico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619125</xdr:colOff>
      <xdr:row>67</xdr:row>
      <xdr:rowOff>57149</xdr:rowOff>
    </xdr:from>
    <xdr:to>
      <xdr:col>16</xdr:col>
      <xdr:colOff>447675</xdr:colOff>
      <xdr:row>86</xdr:row>
      <xdr:rowOff>47624</xdr:rowOff>
    </xdr:to>
    <xdr:graphicFrame macro="">
      <xdr:nvGraphicFramePr>
        <xdr:cNvPr id="12" name="Gráfico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66675</xdr:colOff>
      <xdr:row>67</xdr:row>
      <xdr:rowOff>57149</xdr:rowOff>
    </xdr:from>
    <xdr:to>
      <xdr:col>2</xdr:col>
      <xdr:colOff>161925</xdr:colOff>
      <xdr:row>86</xdr:row>
      <xdr:rowOff>9525</xdr:rowOff>
    </xdr:to>
    <mc:AlternateContent xmlns:mc="http://schemas.openxmlformats.org/markup-compatibility/2006" xmlns:a14="http://schemas.microsoft.com/office/drawing/2010/main">
      <mc:Choice Requires="a14">
        <xdr:graphicFrame macro="">
          <xdr:nvGraphicFramePr>
            <xdr:cNvPr id="13" name="MES 4"/>
            <xdr:cNvGraphicFramePr/>
          </xdr:nvGraphicFramePr>
          <xdr:xfrm>
            <a:off x="0" y="0"/>
            <a:ext cx="0" cy="0"/>
          </xdr:xfrm>
          <a:graphic>
            <a:graphicData uri="http://schemas.microsoft.com/office/drawing/2010/slicer">
              <sle:slicer xmlns:sle="http://schemas.microsoft.com/office/drawing/2010/slicer" name="MES 4"/>
            </a:graphicData>
          </a:graphic>
        </xdr:graphicFrame>
      </mc:Choice>
      <mc:Fallback xmlns="">
        <xdr:sp macro="" textlink="">
          <xdr:nvSpPr>
            <xdr:cNvPr id="0" name=""/>
            <xdr:cNvSpPr>
              <a:spLocks noTextEdit="1"/>
            </xdr:cNvSpPr>
          </xdr:nvSpPr>
          <xdr:spPr>
            <a:xfrm>
              <a:off x="66675" y="13325474"/>
              <a:ext cx="1162050" cy="3571876"/>
            </a:xfrm>
            <a:prstGeom prst="rect">
              <a:avLst/>
            </a:prstGeom>
            <a:solidFill>
              <a:prstClr val="white"/>
            </a:solidFill>
            <a:ln w="1">
              <a:solidFill>
                <a:prstClr val="green"/>
              </a:solidFill>
            </a:ln>
          </xdr:spPr>
          <xdr:txBody>
            <a:bodyPr vertOverflow="clip" horzOverflow="clip"/>
            <a:lstStyle/>
            <a:p>
              <a:r>
                <a:rPr lang="es-EC"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2</xdr:col>
      <xdr:colOff>209549</xdr:colOff>
      <xdr:row>67</xdr:row>
      <xdr:rowOff>47626</xdr:rowOff>
    </xdr:from>
    <xdr:to>
      <xdr:col>5</xdr:col>
      <xdr:colOff>581025</xdr:colOff>
      <xdr:row>74</xdr:row>
      <xdr:rowOff>9526</xdr:rowOff>
    </xdr:to>
    <mc:AlternateContent xmlns:mc="http://schemas.openxmlformats.org/markup-compatibility/2006" xmlns:a14="http://schemas.microsoft.com/office/drawing/2010/main">
      <mc:Choice Requires="a14">
        <xdr:graphicFrame macro="">
          <xdr:nvGraphicFramePr>
            <xdr:cNvPr id="14" name="INDICADOR 4"/>
            <xdr:cNvGraphicFramePr/>
          </xdr:nvGraphicFramePr>
          <xdr:xfrm>
            <a:off x="0" y="0"/>
            <a:ext cx="0" cy="0"/>
          </xdr:xfrm>
          <a:graphic>
            <a:graphicData uri="http://schemas.microsoft.com/office/drawing/2010/slicer">
              <sle:slicer xmlns:sle="http://schemas.microsoft.com/office/drawing/2010/slicer" name="INDICADOR 4"/>
            </a:graphicData>
          </a:graphic>
        </xdr:graphicFrame>
      </mc:Choice>
      <mc:Fallback xmlns="">
        <xdr:sp macro="" textlink="">
          <xdr:nvSpPr>
            <xdr:cNvPr id="0" name=""/>
            <xdr:cNvSpPr>
              <a:spLocks noTextEdit="1"/>
            </xdr:cNvSpPr>
          </xdr:nvSpPr>
          <xdr:spPr>
            <a:xfrm>
              <a:off x="1276349" y="13315951"/>
              <a:ext cx="2867026" cy="1295400"/>
            </a:xfrm>
            <a:prstGeom prst="rect">
              <a:avLst/>
            </a:prstGeom>
            <a:solidFill>
              <a:prstClr val="white"/>
            </a:solidFill>
            <a:ln w="1">
              <a:solidFill>
                <a:prstClr val="green"/>
              </a:solidFill>
            </a:ln>
          </xdr:spPr>
          <xdr:txBody>
            <a:bodyPr vertOverflow="clip" horzOverflow="clip"/>
            <a:lstStyle/>
            <a:p>
              <a:r>
                <a:rPr lang="es-EC"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2</xdr:col>
      <xdr:colOff>295274</xdr:colOff>
      <xdr:row>1</xdr:row>
      <xdr:rowOff>133349</xdr:rowOff>
    </xdr:from>
    <xdr:to>
      <xdr:col>3</xdr:col>
      <xdr:colOff>628650</xdr:colOff>
      <xdr:row>2</xdr:row>
      <xdr:rowOff>0</xdr:rowOff>
    </xdr:to>
    <xdr:sp macro="" textlink="">
      <xdr:nvSpPr>
        <xdr:cNvPr id="15" name="Rectángulo 14">
          <a:hlinkClick xmlns:r="http://schemas.openxmlformats.org/officeDocument/2006/relationships" r:id="rId5"/>
        </xdr:cNvPr>
        <xdr:cNvSpPr/>
      </xdr:nvSpPr>
      <xdr:spPr>
        <a:xfrm>
          <a:off x="1362074" y="628649"/>
          <a:ext cx="1209676" cy="25717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tx1"/>
              </a:solidFill>
            </a:rPr>
            <a:t>POA 2021</a:t>
          </a:r>
        </a:p>
      </xdr:txBody>
    </xdr:sp>
    <xdr:clientData/>
  </xdr:twoCellAnchor>
  <xdr:twoCellAnchor>
    <xdr:from>
      <xdr:col>3</xdr:col>
      <xdr:colOff>704850</xdr:colOff>
      <xdr:row>1</xdr:row>
      <xdr:rowOff>133350</xdr:rowOff>
    </xdr:from>
    <xdr:to>
      <xdr:col>5</xdr:col>
      <xdr:colOff>123826</xdr:colOff>
      <xdr:row>2</xdr:row>
      <xdr:rowOff>1</xdr:rowOff>
    </xdr:to>
    <xdr:sp macro="" textlink="">
      <xdr:nvSpPr>
        <xdr:cNvPr id="16" name="Rectángulo 15"/>
        <xdr:cNvSpPr/>
      </xdr:nvSpPr>
      <xdr:spPr>
        <a:xfrm>
          <a:off x="2647950" y="628650"/>
          <a:ext cx="1390651" cy="2571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POA 2022</a:t>
          </a:r>
        </a:p>
      </xdr:txBody>
    </xdr:sp>
    <xdr:clientData/>
  </xdr:twoCellAnchor>
  <xdr:twoCellAnchor>
    <xdr:from>
      <xdr:col>5</xdr:col>
      <xdr:colOff>219075</xdr:colOff>
      <xdr:row>1</xdr:row>
      <xdr:rowOff>133350</xdr:rowOff>
    </xdr:from>
    <xdr:to>
      <xdr:col>6</xdr:col>
      <xdr:colOff>581026</xdr:colOff>
      <xdr:row>2</xdr:row>
      <xdr:rowOff>1</xdr:rowOff>
    </xdr:to>
    <xdr:sp macro="" textlink="">
      <xdr:nvSpPr>
        <xdr:cNvPr id="17" name="Rectángulo 16"/>
        <xdr:cNvSpPr/>
      </xdr:nvSpPr>
      <xdr:spPr>
        <a:xfrm>
          <a:off x="4133850" y="628650"/>
          <a:ext cx="1238251" cy="2571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POA 2023</a:t>
          </a:r>
        </a:p>
      </xdr:txBody>
    </xdr:sp>
    <xdr:clientData/>
  </xdr:twoCellAnchor>
  <xdr:twoCellAnchor>
    <xdr:from>
      <xdr:col>6</xdr:col>
      <xdr:colOff>666750</xdr:colOff>
      <xdr:row>1</xdr:row>
      <xdr:rowOff>133350</xdr:rowOff>
    </xdr:from>
    <xdr:to>
      <xdr:col>8</xdr:col>
      <xdr:colOff>666751</xdr:colOff>
      <xdr:row>2</xdr:row>
      <xdr:rowOff>1</xdr:rowOff>
    </xdr:to>
    <xdr:sp macro="" textlink="">
      <xdr:nvSpPr>
        <xdr:cNvPr id="18" name="Rectángulo 17"/>
        <xdr:cNvSpPr/>
      </xdr:nvSpPr>
      <xdr:spPr>
        <a:xfrm>
          <a:off x="5457825" y="628650"/>
          <a:ext cx="1238251" cy="257176"/>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POA 2024</a:t>
          </a:r>
        </a:p>
      </xdr:txBody>
    </xdr:sp>
    <xdr:clientData/>
  </xdr:twoCellAnchor>
  <xdr:twoCellAnchor>
    <xdr:from>
      <xdr:col>2</xdr:col>
      <xdr:colOff>666749</xdr:colOff>
      <xdr:row>0</xdr:row>
      <xdr:rowOff>9525</xdr:rowOff>
    </xdr:from>
    <xdr:to>
      <xdr:col>4</xdr:col>
      <xdr:colOff>133350</xdr:colOff>
      <xdr:row>1</xdr:row>
      <xdr:rowOff>0</xdr:rowOff>
    </xdr:to>
    <xdr:sp macro="" textlink="">
      <xdr:nvSpPr>
        <xdr:cNvPr id="19" name="Rectángulo 18">
          <a:hlinkClick xmlns:r="http://schemas.openxmlformats.org/officeDocument/2006/relationships" r:id="rId6"/>
        </xdr:cNvPr>
        <xdr:cNvSpPr/>
      </xdr:nvSpPr>
      <xdr:spPr>
        <a:xfrm>
          <a:off x="1733549" y="9525"/>
          <a:ext cx="1285876"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GENERALIDADES</a:t>
          </a:r>
        </a:p>
      </xdr:txBody>
    </xdr:sp>
    <xdr:clientData/>
  </xdr:twoCellAnchor>
  <xdr:twoCellAnchor>
    <xdr:from>
      <xdr:col>4</xdr:col>
      <xdr:colOff>161924</xdr:colOff>
      <xdr:row>0</xdr:row>
      <xdr:rowOff>9525</xdr:rowOff>
    </xdr:from>
    <xdr:to>
      <xdr:col>5</xdr:col>
      <xdr:colOff>600075</xdr:colOff>
      <xdr:row>1</xdr:row>
      <xdr:rowOff>0</xdr:rowOff>
    </xdr:to>
    <xdr:sp macro="" textlink="">
      <xdr:nvSpPr>
        <xdr:cNvPr id="20" name="Rectángulo 19">
          <a:hlinkClick xmlns:r="http://schemas.openxmlformats.org/officeDocument/2006/relationships" r:id="rId7"/>
        </xdr:cNvPr>
        <xdr:cNvSpPr/>
      </xdr:nvSpPr>
      <xdr:spPr>
        <a:xfrm>
          <a:off x="3047999" y="9525"/>
          <a:ext cx="14668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OBJETIVOS</a:t>
          </a:r>
        </a:p>
      </xdr:txBody>
    </xdr:sp>
    <xdr:clientData/>
  </xdr:twoCellAnchor>
  <xdr:twoCellAnchor>
    <xdr:from>
      <xdr:col>5</xdr:col>
      <xdr:colOff>628649</xdr:colOff>
      <xdr:row>0</xdr:row>
      <xdr:rowOff>9525</xdr:rowOff>
    </xdr:from>
    <xdr:to>
      <xdr:col>7</xdr:col>
      <xdr:colOff>304800</xdr:colOff>
      <xdr:row>1</xdr:row>
      <xdr:rowOff>0</xdr:rowOff>
    </xdr:to>
    <xdr:sp macro="" textlink="">
      <xdr:nvSpPr>
        <xdr:cNvPr id="21" name="Rectángulo 20">
          <a:hlinkClick xmlns:r="http://schemas.openxmlformats.org/officeDocument/2006/relationships" r:id="rId8"/>
        </xdr:cNvPr>
        <xdr:cNvSpPr/>
      </xdr:nvSpPr>
      <xdr:spPr>
        <a:xfrm>
          <a:off x="4543424" y="9525"/>
          <a:ext cx="14287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ESTRATEGIAS</a:t>
          </a:r>
        </a:p>
      </xdr:txBody>
    </xdr:sp>
    <xdr:clientData/>
  </xdr:twoCellAnchor>
  <xdr:twoCellAnchor>
    <xdr:from>
      <xdr:col>7</xdr:col>
      <xdr:colOff>333374</xdr:colOff>
      <xdr:row>0</xdr:row>
      <xdr:rowOff>9525</xdr:rowOff>
    </xdr:from>
    <xdr:to>
      <xdr:col>9</xdr:col>
      <xdr:colOff>409575</xdr:colOff>
      <xdr:row>1</xdr:row>
      <xdr:rowOff>0</xdr:rowOff>
    </xdr:to>
    <xdr:sp macro="" textlink="">
      <xdr:nvSpPr>
        <xdr:cNvPr id="22" name="Rectángulo 21">
          <a:hlinkClick xmlns:r="http://schemas.openxmlformats.org/officeDocument/2006/relationships" r:id="rId9"/>
        </xdr:cNvPr>
        <xdr:cNvSpPr/>
      </xdr:nvSpPr>
      <xdr:spPr>
        <a:xfrm>
          <a:off x="6000749"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PROGRAMACIÓN</a:t>
          </a:r>
        </a:p>
      </xdr:txBody>
    </xdr:sp>
    <xdr:clientData/>
  </xdr:twoCellAnchor>
  <xdr:twoCellAnchor>
    <xdr:from>
      <xdr:col>9</xdr:col>
      <xdr:colOff>704849</xdr:colOff>
      <xdr:row>0</xdr:row>
      <xdr:rowOff>9525</xdr:rowOff>
    </xdr:from>
    <xdr:to>
      <xdr:col>11</xdr:col>
      <xdr:colOff>114299</xdr:colOff>
      <xdr:row>1</xdr:row>
      <xdr:rowOff>0</xdr:rowOff>
    </xdr:to>
    <xdr:sp macro="" textlink="">
      <xdr:nvSpPr>
        <xdr:cNvPr id="23" name="Rectángulo 22">
          <a:hlinkClick xmlns:r="http://schemas.openxmlformats.org/officeDocument/2006/relationships" r:id="rId5"/>
        </xdr:cNvPr>
        <xdr:cNvSpPr/>
      </xdr:nvSpPr>
      <xdr:spPr>
        <a:xfrm>
          <a:off x="6915149" y="9525"/>
          <a:ext cx="2066925" cy="485775"/>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DASHBOARDS</a:t>
          </a:r>
        </a:p>
      </xdr:txBody>
    </xdr:sp>
    <xdr:clientData/>
  </xdr:twoCellAnchor>
  <xdr:twoCellAnchor editAs="oneCell">
    <xdr:from>
      <xdr:col>0</xdr:col>
      <xdr:colOff>76200</xdr:colOff>
      <xdr:row>0</xdr:row>
      <xdr:rowOff>47625</xdr:rowOff>
    </xdr:from>
    <xdr:to>
      <xdr:col>2</xdr:col>
      <xdr:colOff>476249</xdr:colOff>
      <xdr:row>0</xdr:row>
      <xdr:rowOff>485774</xdr:rowOff>
    </xdr:to>
    <xdr:pic>
      <xdr:nvPicPr>
        <xdr:cNvPr id="24" name="Imagen 23"/>
        <xdr:cNvPicPr>
          <a:picLocks noChangeAspect="1"/>
        </xdr:cNvPicPr>
      </xdr:nvPicPr>
      <xdr:blipFill rotWithShape="1">
        <a:blip xmlns:r="http://schemas.openxmlformats.org/officeDocument/2006/relationships" r:embed="rId10"/>
        <a:srcRect l="10995" t="55907" r="34962" b="15302"/>
        <a:stretch/>
      </xdr:blipFill>
      <xdr:spPr>
        <a:xfrm>
          <a:off x="76200" y="47625"/>
          <a:ext cx="1466849" cy="419099"/>
        </a:xfrm>
        <a:prstGeom prst="rect">
          <a:avLst/>
        </a:prstGeom>
      </xdr:spPr>
    </xdr:pic>
    <xdr:clientData/>
  </xdr:twoCellAnchor>
  <xdr:twoCellAnchor>
    <xdr:from>
      <xdr:col>14</xdr:col>
      <xdr:colOff>497417</xdr:colOff>
      <xdr:row>4</xdr:row>
      <xdr:rowOff>42333</xdr:rowOff>
    </xdr:from>
    <xdr:to>
      <xdr:col>17</xdr:col>
      <xdr:colOff>412750</xdr:colOff>
      <xdr:row>8</xdr:row>
      <xdr:rowOff>21166</xdr:rowOff>
    </xdr:to>
    <xdr:sp macro="" textlink="">
      <xdr:nvSpPr>
        <xdr:cNvPr id="8" name="Rectángulo redondeado 7"/>
        <xdr:cNvSpPr/>
      </xdr:nvSpPr>
      <xdr:spPr>
        <a:xfrm>
          <a:off x="11588750" y="1312333"/>
          <a:ext cx="1915583" cy="740833"/>
        </a:xfrm>
        <a:prstGeom prst="roundRect">
          <a:avLst>
            <a:gd name="adj" fmla="val 5473"/>
          </a:avLst>
        </a:prstGeom>
        <a:solidFill>
          <a:schemeClr val="bg2">
            <a:lumMod val="25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200" b="1"/>
            <a:t>CUMPLIMIENTO PLAN ESTRATÉGICO</a:t>
          </a:r>
        </a:p>
      </xdr:txBody>
    </xdr:sp>
    <xdr:clientData/>
  </xdr:twoCellAnchor>
  <xdr:twoCellAnchor>
    <xdr:from>
      <xdr:col>12</xdr:col>
      <xdr:colOff>518583</xdr:colOff>
      <xdr:row>8</xdr:row>
      <xdr:rowOff>169334</xdr:rowOff>
    </xdr:from>
    <xdr:to>
      <xdr:col>19</xdr:col>
      <xdr:colOff>559330</xdr:colOff>
      <xdr:row>24</xdr:row>
      <xdr:rowOff>16934</xdr:rowOff>
    </xdr:to>
    <xdr:graphicFrame macro="">
      <xdr:nvGraphicFramePr>
        <xdr:cNvPr id="25" name="Gráfico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76201</xdr:colOff>
      <xdr:row>0</xdr:row>
      <xdr:rowOff>47626</xdr:rowOff>
    </xdr:from>
    <xdr:to>
      <xdr:col>2</xdr:col>
      <xdr:colOff>476250</xdr:colOff>
      <xdr:row>0</xdr:row>
      <xdr:rowOff>476250</xdr:rowOff>
    </xdr:to>
    <xdr:pic>
      <xdr:nvPicPr>
        <xdr:cNvPr id="2" name="Imagen 1"/>
        <xdr:cNvPicPr>
          <a:picLocks noChangeAspect="1"/>
        </xdr:cNvPicPr>
      </xdr:nvPicPr>
      <xdr:blipFill rotWithShape="1">
        <a:blip xmlns:r="http://schemas.openxmlformats.org/officeDocument/2006/relationships" r:embed="rId1"/>
        <a:srcRect l="10995" t="55907" r="34962" b="15302"/>
        <a:stretch/>
      </xdr:blipFill>
      <xdr:spPr>
        <a:xfrm>
          <a:off x="76201" y="47626"/>
          <a:ext cx="1466849" cy="428624"/>
        </a:xfrm>
        <a:prstGeom prst="rect">
          <a:avLst/>
        </a:prstGeom>
      </xdr:spPr>
    </xdr:pic>
    <xdr:clientData/>
  </xdr:twoCellAnchor>
  <xdr:twoCellAnchor>
    <xdr:from>
      <xdr:col>2</xdr:col>
      <xdr:colOff>666749</xdr:colOff>
      <xdr:row>0</xdr:row>
      <xdr:rowOff>9525</xdr:rowOff>
    </xdr:from>
    <xdr:to>
      <xdr:col>4</xdr:col>
      <xdr:colOff>133350</xdr:colOff>
      <xdr:row>1</xdr:row>
      <xdr:rowOff>0</xdr:rowOff>
    </xdr:to>
    <xdr:sp macro="" textlink="">
      <xdr:nvSpPr>
        <xdr:cNvPr id="3" name="Rectángulo 2">
          <a:hlinkClick xmlns:r="http://schemas.openxmlformats.org/officeDocument/2006/relationships" r:id="rId2"/>
        </xdr:cNvPr>
        <xdr:cNvSpPr/>
      </xdr:nvSpPr>
      <xdr:spPr>
        <a:xfrm>
          <a:off x="1733549" y="9525"/>
          <a:ext cx="1200151" cy="485775"/>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GENERALIDADES</a:t>
          </a:r>
        </a:p>
      </xdr:txBody>
    </xdr:sp>
    <xdr:clientData/>
  </xdr:twoCellAnchor>
  <xdr:twoCellAnchor>
    <xdr:from>
      <xdr:col>2</xdr:col>
      <xdr:colOff>295274</xdr:colOff>
      <xdr:row>1</xdr:row>
      <xdr:rowOff>133349</xdr:rowOff>
    </xdr:from>
    <xdr:to>
      <xdr:col>3</xdr:col>
      <xdr:colOff>628650</xdr:colOff>
      <xdr:row>2</xdr:row>
      <xdr:rowOff>0</xdr:rowOff>
    </xdr:to>
    <xdr:sp macro="" textlink="">
      <xdr:nvSpPr>
        <xdr:cNvPr id="4" name="Rectángulo 3">
          <a:hlinkClick xmlns:r="http://schemas.openxmlformats.org/officeDocument/2006/relationships" r:id="rId2"/>
        </xdr:cNvPr>
        <xdr:cNvSpPr/>
      </xdr:nvSpPr>
      <xdr:spPr>
        <a:xfrm>
          <a:off x="1362074" y="628649"/>
          <a:ext cx="1123951" cy="257176"/>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ORGANIZACIÓN</a:t>
          </a:r>
        </a:p>
      </xdr:txBody>
    </xdr:sp>
    <xdr:clientData/>
  </xdr:twoCellAnchor>
  <xdr:twoCellAnchor>
    <xdr:from>
      <xdr:col>3</xdr:col>
      <xdr:colOff>704850</xdr:colOff>
      <xdr:row>1</xdr:row>
      <xdr:rowOff>133350</xdr:rowOff>
    </xdr:from>
    <xdr:to>
      <xdr:col>5</xdr:col>
      <xdr:colOff>123826</xdr:colOff>
      <xdr:row>2</xdr:row>
      <xdr:rowOff>1</xdr:rowOff>
    </xdr:to>
    <xdr:sp macro="" textlink="">
      <xdr:nvSpPr>
        <xdr:cNvPr id="5" name="Rectángulo 4">
          <a:hlinkClick xmlns:r="http://schemas.openxmlformats.org/officeDocument/2006/relationships" r:id="rId3"/>
        </xdr:cNvPr>
        <xdr:cNvSpPr/>
      </xdr:nvSpPr>
      <xdr:spPr>
        <a:xfrm>
          <a:off x="2562225" y="628650"/>
          <a:ext cx="1123951" cy="257176"/>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MISIÓN</a:t>
          </a:r>
        </a:p>
      </xdr:txBody>
    </xdr:sp>
    <xdr:clientData/>
  </xdr:twoCellAnchor>
  <xdr:twoCellAnchor>
    <xdr:from>
      <xdr:col>5</xdr:col>
      <xdr:colOff>219075</xdr:colOff>
      <xdr:row>1</xdr:row>
      <xdr:rowOff>133350</xdr:rowOff>
    </xdr:from>
    <xdr:to>
      <xdr:col>6</xdr:col>
      <xdr:colOff>581026</xdr:colOff>
      <xdr:row>2</xdr:row>
      <xdr:rowOff>1</xdr:rowOff>
    </xdr:to>
    <xdr:sp macro="" textlink="">
      <xdr:nvSpPr>
        <xdr:cNvPr id="6" name="Rectángulo 5">
          <a:hlinkClick xmlns:r="http://schemas.openxmlformats.org/officeDocument/2006/relationships" r:id="rId4"/>
        </xdr:cNvPr>
        <xdr:cNvSpPr/>
      </xdr:nvSpPr>
      <xdr:spPr>
        <a:xfrm>
          <a:off x="3781425" y="628650"/>
          <a:ext cx="1123951" cy="2571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ysClr val="windowText" lastClr="000000"/>
              </a:solidFill>
            </a:rPr>
            <a:t>VISIÓN</a:t>
          </a:r>
        </a:p>
      </xdr:txBody>
    </xdr:sp>
    <xdr:clientData/>
  </xdr:twoCellAnchor>
  <xdr:twoCellAnchor>
    <xdr:from>
      <xdr:col>6</xdr:col>
      <xdr:colOff>666750</xdr:colOff>
      <xdr:row>1</xdr:row>
      <xdr:rowOff>133350</xdr:rowOff>
    </xdr:from>
    <xdr:to>
      <xdr:col>8</xdr:col>
      <xdr:colOff>666751</xdr:colOff>
      <xdr:row>2</xdr:row>
      <xdr:rowOff>1</xdr:rowOff>
    </xdr:to>
    <xdr:sp macro="" textlink="">
      <xdr:nvSpPr>
        <xdr:cNvPr id="7" name="Rectángulo 6">
          <a:hlinkClick xmlns:r="http://schemas.openxmlformats.org/officeDocument/2006/relationships" r:id="rId5"/>
        </xdr:cNvPr>
        <xdr:cNvSpPr/>
      </xdr:nvSpPr>
      <xdr:spPr>
        <a:xfrm>
          <a:off x="4991100" y="628650"/>
          <a:ext cx="1123951" cy="257176"/>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VALORES</a:t>
          </a:r>
        </a:p>
      </xdr:txBody>
    </xdr:sp>
    <xdr:clientData/>
  </xdr:twoCellAnchor>
  <xdr:twoCellAnchor>
    <xdr:from>
      <xdr:col>8</xdr:col>
      <xdr:colOff>742950</xdr:colOff>
      <xdr:row>1</xdr:row>
      <xdr:rowOff>142876</xdr:rowOff>
    </xdr:from>
    <xdr:to>
      <xdr:col>10</xdr:col>
      <xdr:colOff>657226</xdr:colOff>
      <xdr:row>2</xdr:row>
      <xdr:rowOff>1</xdr:rowOff>
    </xdr:to>
    <xdr:sp macro="" textlink="">
      <xdr:nvSpPr>
        <xdr:cNvPr id="8" name="Rectángulo 7">
          <a:hlinkClick xmlns:r="http://schemas.openxmlformats.org/officeDocument/2006/relationships" r:id="rId6"/>
        </xdr:cNvPr>
        <xdr:cNvSpPr/>
      </xdr:nvSpPr>
      <xdr:spPr>
        <a:xfrm>
          <a:off x="6191250" y="638176"/>
          <a:ext cx="1438276" cy="24765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MAPA</a:t>
          </a:r>
          <a:r>
            <a:rPr lang="es-EC" sz="1100" b="1" baseline="0">
              <a:solidFill>
                <a:schemeClr val="bg1"/>
              </a:solidFill>
            </a:rPr>
            <a:t> DE PROCESOS</a:t>
          </a:r>
          <a:endParaRPr lang="es-EC" sz="1100" b="1">
            <a:solidFill>
              <a:schemeClr val="bg1"/>
            </a:solidFill>
          </a:endParaRPr>
        </a:p>
      </xdr:txBody>
    </xdr:sp>
    <xdr:clientData/>
  </xdr:twoCellAnchor>
  <xdr:twoCellAnchor>
    <xdr:from>
      <xdr:col>10</xdr:col>
      <xdr:colOff>714375</xdr:colOff>
      <xdr:row>1</xdr:row>
      <xdr:rowOff>142875</xdr:rowOff>
    </xdr:from>
    <xdr:to>
      <xdr:col>12</xdr:col>
      <xdr:colOff>628651</xdr:colOff>
      <xdr:row>2</xdr:row>
      <xdr:rowOff>0</xdr:rowOff>
    </xdr:to>
    <xdr:sp macro="" textlink="">
      <xdr:nvSpPr>
        <xdr:cNvPr id="9" name="Rectángulo 8">
          <a:hlinkClick xmlns:r="http://schemas.openxmlformats.org/officeDocument/2006/relationships" r:id="rId7"/>
        </xdr:cNvPr>
        <xdr:cNvSpPr/>
      </xdr:nvSpPr>
      <xdr:spPr>
        <a:xfrm>
          <a:off x="7686675" y="638175"/>
          <a:ext cx="1438276" cy="24765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PERFIL</a:t>
          </a:r>
          <a:r>
            <a:rPr lang="es-EC" sz="1100" b="1" baseline="0">
              <a:solidFill>
                <a:schemeClr val="bg1"/>
              </a:solidFill>
            </a:rPr>
            <a:t> COMPETITIVO</a:t>
          </a:r>
          <a:endParaRPr lang="es-EC" sz="1100" b="1">
            <a:solidFill>
              <a:schemeClr val="bg1"/>
            </a:solidFill>
          </a:endParaRPr>
        </a:p>
      </xdr:txBody>
    </xdr:sp>
    <xdr:clientData/>
  </xdr:twoCellAnchor>
  <xdr:twoCellAnchor>
    <xdr:from>
      <xdr:col>4</xdr:col>
      <xdr:colOff>161924</xdr:colOff>
      <xdr:row>0</xdr:row>
      <xdr:rowOff>9525</xdr:rowOff>
    </xdr:from>
    <xdr:to>
      <xdr:col>5</xdr:col>
      <xdr:colOff>600075</xdr:colOff>
      <xdr:row>1</xdr:row>
      <xdr:rowOff>0</xdr:rowOff>
    </xdr:to>
    <xdr:sp macro="" textlink="">
      <xdr:nvSpPr>
        <xdr:cNvPr id="12" name="Rectángulo 11">
          <a:hlinkClick xmlns:r="http://schemas.openxmlformats.org/officeDocument/2006/relationships" r:id="rId8"/>
        </xdr:cNvPr>
        <xdr:cNvSpPr/>
      </xdr:nvSpPr>
      <xdr:spPr>
        <a:xfrm>
          <a:off x="2962274"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OBJETIVOS</a:t>
          </a:r>
        </a:p>
      </xdr:txBody>
    </xdr:sp>
    <xdr:clientData/>
  </xdr:twoCellAnchor>
  <xdr:twoCellAnchor>
    <xdr:from>
      <xdr:col>5</xdr:col>
      <xdr:colOff>628649</xdr:colOff>
      <xdr:row>0</xdr:row>
      <xdr:rowOff>9525</xdr:rowOff>
    </xdr:from>
    <xdr:to>
      <xdr:col>7</xdr:col>
      <xdr:colOff>304800</xdr:colOff>
      <xdr:row>1</xdr:row>
      <xdr:rowOff>0</xdr:rowOff>
    </xdr:to>
    <xdr:sp macro="" textlink="">
      <xdr:nvSpPr>
        <xdr:cNvPr id="13" name="Rectángulo 12">
          <a:hlinkClick xmlns:r="http://schemas.openxmlformats.org/officeDocument/2006/relationships" r:id="rId9"/>
        </xdr:cNvPr>
        <xdr:cNvSpPr/>
      </xdr:nvSpPr>
      <xdr:spPr>
        <a:xfrm>
          <a:off x="4190999"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ESTRATEGIAS</a:t>
          </a:r>
        </a:p>
      </xdr:txBody>
    </xdr:sp>
    <xdr:clientData/>
  </xdr:twoCellAnchor>
  <xdr:twoCellAnchor>
    <xdr:from>
      <xdr:col>7</xdr:col>
      <xdr:colOff>333374</xdr:colOff>
      <xdr:row>0</xdr:row>
      <xdr:rowOff>9525</xdr:rowOff>
    </xdr:from>
    <xdr:to>
      <xdr:col>9</xdr:col>
      <xdr:colOff>409575</xdr:colOff>
      <xdr:row>1</xdr:row>
      <xdr:rowOff>0</xdr:rowOff>
    </xdr:to>
    <xdr:sp macro="" textlink="">
      <xdr:nvSpPr>
        <xdr:cNvPr id="14" name="Rectángulo 13">
          <a:hlinkClick xmlns:r="http://schemas.openxmlformats.org/officeDocument/2006/relationships" r:id="rId10"/>
        </xdr:cNvPr>
        <xdr:cNvSpPr/>
      </xdr:nvSpPr>
      <xdr:spPr>
        <a:xfrm>
          <a:off x="5419724"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PROGRAMACIÓN</a:t>
          </a:r>
        </a:p>
      </xdr:txBody>
    </xdr:sp>
    <xdr:clientData/>
  </xdr:twoCellAnchor>
  <xdr:twoCellAnchor>
    <xdr:from>
      <xdr:col>9</xdr:col>
      <xdr:colOff>438149</xdr:colOff>
      <xdr:row>0</xdr:row>
      <xdr:rowOff>9525</xdr:rowOff>
    </xdr:from>
    <xdr:to>
      <xdr:col>11</xdr:col>
      <xdr:colOff>114300</xdr:colOff>
      <xdr:row>1</xdr:row>
      <xdr:rowOff>0</xdr:rowOff>
    </xdr:to>
    <xdr:sp macro="" textlink="">
      <xdr:nvSpPr>
        <xdr:cNvPr id="15" name="Rectángulo 14">
          <a:hlinkClick xmlns:r="http://schemas.openxmlformats.org/officeDocument/2006/relationships" r:id="rId11"/>
        </xdr:cNvPr>
        <xdr:cNvSpPr/>
      </xdr:nvSpPr>
      <xdr:spPr>
        <a:xfrm>
          <a:off x="6648449"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DASHBOARDS</a:t>
          </a:r>
        </a:p>
      </xdr:txBody>
    </xdr:sp>
    <xdr:clientData/>
  </xdr:twoCellAnchor>
  <xdr:twoCellAnchor>
    <xdr:from>
      <xdr:col>12</xdr:col>
      <xdr:colOff>600075</xdr:colOff>
      <xdr:row>1</xdr:row>
      <xdr:rowOff>133350</xdr:rowOff>
    </xdr:from>
    <xdr:to>
      <xdr:col>14</xdr:col>
      <xdr:colOff>514351</xdr:colOff>
      <xdr:row>1</xdr:row>
      <xdr:rowOff>381000</xdr:rowOff>
    </xdr:to>
    <xdr:sp macro="" textlink="">
      <xdr:nvSpPr>
        <xdr:cNvPr id="16" name="Rectángulo 15">
          <a:hlinkClick xmlns:r="http://schemas.openxmlformats.org/officeDocument/2006/relationships" r:id="rId12"/>
        </xdr:cNvPr>
        <xdr:cNvSpPr/>
      </xdr:nvSpPr>
      <xdr:spPr>
        <a:xfrm>
          <a:off x="9096375" y="628650"/>
          <a:ext cx="1438276" cy="24765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FODA</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76201</xdr:colOff>
      <xdr:row>0</xdr:row>
      <xdr:rowOff>47627</xdr:rowOff>
    </xdr:from>
    <xdr:to>
      <xdr:col>2</xdr:col>
      <xdr:colOff>476250</xdr:colOff>
      <xdr:row>0</xdr:row>
      <xdr:rowOff>476250</xdr:rowOff>
    </xdr:to>
    <xdr:pic>
      <xdr:nvPicPr>
        <xdr:cNvPr id="2" name="Imagen 1"/>
        <xdr:cNvPicPr>
          <a:picLocks noChangeAspect="1"/>
        </xdr:cNvPicPr>
      </xdr:nvPicPr>
      <xdr:blipFill rotWithShape="1">
        <a:blip xmlns:r="http://schemas.openxmlformats.org/officeDocument/2006/relationships" r:embed="rId1"/>
        <a:srcRect l="10995" t="55907" r="34962" b="15302"/>
        <a:stretch/>
      </xdr:blipFill>
      <xdr:spPr>
        <a:xfrm>
          <a:off x="76201" y="47627"/>
          <a:ext cx="1466849" cy="428623"/>
        </a:xfrm>
        <a:prstGeom prst="rect">
          <a:avLst/>
        </a:prstGeom>
      </xdr:spPr>
    </xdr:pic>
    <xdr:clientData/>
  </xdr:twoCellAnchor>
  <xdr:twoCellAnchor>
    <xdr:from>
      <xdr:col>2</xdr:col>
      <xdr:colOff>666749</xdr:colOff>
      <xdr:row>0</xdr:row>
      <xdr:rowOff>9525</xdr:rowOff>
    </xdr:from>
    <xdr:to>
      <xdr:col>4</xdr:col>
      <xdr:colOff>133350</xdr:colOff>
      <xdr:row>1</xdr:row>
      <xdr:rowOff>0</xdr:rowOff>
    </xdr:to>
    <xdr:sp macro="" textlink="">
      <xdr:nvSpPr>
        <xdr:cNvPr id="3" name="Rectángulo 2">
          <a:hlinkClick xmlns:r="http://schemas.openxmlformats.org/officeDocument/2006/relationships" r:id="rId2"/>
        </xdr:cNvPr>
        <xdr:cNvSpPr/>
      </xdr:nvSpPr>
      <xdr:spPr>
        <a:xfrm>
          <a:off x="1733549" y="9525"/>
          <a:ext cx="1200151" cy="485775"/>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GENERALIDADES</a:t>
          </a:r>
        </a:p>
      </xdr:txBody>
    </xdr:sp>
    <xdr:clientData/>
  </xdr:twoCellAnchor>
  <xdr:twoCellAnchor>
    <xdr:from>
      <xdr:col>2</xdr:col>
      <xdr:colOff>295274</xdr:colOff>
      <xdr:row>1</xdr:row>
      <xdr:rowOff>133349</xdr:rowOff>
    </xdr:from>
    <xdr:to>
      <xdr:col>3</xdr:col>
      <xdr:colOff>628650</xdr:colOff>
      <xdr:row>2</xdr:row>
      <xdr:rowOff>0</xdr:rowOff>
    </xdr:to>
    <xdr:sp macro="" textlink="">
      <xdr:nvSpPr>
        <xdr:cNvPr id="4" name="Rectángulo 3">
          <a:hlinkClick xmlns:r="http://schemas.openxmlformats.org/officeDocument/2006/relationships" r:id="rId2"/>
        </xdr:cNvPr>
        <xdr:cNvSpPr/>
      </xdr:nvSpPr>
      <xdr:spPr>
        <a:xfrm>
          <a:off x="1362074" y="628649"/>
          <a:ext cx="1123951" cy="257176"/>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ORGANIZACIÓN</a:t>
          </a:r>
        </a:p>
      </xdr:txBody>
    </xdr:sp>
    <xdr:clientData/>
  </xdr:twoCellAnchor>
  <xdr:twoCellAnchor>
    <xdr:from>
      <xdr:col>3</xdr:col>
      <xdr:colOff>704850</xdr:colOff>
      <xdr:row>1</xdr:row>
      <xdr:rowOff>133350</xdr:rowOff>
    </xdr:from>
    <xdr:to>
      <xdr:col>5</xdr:col>
      <xdr:colOff>123826</xdr:colOff>
      <xdr:row>2</xdr:row>
      <xdr:rowOff>1</xdr:rowOff>
    </xdr:to>
    <xdr:sp macro="" textlink="">
      <xdr:nvSpPr>
        <xdr:cNvPr id="5" name="Rectángulo 4">
          <a:hlinkClick xmlns:r="http://schemas.openxmlformats.org/officeDocument/2006/relationships" r:id="rId3"/>
        </xdr:cNvPr>
        <xdr:cNvSpPr/>
      </xdr:nvSpPr>
      <xdr:spPr>
        <a:xfrm>
          <a:off x="2562225" y="628650"/>
          <a:ext cx="1123951" cy="257176"/>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MISIÓN</a:t>
          </a:r>
        </a:p>
      </xdr:txBody>
    </xdr:sp>
    <xdr:clientData/>
  </xdr:twoCellAnchor>
  <xdr:twoCellAnchor>
    <xdr:from>
      <xdr:col>5</xdr:col>
      <xdr:colOff>219075</xdr:colOff>
      <xdr:row>1</xdr:row>
      <xdr:rowOff>133350</xdr:rowOff>
    </xdr:from>
    <xdr:to>
      <xdr:col>6</xdr:col>
      <xdr:colOff>581026</xdr:colOff>
      <xdr:row>2</xdr:row>
      <xdr:rowOff>1</xdr:rowOff>
    </xdr:to>
    <xdr:sp macro="" textlink="">
      <xdr:nvSpPr>
        <xdr:cNvPr id="6" name="Rectángulo 5">
          <a:hlinkClick xmlns:r="http://schemas.openxmlformats.org/officeDocument/2006/relationships" r:id="rId4"/>
        </xdr:cNvPr>
        <xdr:cNvSpPr/>
      </xdr:nvSpPr>
      <xdr:spPr>
        <a:xfrm>
          <a:off x="3781425" y="628650"/>
          <a:ext cx="1123951" cy="257176"/>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VISIÓN</a:t>
          </a:r>
        </a:p>
      </xdr:txBody>
    </xdr:sp>
    <xdr:clientData/>
  </xdr:twoCellAnchor>
  <xdr:twoCellAnchor>
    <xdr:from>
      <xdr:col>6</xdr:col>
      <xdr:colOff>666750</xdr:colOff>
      <xdr:row>1</xdr:row>
      <xdr:rowOff>133350</xdr:rowOff>
    </xdr:from>
    <xdr:to>
      <xdr:col>8</xdr:col>
      <xdr:colOff>666751</xdr:colOff>
      <xdr:row>2</xdr:row>
      <xdr:rowOff>1</xdr:rowOff>
    </xdr:to>
    <xdr:sp macro="" textlink="">
      <xdr:nvSpPr>
        <xdr:cNvPr id="7" name="Rectángulo 6">
          <a:hlinkClick xmlns:r="http://schemas.openxmlformats.org/officeDocument/2006/relationships" r:id="rId5"/>
        </xdr:cNvPr>
        <xdr:cNvSpPr/>
      </xdr:nvSpPr>
      <xdr:spPr>
        <a:xfrm>
          <a:off x="4991100" y="628650"/>
          <a:ext cx="1123951" cy="2571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ysClr val="windowText" lastClr="000000"/>
              </a:solidFill>
            </a:rPr>
            <a:t>VALORES</a:t>
          </a:r>
        </a:p>
      </xdr:txBody>
    </xdr:sp>
    <xdr:clientData/>
  </xdr:twoCellAnchor>
  <xdr:twoCellAnchor>
    <xdr:from>
      <xdr:col>8</xdr:col>
      <xdr:colOff>742950</xdr:colOff>
      <xdr:row>1</xdr:row>
      <xdr:rowOff>142876</xdr:rowOff>
    </xdr:from>
    <xdr:to>
      <xdr:col>10</xdr:col>
      <xdr:colOff>657226</xdr:colOff>
      <xdr:row>2</xdr:row>
      <xdr:rowOff>1</xdr:rowOff>
    </xdr:to>
    <xdr:sp macro="" textlink="">
      <xdr:nvSpPr>
        <xdr:cNvPr id="8" name="Rectángulo 7">
          <a:hlinkClick xmlns:r="http://schemas.openxmlformats.org/officeDocument/2006/relationships" r:id="rId6"/>
        </xdr:cNvPr>
        <xdr:cNvSpPr/>
      </xdr:nvSpPr>
      <xdr:spPr>
        <a:xfrm>
          <a:off x="6191250" y="638176"/>
          <a:ext cx="1438276" cy="24765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MAPA</a:t>
          </a:r>
          <a:r>
            <a:rPr lang="es-EC" sz="1100" b="1" baseline="0">
              <a:solidFill>
                <a:schemeClr val="bg1"/>
              </a:solidFill>
            </a:rPr>
            <a:t> DE PROCESOS</a:t>
          </a:r>
          <a:endParaRPr lang="es-EC" sz="1100" b="1">
            <a:solidFill>
              <a:schemeClr val="bg1"/>
            </a:solidFill>
          </a:endParaRPr>
        </a:p>
      </xdr:txBody>
    </xdr:sp>
    <xdr:clientData/>
  </xdr:twoCellAnchor>
  <xdr:twoCellAnchor>
    <xdr:from>
      <xdr:col>10</xdr:col>
      <xdr:colOff>714375</xdr:colOff>
      <xdr:row>1</xdr:row>
      <xdr:rowOff>142875</xdr:rowOff>
    </xdr:from>
    <xdr:to>
      <xdr:col>12</xdr:col>
      <xdr:colOff>628651</xdr:colOff>
      <xdr:row>2</xdr:row>
      <xdr:rowOff>0</xdr:rowOff>
    </xdr:to>
    <xdr:sp macro="" textlink="">
      <xdr:nvSpPr>
        <xdr:cNvPr id="9" name="Rectángulo 8">
          <a:hlinkClick xmlns:r="http://schemas.openxmlformats.org/officeDocument/2006/relationships" r:id="rId7"/>
        </xdr:cNvPr>
        <xdr:cNvSpPr/>
      </xdr:nvSpPr>
      <xdr:spPr>
        <a:xfrm>
          <a:off x="7686675" y="638175"/>
          <a:ext cx="1438276" cy="24765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PERFIL</a:t>
          </a:r>
          <a:r>
            <a:rPr lang="es-EC" sz="1100" b="1" baseline="0">
              <a:solidFill>
                <a:schemeClr val="bg1"/>
              </a:solidFill>
            </a:rPr>
            <a:t> COMPETITIVO</a:t>
          </a:r>
          <a:endParaRPr lang="es-EC" sz="1100" b="1">
            <a:solidFill>
              <a:schemeClr val="bg1"/>
            </a:solidFill>
          </a:endParaRPr>
        </a:p>
      </xdr:txBody>
    </xdr:sp>
    <xdr:clientData/>
  </xdr:twoCellAnchor>
  <xdr:twoCellAnchor>
    <xdr:from>
      <xdr:col>4</xdr:col>
      <xdr:colOff>161924</xdr:colOff>
      <xdr:row>0</xdr:row>
      <xdr:rowOff>9525</xdr:rowOff>
    </xdr:from>
    <xdr:to>
      <xdr:col>5</xdr:col>
      <xdr:colOff>600075</xdr:colOff>
      <xdr:row>1</xdr:row>
      <xdr:rowOff>0</xdr:rowOff>
    </xdr:to>
    <xdr:sp macro="" textlink="">
      <xdr:nvSpPr>
        <xdr:cNvPr id="12" name="Rectángulo 11">
          <a:hlinkClick xmlns:r="http://schemas.openxmlformats.org/officeDocument/2006/relationships" r:id="rId8"/>
        </xdr:cNvPr>
        <xdr:cNvSpPr/>
      </xdr:nvSpPr>
      <xdr:spPr>
        <a:xfrm>
          <a:off x="2962274"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OBJETIVOS</a:t>
          </a:r>
        </a:p>
      </xdr:txBody>
    </xdr:sp>
    <xdr:clientData/>
  </xdr:twoCellAnchor>
  <xdr:twoCellAnchor>
    <xdr:from>
      <xdr:col>5</xdr:col>
      <xdr:colOff>628649</xdr:colOff>
      <xdr:row>0</xdr:row>
      <xdr:rowOff>9525</xdr:rowOff>
    </xdr:from>
    <xdr:to>
      <xdr:col>7</xdr:col>
      <xdr:colOff>304800</xdr:colOff>
      <xdr:row>1</xdr:row>
      <xdr:rowOff>0</xdr:rowOff>
    </xdr:to>
    <xdr:sp macro="" textlink="">
      <xdr:nvSpPr>
        <xdr:cNvPr id="13" name="Rectángulo 12">
          <a:hlinkClick xmlns:r="http://schemas.openxmlformats.org/officeDocument/2006/relationships" r:id="rId9"/>
        </xdr:cNvPr>
        <xdr:cNvSpPr/>
      </xdr:nvSpPr>
      <xdr:spPr>
        <a:xfrm>
          <a:off x="4190999"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ESTRATEGIAS</a:t>
          </a:r>
        </a:p>
      </xdr:txBody>
    </xdr:sp>
    <xdr:clientData/>
  </xdr:twoCellAnchor>
  <xdr:twoCellAnchor>
    <xdr:from>
      <xdr:col>7</xdr:col>
      <xdr:colOff>333374</xdr:colOff>
      <xdr:row>0</xdr:row>
      <xdr:rowOff>9525</xdr:rowOff>
    </xdr:from>
    <xdr:to>
      <xdr:col>9</xdr:col>
      <xdr:colOff>409575</xdr:colOff>
      <xdr:row>1</xdr:row>
      <xdr:rowOff>0</xdr:rowOff>
    </xdr:to>
    <xdr:sp macro="" textlink="">
      <xdr:nvSpPr>
        <xdr:cNvPr id="14" name="Rectángulo 13">
          <a:hlinkClick xmlns:r="http://schemas.openxmlformats.org/officeDocument/2006/relationships" r:id="rId10"/>
        </xdr:cNvPr>
        <xdr:cNvSpPr/>
      </xdr:nvSpPr>
      <xdr:spPr>
        <a:xfrm>
          <a:off x="5419724"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PROGRAMACIÓN</a:t>
          </a:r>
        </a:p>
      </xdr:txBody>
    </xdr:sp>
    <xdr:clientData/>
  </xdr:twoCellAnchor>
  <xdr:twoCellAnchor>
    <xdr:from>
      <xdr:col>9</xdr:col>
      <xdr:colOff>438149</xdr:colOff>
      <xdr:row>0</xdr:row>
      <xdr:rowOff>9525</xdr:rowOff>
    </xdr:from>
    <xdr:to>
      <xdr:col>11</xdr:col>
      <xdr:colOff>114300</xdr:colOff>
      <xdr:row>1</xdr:row>
      <xdr:rowOff>0</xdr:rowOff>
    </xdr:to>
    <xdr:sp macro="" textlink="">
      <xdr:nvSpPr>
        <xdr:cNvPr id="15" name="Rectángulo 14">
          <a:hlinkClick xmlns:r="http://schemas.openxmlformats.org/officeDocument/2006/relationships" r:id="rId11"/>
        </xdr:cNvPr>
        <xdr:cNvSpPr/>
      </xdr:nvSpPr>
      <xdr:spPr>
        <a:xfrm>
          <a:off x="6648449"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DASHBOARDS</a:t>
          </a:r>
        </a:p>
      </xdr:txBody>
    </xdr:sp>
    <xdr:clientData/>
  </xdr:twoCellAnchor>
  <xdr:twoCellAnchor>
    <xdr:from>
      <xdr:col>12</xdr:col>
      <xdr:colOff>561975</xdr:colOff>
      <xdr:row>1</xdr:row>
      <xdr:rowOff>133350</xdr:rowOff>
    </xdr:from>
    <xdr:to>
      <xdr:col>14</xdr:col>
      <xdr:colOff>472310</xdr:colOff>
      <xdr:row>1</xdr:row>
      <xdr:rowOff>381000</xdr:rowOff>
    </xdr:to>
    <xdr:sp macro="" textlink="">
      <xdr:nvSpPr>
        <xdr:cNvPr id="16" name="Rectángulo 15">
          <a:hlinkClick xmlns:r="http://schemas.openxmlformats.org/officeDocument/2006/relationships" r:id="rId12"/>
        </xdr:cNvPr>
        <xdr:cNvSpPr/>
      </xdr:nvSpPr>
      <xdr:spPr>
        <a:xfrm>
          <a:off x="9058275" y="628650"/>
          <a:ext cx="1434335" cy="24765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FODA</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666749</xdr:colOff>
      <xdr:row>0</xdr:row>
      <xdr:rowOff>9525</xdr:rowOff>
    </xdr:from>
    <xdr:to>
      <xdr:col>4</xdr:col>
      <xdr:colOff>133350</xdr:colOff>
      <xdr:row>1</xdr:row>
      <xdr:rowOff>0</xdr:rowOff>
    </xdr:to>
    <xdr:sp macro="" textlink="">
      <xdr:nvSpPr>
        <xdr:cNvPr id="3" name="Rectángulo 2">
          <a:hlinkClick xmlns:r="http://schemas.openxmlformats.org/officeDocument/2006/relationships" r:id="rId1"/>
        </xdr:cNvPr>
        <xdr:cNvSpPr/>
      </xdr:nvSpPr>
      <xdr:spPr>
        <a:xfrm>
          <a:off x="1733549" y="9525"/>
          <a:ext cx="1200151" cy="485775"/>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GENERALIDADES</a:t>
          </a:r>
        </a:p>
      </xdr:txBody>
    </xdr:sp>
    <xdr:clientData/>
  </xdr:twoCellAnchor>
  <xdr:twoCellAnchor>
    <xdr:from>
      <xdr:col>2</xdr:col>
      <xdr:colOff>295274</xdr:colOff>
      <xdr:row>1</xdr:row>
      <xdr:rowOff>133349</xdr:rowOff>
    </xdr:from>
    <xdr:to>
      <xdr:col>3</xdr:col>
      <xdr:colOff>628650</xdr:colOff>
      <xdr:row>2</xdr:row>
      <xdr:rowOff>0</xdr:rowOff>
    </xdr:to>
    <xdr:sp macro="" textlink="">
      <xdr:nvSpPr>
        <xdr:cNvPr id="4" name="Rectángulo 3">
          <a:hlinkClick xmlns:r="http://schemas.openxmlformats.org/officeDocument/2006/relationships" r:id="rId1"/>
        </xdr:cNvPr>
        <xdr:cNvSpPr/>
      </xdr:nvSpPr>
      <xdr:spPr>
        <a:xfrm>
          <a:off x="1362074" y="628649"/>
          <a:ext cx="1123951" cy="257176"/>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ORGANIZACIÓN</a:t>
          </a:r>
        </a:p>
      </xdr:txBody>
    </xdr:sp>
    <xdr:clientData/>
  </xdr:twoCellAnchor>
  <xdr:twoCellAnchor>
    <xdr:from>
      <xdr:col>3</xdr:col>
      <xdr:colOff>704850</xdr:colOff>
      <xdr:row>1</xdr:row>
      <xdr:rowOff>133350</xdr:rowOff>
    </xdr:from>
    <xdr:to>
      <xdr:col>5</xdr:col>
      <xdr:colOff>123826</xdr:colOff>
      <xdr:row>2</xdr:row>
      <xdr:rowOff>1</xdr:rowOff>
    </xdr:to>
    <xdr:sp macro="" textlink="">
      <xdr:nvSpPr>
        <xdr:cNvPr id="5" name="Rectángulo 4">
          <a:hlinkClick xmlns:r="http://schemas.openxmlformats.org/officeDocument/2006/relationships" r:id="rId2"/>
        </xdr:cNvPr>
        <xdr:cNvSpPr/>
      </xdr:nvSpPr>
      <xdr:spPr>
        <a:xfrm>
          <a:off x="2562225" y="628650"/>
          <a:ext cx="1123951" cy="257176"/>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MISIÓN</a:t>
          </a:r>
        </a:p>
      </xdr:txBody>
    </xdr:sp>
    <xdr:clientData/>
  </xdr:twoCellAnchor>
  <xdr:twoCellAnchor>
    <xdr:from>
      <xdr:col>5</xdr:col>
      <xdr:colOff>219075</xdr:colOff>
      <xdr:row>1</xdr:row>
      <xdr:rowOff>133350</xdr:rowOff>
    </xdr:from>
    <xdr:to>
      <xdr:col>6</xdr:col>
      <xdr:colOff>581026</xdr:colOff>
      <xdr:row>2</xdr:row>
      <xdr:rowOff>1</xdr:rowOff>
    </xdr:to>
    <xdr:sp macro="" textlink="">
      <xdr:nvSpPr>
        <xdr:cNvPr id="6" name="Rectángulo 5">
          <a:hlinkClick xmlns:r="http://schemas.openxmlformats.org/officeDocument/2006/relationships" r:id="rId3"/>
        </xdr:cNvPr>
        <xdr:cNvSpPr/>
      </xdr:nvSpPr>
      <xdr:spPr>
        <a:xfrm>
          <a:off x="3781425" y="628650"/>
          <a:ext cx="1123951" cy="257176"/>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VISIÓN</a:t>
          </a:r>
        </a:p>
      </xdr:txBody>
    </xdr:sp>
    <xdr:clientData/>
  </xdr:twoCellAnchor>
  <xdr:twoCellAnchor>
    <xdr:from>
      <xdr:col>6</xdr:col>
      <xdr:colOff>666750</xdr:colOff>
      <xdr:row>1</xdr:row>
      <xdr:rowOff>133350</xdr:rowOff>
    </xdr:from>
    <xdr:to>
      <xdr:col>8</xdr:col>
      <xdr:colOff>666751</xdr:colOff>
      <xdr:row>2</xdr:row>
      <xdr:rowOff>1</xdr:rowOff>
    </xdr:to>
    <xdr:sp macro="" textlink="">
      <xdr:nvSpPr>
        <xdr:cNvPr id="7" name="Rectángulo 6">
          <a:hlinkClick xmlns:r="http://schemas.openxmlformats.org/officeDocument/2006/relationships" r:id="rId4"/>
        </xdr:cNvPr>
        <xdr:cNvSpPr/>
      </xdr:nvSpPr>
      <xdr:spPr>
        <a:xfrm>
          <a:off x="4991100" y="628650"/>
          <a:ext cx="1123951" cy="257176"/>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VALORES</a:t>
          </a:r>
        </a:p>
      </xdr:txBody>
    </xdr:sp>
    <xdr:clientData/>
  </xdr:twoCellAnchor>
  <xdr:twoCellAnchor>
    <xdr:from>
      <xdr:col>8</xdr:col>
      <xdr:colOff>742950</xdr:colOff>
      <xdr:row>1</xdr:row>
      <xdr:rowOff>142876</xdr:rowOff>
    </xdr:from>
    <xdr:to>
      <xdr:col>10</xdr:col>
      <xdr:colOff>657226</xdr:colOff>
      <xdr:row>2</xdr:row>
      <xdr:rowOff>1</xdr:rowOff>
    </xdr:to>
    <xdr:sp macro="" textlink="">
      <xdr:nvSpPr>
        <xdr:cNvPr id="8" name="Rectángulo 7">
          <a:hlinkClick xmlns:r="http://schemas.openxmlformats.org/officeDocument/2006/relationships" r:id="rId5"/>
        </xdr:cNvPr>
        <xdr:cNvSpPr/>
      </xdr:nvSpPr>
      <xdr:spPr>
        <a:xfrm>
          <a:off x="6191250" y="638176"/>
          <a:ext cx="1438276" cy="247650"/>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ysClr val="windowText" lastClr="000000"/>
              </a:solidFill>
            </a:rPr>
            <a:t>MAPA</a:t>
          </a:r>
          <a:r>
            <a:rPr lang="es-EC" sz="1100" b="1" baseline="0">
              <a:solidFill>
                <a:sysClr val="windowText" lastClr="000000"/>
              </a:solidFill>
            </a:rPr>
            <a:t> DE PROCESOS</a:t>
          </a:r>
          <a:endParaRPr lang="es-EC" sz="1100" b="1">
            <a:solidFill>
              <a:sysClr val="windowText" lastClr="000000"/>
            </a:solidFill>
          </a:endParaRPr>
        </a:p>
      </xdr:txBody>
    </xdr:sp>
    <xdr:clientData/>
  </xdr:twoCellAnchor>
  <xdr:twoCellAnchor editAs="oneCell">
    <xdr:from>
      <xdr:col>0</xdr:col>
      <xdr:colOff>76200</xdr:colOff>
      <xdr:row>0</xdr:row>
      <xdr:rowOff>47625</xdr:rowOff>
    </xdr:from>
    <xdr:to>
      <xdr:col>2</xdr:col>
      <xdr:colOff>476249</xdr:colOff>
      <xdr:row>0</xdr:row>
      <xdr:rowOff>476248</xdr:rowOff>
    </xdr:to>
    <xdr:pic>
      <xdr:nvPicPr>
        <xdr:cNvPr id="9" name="Imagen 8"/>
        <xdr:cNvPicPr>
          <a:picLocks noChangeAspect="1"/>
        </xdr:cNvPicPr>
      </xdr:nvPicPr>
      <xdr:blipFill rotWithShape="1">
        <a:blip xmlns:r="http://schemas.openxmlformats.org/officeDocument/2006/relationships" r:embed="rId6"/>
        <a:srcRect l="10995" t="55907" r="34962" b="15302"/>
        <a:stretch/>
      </xdr:blipFill>
      <xdr:spPr>
        <a:xfrm>
          <a:off x="76200" y="47625"/>
          <a:ext cx="1466849" cy="42862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0</xdr:colOff>
          <xdr:row>9</xdr:row>
          <xdr:rowOff>0</xdr:rowOff>
        </xdr:from>
        <xdr:to>
          <xdr:col>14</xdr:col>
          <xdr:colOff>0</xdr:colOff>
          <xdr:row>44</xdr:row>
          <xdr:rowOff>66675</xdr:rowOff>
        </xdr:to>
        <xdr:sp macro="" textlink="">
          <xdr:nvSpPr>
            <xdr:cNvPr id="10241" name="Object 1" hidden="1">
              <a:extLst>
                <a:ext uri="{63B3BB69-23CF-44E3-9099-C40C66FF867C}">
                  <a14:compatExt spid="_x0000_s1024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10</xdr:col>
      <xdr:colOff>714375</xdr:colOff>
      <xdr:row>1</xdr:row>
      <xdr:rowOff>142875</xdr:rowOff>
    </xdr:from>
    <xdr:to>
      <xdr:col>12</xdr:col>
      <xdr:colOff>628651</xdr:colOff>
      <xdr:row>2</xdr:row>
      <xdr:rowOff>0</xdr:rowOff>
    </xdr:to>
    <xdr:sp macro="" textlink="">
      <xdr:nvSpPr>
        <xdr:cNvPr id="11" name="Rectángulo 10">
          <a:hlinkClick xmlns:r="http://schemas.openxmlformats.org/officeDocument/2006/relationships" r:id="rId7"/>
        </xdr:cNvPr>
        <xdr:cNvSpPr/>
      </xdr:nvSpPr>
      <xdr:spPr>
        <a:xfrm>
          <a:off x="7686675" y="638175"/>
          <a:ext cx="1438276" cy="24765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PERFIL</a:t>
          </a:r>
          <a:r>
            <a:rPr lang="es-EC" sz="1100" b="1" baseline="0">
              <a:solidFill>
                <a:schemeClr val="bg1"/>
              </a:solidFill>
            </a:rPr>
            <a:t> COMPETITIVO</a:t>
          </a:r>
          <a:endParaRPr lang="es-EC" sz="1100" b="1">
            <a:solidFill>
              <a:schemeClr val="bg1"/>
            </a:solidFill>
          </a:endParaRPr>
        </a:p>
      </xdr:txBody>
    </xdr:sp>
    <xdr:clientData/>
  </xdr:twoCellAnchor>
  <xdr:twoCellAnchor>
    <xdr:from>
      <xdr:col>4</xdr:col>
      <xdr:colOff>161924</xdr:colOff>
      <xdr:row>0</xdr:row>
      <xdr:rowOff>9525</xdr:rowOff>
    </xdr:from>
    <xdr:to>
      <xdr:col>5</xdr:col>
      <xdr:colOff>600075</xdr:colOff>
      <xdr:row>1</xdr:row>
      <xdr:rowOff>0</xdr:rowOff>
    </xdr:to>
    <xdr:sp macro="" textlink="">
      <xdr:nvSpPr>
        <xdr:cNvPr id="14" name="Rectángulo 13">
          <a:hlinkClick xmlns:r="http://schemas.openxmlformats.org/officeDocument/2006/relationships" r:id="rId8"/>
        </xdr:cNvPr>
        <xdr:cNvSpPr/>
      </xdr:nvSpPr>
      <xdr:spPr>
        <a:xfrm>
          <a:off x="2962274"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OBJETIVOS</a:t>
          </a:r>
        </a:p>
      </xdr:txBody>
    </xdr:sp>
    <xdr:clientData/>
  </xdr:twoCellAnchor>
  <xdr:twoCellAnchor>
    <xdr:from>
      <xdr:col>5</xdr:col>
      <xdr:colOff>628649</xdr:colOff>
      <xdr:row>0</xdr:row>
      <xdr:rowOff>9525</xdr:rowOff>
    </xdr:from>
    <xdr:to>
      <xdr:col>7</xdr:col>
      <xdr:colOff>304800</xdr:colOff>
      <xdr:row>1</xdr:row>
      <xdr:rowOff>0</xdr:rowOff>
    </xdr:to>
    <xdr:sp macro="" textlink="">
      <xdr:nvSpPr>
        <xdr:cNvPr id="15" name="Rectángulo 14">
          <a:hlinkClick xmlns:r="http://schemas.openxmlformats.org/officeDocument/2006/relationships" r:id="rId9"/>
        </xdr:cNvPr>
        <xdr:cNvSpPr/>
      </xdr:nvSpPr>
      <xdr:spPr>
        <a:xfrm>
          <a:off x="4190999"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ESTRATEGIAS</a:t>
          </a:r>
        </a:p>
      </xdr:txBody>
    </xdr:sp>
    <xdr:clientData/>
  </xdr:twoCellAnchor>
  <xdr:twoCellAnchor>
    <xdr:from>
      <xdr:col>7</xdr:col>
      <xdr:colOff>333374</xdr:colOff>
      <xdr:row>0</xdr:row>
      <xdr:rowOff>9525</xdr:rowOff>
    </xdr:from>
    <xdr:to>
      <xdr:col>9</xdr:col>
      <xdr:colOff>409575</xdr:colOff>
      <xdr:row>1</xdr:row>
      <xdr:rowOff>0</xdr:rowOff>
    </xdr:to>
    <xdr:sp macro="" textlink="">
      <xdr:nvSpPr>
        <xdr:cNvPr id="16" name="Rectángulo 15">
          <a:hlinkClick xmlns:r="http://schemas.openxmlformats.org/officeDocument/2006/relationships" r:id="rId10"/>
        </xdr:cNvPr>
        <xdr:cNvSpPr/>
      </xdr:nvSpPr>
      <xdr:spPr>
        <a:xfrm>
          <a:off x="5419724"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PROGRAMACIÓN</a:t>
          </a:r>
        </a:p>
      </xdr:txBody>
    </xdr:sp>
    <xdr:clientData/>
  </xdr:twoCellAnchor>
  <xdr:twoCellAnchor>
    <xdr:from>
      <xdr:col>9</xdr:col>
      <xdr:colOff>438149</xdr:colOff>
      <xdr:row>0</xdr:row>
      <xdr:rowOff>9525</xdr:rowOff>
    </xdr:from>
    <xdr:to>
      <xdr:col>11</xdr:col>
      <xdr:colOff>114300</xdr:colOff>
      <xdr:row>1</xdr:row>
      <xdr:rowOff>0</xdr:rowOff>
    </xdr:to>
    <xdr:sp macro="" textlink="">
      <xdr:nvSpPr>
        <xdr:cNvPr id="17" name="Rectángulo 16">
          <a:hlinkClick xmlns:r="http://schemas.openxmlformats.org/officeDocument/2006/relationships" r:id="rId11"/>
        </xdr:cNvPr>
        <xdr:cNvSpPr/>
      </xdr:nvSpPr>
      <xdr:spPr>
        <a:xfrm>
          <a:off x="6648449"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DASHBOARDS</a:t>
          </a:r>
        </a:p>
      </xdr:txBody>
    </xdr:sp>
    <xdr:clientData/>
  </xdr:twoCellAnchor>
  <xdr:twoCellAnchor>
    <xdr:from>
      <xdr:col>12</xdr:col>
      <xdr:colOff>666750</xdr:colOff>
      <xdr:row>1</xdr:row>
      <xdr:rowOff>133350</xdr:rowOff>
    </xdr:from>
    <xdr:to>
      <xdr:col>14</xdr:col>
      <xdr:colOff>581026</xdr:colOff>
      <xdr:row>1</xdr:row>
      <xdr:rowOff>381000</xdr:rowOff>
    </xdr:to>
    <xdr:sp macro="" textlink="">
      <xdr:nvSpPr>
        <xdr:cNvPr id="18" name="Rectángulo 17">
          <a:hlinkClick xmlns:r="http://schemas.openxmlformats.org/officeDocument/2006/relationships" r:id="rId12"/>
        </xdr:cNvPr>
        <xdr:cNvSpPr/>
      </xdr:nvSpPr>
      <xdr:spPr>
        <a:xfrm>
          <a:off x="9163050" y="628650"/>
          <a:ext cx="1438276" cy="24765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FODA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295274</xdr:colOff>
      <xdr:row>1</xdr:row>
      <xdr:rowOff>133349</xdr:rowOff>
    </xdr:from>
    <xdr:to>
      <xdr:col>3</xdr:col>
      <xdr:colOff>628650</xdr:colOff>
      <xdr:row>2</xdr:row>
      <xdr:rowOff>0</xdr:rowOff>
    </xdr:to>
    <xdr:sp macro="" textlink="">
      <xdr:nvSpPr>
        <xdr:cNvPr id="4" name="Rectángulo 3">
          <a:hlinkClick xmlns:r="http://schemas.openxmlformats.org/officeDocument/2006/relationships" r:id="rId1"/>
        </xdr:cNvPr>
        <xdr:cNvSpPr/>
      </xdr:nvSpPr>
      <xdr:spPr>
        <a:xfrm>
          <a:off x="1362074" y="628649"/>
          <a:ext cx="1123951" cy="257176"/>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ORGANIZACIÓN</a:t>
          </a:r>
        </a:p>
      </xdr:txBody>
    </xdr:sp>
    <xdr:clientData/>
  </xdr:twoCellAnchor>
  <xdr:twoCellAnchor>
    <xdr:from>
      <xdr:col>3</xdr:col>
      <xdr:colOff>704850</xdr:colOff>
      <xdr:row>1</xdr:row>
      <xdr:rowOff>133350</xdr:rowOff>
    </xdr:from>
    <xdr:to>
      <xdr:col>5</xdr:col>
      <xdr:colOff>123826</xdr:colOff>
      <xdr:row>2</xdr:row>
      <xdr:rowOff>1</xdr:rowOff>
    </xdr:to>
    <xdr:sp macro="" textlink="">
      <xdr:nvSpPr>
        <xdr:cNvPr id="5" name="Rectángulo 4">
          <a:hlinkClick xmlns:r="http://schemas.openxmlformats.org/officeDocument/2006/relationships" r:id="rId2"/>
        </xdr:cNvPr>
        <xdr:cNvSpPr/>
      </xdr:nvSpPr>
      <xdr:spPr>
        <a:xfrm>
          <a:off x="2562225" y="628650"/>
          <a:ext cx="1123951" cy="257176"/>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MISIÓN</a:t>
          </a:r>
        </a:p>
      </xdr:txBody>
    </xdr:sp>
    <xdr:clientData/>
  </xdr:twoCellAnchor>
  <xdr:twoCellAnchor>
    <xdr:from>
      <xdr:col>5</xdr:col>
      <xdr:colOff>219075</xdr:colOff>
      <xdr:row>1</xdr:row>
      <xdr:rowOff>133350</xdr:rowOff>
    </xdr:from>
    <xdr:to>
      <xdr:col>6</xdr:col>
      <xdr:colOff>581026</xdr:colOff>
      <xdr:row>2</xdr:row>
      <xdr:rowOff>1</xdr:rowOff>
    </xdr:to>
    <xdr:sp macro="" textlink="">
      <xdr:nvSpPr>
        <xdr:cNvPr id="6" name="Rectángulo 5">
          <a:hlinkClick xmlns:r="http://schemas.openxmlformats.org/officeDocument/2006/relationships" r:id="rId3"/>
        </xdr:cNvPr>
        <xdr:cNvSpPr/>
      </xdr:nvSpPr>
      <xdr:spPr>
        <a:xfrm>
          <a:off x="3781425" y="628650"/>
          <a:ext cx="1123951" cy="257176"/>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VISIÓN</a:t>
          </a:r>
        </a:p>
      </xdr:txBody>
    </xdr:sp>
    <xdr:clientData/>
  </xdr:twoCellAnchor>
  <xdr:twoCellAnchor>
    <xdr:from>
      <xdr:col>6</xdr:col>
      <xdr:colOff>666750</xdr:colOff>
      <xdr:row>1</xdr:row>
      <xdr:rowOff>133350</xdr:rowOff>
    </xdr:from>
    <xdr:to>
      <xdr:col>8</xdr:col>
      <xdr:colOff>666751</xdr:colOff>
      <xdr:row>2</xdr:row>
      <xdr:rowOff>1</xdr:rowOff>
    </xdr:to>
    <xdr:sp macro="" textlink="">
      <xdr:nvSpPr>
        <xdr:cNvPr id="7" name="Rectángulo 6">
          <a:hlinkClick xmlns:r="http://schemas.openxmlformats.org/officeDocument/2006/relationships" r:id="rId4"/>
        </xdr:cNvPr>
        <xdr:cNvSpPr/>
      </xdr:nvSpPr>
      <xdr:spPr>
        <a:xfrm>
          <a:off x="4991100" y="628650"/>
          <a:ext cx="1123951" cy="257176"/>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VALORES</a:t>
          </a:r>
        </a:p>
      </xdr:txBody>
    </xdr:sp>
    <xdr:clientData/>
  </xdr:twoCellAnchor>
  <xdr:twoCellAnchor>
    <xdr:from>
      <xdr:col>8</xdr:col>
      <xdr:colOff>742950</xdr:colOff>
      <xdr:row>1</xdr:row>
      <xdr:rowOff>142876</xdr:rowOff>
    </xdr:from>
    <xdr:to>
      <xdr:col>10</xdr:col>
      <xdr:colOff>657226</xdr:colOff>
      <xdr:row>2</xdr:row>
      <xdr:rowOff>1</xdr:rowOff>
    </xdr:to>
    <xdr:sp macro="" textlink="">
      <xdr:nvSpPr>
        <xdr:cNvPr id="8" name="Rectángulo 7">
          <a:hlinkClick xmlns:r="http://schemas.openxmlformats.org/officeDocument/2006/relationships" r:id="rId5"/>
        </xdr:cNvPr>
        <xdr:cNvSpPr/>
      </xdr:nvSpPr>
      <xdr:spPr>
        <a:xfrm>
          <a:off x="6191250" y="638176"/>
          <a:ext cx="1438276" cy="24765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MAPA</a:t>
          </a:r>
          <a:r>
            <a:rPr lang="es-EC" sz="1100" b="1" baseline="0">
              <a:solidFill>
                <a:schemeClr val="bg1"/>
              </a:solidFill>
            </a:rPr>
            <a:t> DE PROCESOS</a:t>
          </a:r>
          <a:endParaRPr lang="es-EC" sz="1100" b="1">
            <a:solidFill>
              <a:schemeClr val="bg1"/>
            </a:solidFill>
          </a:endParaRPr>
        </a:p>
      </xdr:txBody>
    </xdr:sp>
    <xdr:clientData/>
  </xdr:twoCellAnchor>
  <xdr:twoCellAnchor>
    <xdr:from>
      <xdr:col>10</xdr:col>
      <xdr:colOff>714375</xdr:colOff>
      <xdr:row>1</xdr:row>
      <xdr:rowOff>142876</xdr:rowOff>
    </xdr:from>
    <xdr:to>
      <xdr:col>12</xdr:col>
      <xdr:colOff>628651</xdr:colOff>
      <xdr:row>2</xdr:row>
      <xdr:rowOff>1</xdr:rowOff>
    </xdr:to>
    <xdr:sp macro="" textlink="">
      <xdr:nvSpPr>
        <xdr:cNvPr id="9" name="Rectángulo 8">
          <a:hlinkClick xmlns:r="http://schemas.openxmlformats.org/officeDocument/2006/relationships" r:id="rId6"/>
        </xdr:cNvPr>
        <xdr:cNvSpPr/>
      </xdr:nvSpPr>
      <xdr:spPr>
        <a:xfrm>
          <a:off x="7686675" y="638176"/>
          <a:ext cx="1438276" cy="247650"/>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ysClr val="windowText" lastClr="000000"/>
              </a:solidFill>
            </a:rPr>
            <a:t>PERFIL</a:t>
          </a:r>
          <a:r>
            <a:rPr lang="es-EC" sz="1100" b="1" baseline="0">
              <a:solidFill>
                <a:sysClr val="windowText" lastClr="000000"/>
              </a:solidFill>
            </a:rPr>
            <a:t> COMPETITIVO</a:t>
          </a:r>
          <a:endParaRPr lang="es-EC" sz="1100" b="1">
            <a:solidFill>
              <a:sysClr val="windowText" lastClr="000000"/>
            </a:solidFill>
          </a:endParaRPr>
        </a:p>
      </xdr:txBody>
    </xdr:sp>
    <xdr:clientData/>
  </xdr:twoCellAnchor>
  <xdr:twoCellAnchor editAs="oneCell">
    <xdr:from>
      <xdr:col>0</xdr:col>
      <xdr:colOff>76201</xdr:colOff>
      <xdr:row>0</xdr:row>
      <xdr:rowOff>47625</xdr:rowOff>
    </xdr:from>
    <xdr:to>
      <xdr:col>2</xdr:col>
      <xdr:colOff>476250</xdr:colOff>
      <xdr:row>0</xdr:row>
      <xdr:rowOff>466724</xdr:rowOff>
    </xdr:to>
    <xdr:pic>
      <xdr:nvPicPr>
        <xdr:cNvPr id="11" name="Imagen 10"/>
        <xdr:cNvPicPr>
          <a:picLocks noChangeAspect="1"/>
        </xdr:cNvPicPr>
      </xdr:nvPicPr>
      <xdr:blipFill rotWithShape="1">
        <a:blip xmlns:r="http://schemas.openxmlformats.org/officeDocument/2006/relationships" r:embed="rId7"/>
        <a:srcRect l="10995" t="55907" r="34962" b="15302"/>
        <a:stretch/>
      </xdr:blipFill>
      <xdr:spPr>
        <a:xfrm>
          <a:off x="76201" y="47625"/>
          <a:ext cx="1466849" cy="419099"/>
        </a:xfrm>
        <a:prstGeom prst="rect">
          <a:avLst/>
        </a:prstGeom>
      </xdr:spPr>
    </xdr:pic>
    <xdr:clientData/>
  </xdr:twoCellAnchor>
  <xdr:twoCellAnchor>
    <xdr:from>
      <xdr:col>2</xdr:col>
      <xdr:colOff>666749</xdr:colOff>
      <xdr:row>0</xdr:row>
      <xdr:rowOff>9525</xdr:rowOff>
    </xdr:from>
    <xdr:to>
      <xdr:col>4</xdr:col>
      <xdr:colOff>133350</xdr:colOff>
      <xdr:row>1</xdr:row>
      <xdr:rowOff>0</xdr:rowOff>
    </xdr:to>
    <xdr:sp macro="" textlink="">
      <xdr:nvSpPr>
        <xdr:cNvPr id="12" name="Rectángulo 11">
          <a:hlinkClick xmlns:r="http://schemas.openxmlformats.org/officeDocument/2006/relationships" r:id="rId1"/>
        </xdr:cNvPr>
        <xdr:cNvSpPr/>
      </xdr:nvSpPr>
      <xdr:spPr>
        <a:xfrm>
          <a:off x="1733549" y="9525"/>
          <a:ext cx="1200151" cy="485775"/>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GENERALIDADES</a:t>
          </a:r>
        </a:p>
      </xdr:txBody>
    </xdr:sp>
    <xdr:clientData/>
  </xdr:twoCellAnchor>
  <xdr:twoCellAnchor>
    <xdr:from>
      <xdr:col>4</xdr:col>
      <xdr:colOff>161924</xdr:colOff>
      <xdr:row>0</xdr:row>
      <xdr:rowOff>9525</xdr:rowOff>
    </xdr:from>
    <xdr:to>
      <xdr:col>5</xdr:col>
      <xdr:colOff>600075</xdr:colOff>
      <xdr:row>1</xdr:row>
      <xdr:rowOff>0</xdr:rowOff>
    </xdr:to>
    <xdr:sp macro="" textlink="">
      <xdr:nvSpPr>
        <xdr:cNvPr id="13" name="Rectángulo 12">
          <a:hlinkClick xmlns:r="http://schemas.openxmlformats.org/officeDocument/2006/relationships" r:id="rId8"/>
        </xdr:cNvPr>
        <xdr:cNvSpPr/>
      </xdr:nvSpPr>
      <xdr:spPr>
        <a:xfrm>
          <a:off x="2962274"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OBJETIVOS</a:t>
          </a:r>
        </a:p>
      </xdr:txBody>
    </xdr:sp>
    <xdr:clientData/>
  </xdr:twoCellAnchor>
  <xdr:twoCellAnchor>
    <xdr:from>
      <xdr:col>5</xdr:col>
      <xdr:colOff>628649</xdr:colOff>
      <xdr:row>0</xdr:row>
      <xdr:rowOff>9525</xdr:rowOff>
    </xdr:from>
    <xdr:to>
      <xdr:col>7</xdr:col>
      <xdr:colOff>304800</xdr:colOff>
      <xdr:row>1</xdr:row>
      <xdr:rowOff>0</xdr:rowOff>
    </xdr:to>
    <xdr:sp macro="" textlink="">
      <xdr:nvSpPr>
        <xdr:cNvPr id="14" name="Rectángulo 13">
          <a:hlinkClick xmlns:r="http://schemas.openxmlformats.org/officeDocument/2006/relationships" r:id="rId9"/>
        </xdr:cNvPr>
        <xdr:cNvSpPr/>
      </xdr:nvSpPr>
      <xdr:spPr>
        <a:xfrm>
          <a:off x="4190999"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ESTRATEGIAS</a:t>
          </a:r>
        </a:p>
      </xdr:txBody>
    </xdr:sp>
    <xdr:clientData/>
  </xdr:twoCellAnchor>
  <xdr:twoCellAnchor>
    <xdr:from>
      <xdr:col>7</xdr:col>
      <xdr:colOff>333374</xdr:colOff>
      <xdr:row>0</xdr:row>
      <xdr:rowOff>9525</xdr:rowOff>
    </xdr:from>
    <xdr:to>
      <xdr:col>9</xdr:col>
      <xdr:colOff>409575</xdr:colOff>
      <xdr:row>1</xdr:row>
      <xdr:rowOff>0</xdr:rowOff>
    </xdr:to>
    <xdr:sp macro="" textlink="">
      <xdr:nvSpPr>
        <xdr:cNvPr id="15" name="Rectángulo 14">
          <a:hlinkClick xmlns:r="http://schemas.openxmlformats.org/officeDocument/2006/relationships" r:id="rId10"/>
        </xdr:cNvPr>
        <xdr:cNvSpPr/>
      </xdr:nvSpPr>
      <xdr:spPr>
        <a:xfrm>
          <a:off x="5419724"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PROGRAMACIÓN</a:t>
          </a:r>
        </a:p>
      </xdr:txBody>
    </xdr:sp>
    <xdr:clientData/>
  </xdr:twoCellAnchor>
  <xdr:twoCellAnchor>
    <xdr:from>
      <xdr:col>9</xdr:col>
      <xdr:colOff>438149</xdr:colOff>
      <xdr:row>0</xdr:row>
      <xdr:rowOff>9525</xdr:rowOff>
    </xdr:from>
    <xdr:to>
      <xdr:col>11</xdr:col>
      <xdr:colOff>114300</xdr:colOff>
      <xdr:row>1</xdr:row>
      <xdr:rowOff>0</xdr:rowOff>
    </xdr:to>
    <xdr:sp macro="" textlink="">
      <xdr:nvSpPr>
        <xdr:cNvPr id="16" name="Rectángulo 15">
          <a:hlinkClick xmlns:r="http://schemas.openxmlformats.org/officeDocument/2006/relationships" r:id="rId11"/>
        </xdr:cNvPr>
        <xdr:cNvSpPr/>
      </xdr:nvSpPr>
      <xdr:spPr>
        <a:xfrm>
          <a:off x="6648449"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DASHBOARDS</a:t>
          </a:r>
        </a:p>
      </xdr:txBody>
    </xdr:sp>
    <xdr:clientData/>
  </xdr:twoCellAnchor>
  <xdr:twoCellAnchor>
    <xdr:from>
      <xdr:col>12</xdr:col>
      <xdr:colOff>723900</xdr:colOff>
      <xdr:row>1</xdr:row>
      <xdr:rowOff>142875</xdr:rowOff>
    </xdr:from>
    <xdr:to>
      <xdr:col>14</xdr:col>
      <xdr:colOff>638176</xdr:colOff>
      <xdr:row>2</xdr:row>
      <xdr:rowOff>0</xdr:rowOff>
    </xdr:to>
    <xdr:sp macro="" textlink="">
      <xdr:nvSpPr>
        <xdr:cNvPr id="17" name="Rectángulo 16">
          <a:hlinkClick xmlns:r="http://schemas.openxmlformats.org/officeDocument/2006/relationships" r:id="rId12"/>
        </xdr:cNvPr>
        <xdr:cNvSpPr/>
      </xdr:nvSpPr>
      <xdr:spPr>
        <a:xfrm>
          <a:off x="9544050" y="638175"/>
          <a:ext cx="1438276" cy="24765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FODA</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19050</xdr:colOff>
      <xdr:row>28</xdr:row>
      <xdr:rowOff>0</xdr:rowOff>
    </xdr:from>
    <xdr:to>
      <xdr:col>2</xdr:col>
      <xdr:colOff>295275</xdr:colOff>
      <xdr:row>34</xdr:row>
      <xdr:rowOff>0</xdr:rowOff>
    </xdr:to>
    <xdr:pic>
      <xdr:nvPicPr>
        <xdr:cNvPr id="28" name="Imagen 27" descr="TSD - Análisis FODA"/>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495" t="51688" r="52812" b="3370"/>
        <a:stretch/>
      </xdr:blipFill>
      <xdr:spPr bwMode="auto">
        <a:xfrm>
          <a:off x="200025" y="5743575"/>
          <a:ext cx="1162050"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533400</xdr:colOff>
      <xdr:row>28</xdr:row>
      <xdr:rowOff>76200</xdr:rowOff>
    </xdr:from>
    <xdr:to>
      <xdr:col>16</xdr:col>
      <xdr:colOff>171450</xdr:colOff>
      <xdr:row>34</xdr:row>
      <xdr:rowOff>85725</xdr:rowOff>
    </xdr:to>
    <xdr:pic>
      <xdr:nvPicPr>
        <xdr:cNvPr id="27" name="Imagen 26" descr="TSD - Análisis FODA"/>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3181" t="52061" r="1126" b="2622"/>
        <a:stretch/>
      </xdr:blipFill>
      <xdr:spPr bwMode="auto">
        <a:xfrm>
          <a:off x="10877550" y="5819775"/>
          <a:ext cx="1162050" cy="1152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295274</xdr:colOff>
      <xdr:row>1</xdr:row>
      <xdr:rowOff>133349</xdr:rowOff>
    </xdr:from>
    <xdr:to>
      <xdr:col>3</xdr:col>
      <xdr:colOff>628650</xdr:colOff>
      <xdr:row>2</xdr:row>
      <xdr:rowOff>0</xdr:rowOff>
    </xdr:to>
    <xdr:sp macro="" textlink="">
      <xdr:nvSpPr>
        <xdr:cNvPr id="2" name="Rectángulo 1">
          <a:hlinkClick xmlns:r="http://schemas.openxmlformats.org/officeDocument/2006/relationships" r:id="rId2"/>
        </xdr:cNvPr>
        <xdr:cNvSpPr/>
      </xdr:nvSpPr>
      <xdr:spPr>
        <a:xfrm>
          <a:off x="1362074" y="628649"/>
          <a:ext cx="1123951" cy="257176"/>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ORGANIZACIÓN</a:t>
          </a:r>
        </a:p>
      </xdr:txBody>
    </xdr:sp>
    <xdr:clientData/>
  </xdr:twoCellAnchor>
  <xdr:twoCellAnchor>
    <xdr:from>
      <xdr:col>3</xdr:col>
      <xdr:colOff>704850</xdr:colOff>
      <xdr:row>1</xdr:row>
      <xdr:rowOff>133350</xdr:rowOff>
    </xdr:from>
    <xdr:to>
      <xdr:col>5</xdr:col>
      <xdr:colOff>123826</xdr:colOff>
      <xdr:row>2</xdr:row>
      <xdr:rowOff>1</xdr:rowOff>
    </xdr:to>
    <xdr:sp macro="" textlink="">
      <xdr:nvSpPr>
        <xdr:cNvPr id="3" name="Rectángulo 2">
          <a:hlinkClick xmlns:r="http://schemas.openxmlformats.org/officeDocument/2006/relationships" r:id="rId3"/>
        </xdr:cNvPr>
        <xdr:cNvSpPr/>
      </xdr:nvSpPr>
      <xdr:spPr>
        <a:xfrm>
          <a:off x="2562225" y="628650"/>
          <a:ext cx="1123951" cy="257176"/>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MISIÓN</a:t>
          </a:r>
        </a:p>
      </xdr:txBody>
    </xdr:sp>
    <xdr:clientData/>
  </xdr:twoCellAnchor>
  <xdr:twoCellAnchor>
    <xdr:from>
      <xdr:col>5</xdr:col>
      <xdr:colOff>219075</xdr:colOff>
      <xdr:row>1</xdr:row>
      <xdr:rowOff>133350</xdr:rowOff>
    </xdr:from>
    <xdr:to>
      <xdr:col>6</xdr:col>
      <xdr:colOff>581026</xdr:colOff>
      <xdr:row>2</xdr:row>
      <xdr:rowOff>1</xdr:rowOff>
    </xdr:to>
    <xdr:sp macro="" textlink="">
      <xdr:nvSpPr>
        <xdr:cNvPr id="4" name="Rectángulo 3">
          <a:hlinkClick xmlns:r="http://schemas.openxmlformats.org/officeDocument/2006/relationships" r:id="rId4"/>
        </xdr:cNvPr>
        <xdr:cNvSpPr/>
      </xdr:nvSpPr>
      <xdr:spPr>
        <a:xfrm>
          <a:off x="3781425" y="628650"/>
          <a:ext cx="1123951" cy="257176"/>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VISIÓN</a:t>
          </a:r>
        </a:p>
      </xdr:txBody>
    </xdr:sp>
    <xdr:clientData/>
  </xdr:twoCellAnchor>
  <xdr:twoCellAnchor>
    <xdr:from>
      <xdr:col>6</xdr:col>
      <xdr:colOff>666750</xdr:colOff>
      <xdr:row>1</xdr:row>
      <xdr:rowOff>133350</xdr:rowOff>
    </xdr:from>
    <xdr:to>
      <xdr:col>8</xdr:col>
      <xdr:colOff>666751</xdr:colOff>
      <xdr:row>2</xdr:row>
      <xdr:rowOff>1</xdr:rowOff>
    </xdr:to>
    <xdr:sp macro="" textlink="">
      <xdr:nvSpPr>
        <xdr:cNvPr id="5" name="Rectángulo 4">
          <a:hlinkClick xmlns:r="http://schemas.openxmlformats.org/officeDocument/2006/relationships" r:id="rId5"/>
        </xdr:cNvPr>
        <xdr:cNvSpPr/>
      </xdr:nvSpPr>
      <xdr:spPr>
        <a:xfrm>
          <a:off x="4991100" y="628650"/>
          <a:ext cx="1447801" cy="257176"/>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VALORES</a:t>
          </a:r>
        </a:p>
      </xdr:txBody>
    </xdr:sp>
    <xdr:clientData/>
  </xdr:twoCellAnchor>
  <xdr:twoCellAnchor>
    <xdr:from>
      <xdr:col>8</xdr:col>
      <xdr:colOff>742950</xdr:colOff>
      <xdr:row>1</xdr:row>
      <xdr:rowOff>142876</xdr:rowOff>
    </xdr:from>
    <xdr:to>
      <xdr:col>10</xdr:col>
      <xdr:colOff>657226</xdr:colOff>
      <xdr:row>2</xdr:row>
      <xdr:rowOff>1</xdr:rowOff>
    </xdr:to>
    <xdr:sp macro="" textlink="">
      <xdr:nvSpPr>
        <xdr:cNvPr id="6" name="Rectángulo 5">
          <a:hlinkClick xmlns:r="http://schemas.openxmlformats.org/officeDocument/2006/relationships" r:id="rId6"/>
        </xdr:cNvPr>
        <xdr:cNvSpPr/>
      </xdr:nvSpPr>
      <xdr:spPr>
        <a:xfrm>
          <a:off x="6515100" y="638176"/>
          <a:ext cx="1438276" cy="24765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MAPA</a:t>
          </a:r>
          <a:r>
            <a:rPr lang="es-EC" sz="1100" b="1" baseline="0">
              <a:solidFill>
                <a:schemeClr val="bg1"/>
              </a:solidFill>
            </a:rPr>
            <a:t> DE PROCESOS</a:t>
          </a:r>
          <a:endParaRPr lang="es-EC" sz="1100" b="1">
            <a:solidFill>
              <a:schemeClr val="bg1"/>
            </a:solidFill>
          </a:endParaRPr>
        </a:p>
      </xdr:txBody>
    </xdr:sp>
    <xdr:clientData/>
  </xdr:twoCellAnchor>
  <xdr:twoCellAnchor>
    <xdr:from>
      <xdr:col>10</xdr:col>
      <xdr:colOff>714375</xdr:colOff>
      <xdr:row>1</xdr:row>
      <xdr:rowOff>142876</xdr:rowOff>
    </xdr:from>
    <xdr:to>
      <xdr:col>12</xdr:col>
      <xdr:colOff>628651</xdr:colOff>
      <xdr:row>2</xdr:row>
      <xdr:rowOff>1</xdr:rowOff>
    </xdr:to>
    <xdr:sp macro="" textlink="">
      <xdr:nvSpPr>
        <xdr:cNvPr id="7" name="Rectángulo 6">
          <a:hlinkClick xmlns:r="http://schemas.openxmlformats.org/officeDocument/2006/relationships" r:id="rId7"/>
        </xdr:cNvPr>
        <xdr:cNvSpPr/>
      </xdr:nvSpPr>
      <xdr:spPr>
        <a:xfrm>
          <a:off x="8010525" y="638176"/>
          <a:ext cx="1438276" cy="24765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PERFIL</a:t>
          </a:r>
          <a:r>
            <a:rPr lang="es-EC" sz="1100" b="1" baseline="0">
              <a:solidFill>
                <a:schemeClr val="bg1"/>
              </a:solidFill>
            </a:rPr>
            <a:t> COMPETITIVO</a:t>
          </a:r>
          <a:endParaRPr lang="es-EC" sz="1100" b="1">
            <a:solidFill>
              <a:schemeClr val="bg1"/>
            </a:solidFill>
          </a:endParaRPr>
        </a:p>
      </xdr:txBody>
    </xdr:sp>
    <xdr:clientData/>
  </xdr:twoCellAnchor>
  <xdr:twoCellAnchor editAs="oneCell">
    <xdr:from>
      <xdr:col>0</xdr:col>
      <xdr:colOff>76201</xdr:colOff>
      <xdr:row>0</xdr:row>
      <xdr:rowOff>47625</xdr:rowOff>
    </xdr:from>
    <xdr:to>
      <xdr:col>2</xdr:col>
      <xdr:colOff>476250</xdr:colOff>
      <xdr:row>0</xdr:row>
      <xdr:rowOff>466724</xdr:rowOff>
    </xdr:to>
    <xdr:pic>
      <xdr:nvPicPr>
        <xdr:cNvPr id="8" name="Imagen 7"/>
        <xdr:cNvPicPr>
          <a:picLocks noChangeAspect="1"/>
        </xdr:cNvPicPr>
      </xdr:nvPicPr>
      <xdr:blipFill rotWithShape="1">
        <a:blip xmlns:r="http://schemas.openxmlformats.org/officeDocument/2006/relationships" r:embed="rId8"/>
        <a:srcRect l="10995" t="55907" r="34962" b="15302"/>
        <a:stretch/>
      </xdr:blipFill>
      <xdr:spPr>
        <a:xfrm>
          <a:off x="76201" y="47625"/>
          <a:ext cx="1466849" cy="419099"/>
        </a:xfrm>
        <a:prstGeom prst="rect">
          <a:avLst/>
        </a:prstGeom>
      </xdr:spPr>
    </xdr:pic>
    <xdr:clientData/>
  </xdr:twoCellAnchor>
  <xdr:twoCellAnchor>
    <xdr:from>
      <xdr:col>2</xdr:col>
      <xdr:colOff>666749</xdr:colOff>
      <xdr:row>0</xdr:row>
      <xdr:rowOff>9525</xdr:rowOff>
    </xdr:from>
    <xdr:to>
      <xdr:col>4</xdr:col>
      <xdr:colOff>133350</xdr:colOff>
      <xdr:row>1</xdr:row>
      <xdr:rowOff>0</xdr:rowOff>
    </xdr:to>
    <xdr:sp macro="" textlink="">
      <xdr:nvSpPr>
        <xdr:cNvPr id="9" name="Rectángulo 8">
          <a:hlinkClick xmlns:r="http://schemas.openxmlformats.org/officeDocument/2006/relationships" r:id="rId2"/>
        </xdr:cNvPr>
        <xdr:cNvSpPr/>
      </xdr:nvSpPr>
      <xdr:spPr>
        <a:xfrm>
          <a:off x="1733549" y="9525"/>
          <a:ext cx="1200151" cy="485775"/>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GENERALIDADES</a:t>
          </a:r>
        </a:p>
      </xdr:txBody>
    </xdr:sp>
    <xdr:clientData/>
  </xdr:twoCellAnchor>
  <xdr:twoCellAnchor>
    <xdr:from>
      <xdr:col>4</xdr:col>
      <xdr:colOff>161924</xdr:colOff>
      <xdr:row>0</xdr:row>
      <xdr:rowOff>9525</xdr:rowOff>
    </xdr:from>
    <xdr:to>
      <xdr:col>5</xdr:col>
      <xdr:colOff>600075</xdr:colOff>
      <xdr:row>1</xdr:row>
      <xdr:rowOff>0</xdr:rowOff>
    </xdr:to>
    <xdr:sp macro="" textlink="">
      <xdr:nvSpPr>
        <xdr:cNvPr id="10" name="Rectángulo 9">
          <a:hlinkClick xmlns:r="http://schemas.openxmlformats.org/officeDocument/2006/relationships" r:id="rId9"/>
        </xdr:cNvPr>
        <xdr:cNvSpPr/>
      </xdr:nvSpPr>
      <xdr:spPr>
        <a:xfrm>
          <a:off x="2962274"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OBJETIVOS</a:t>
          </a:r>
        </a:p>
      </xdr:txBody>
    </xdr:sp>
    <xdr:clientData/>
  </xdr:twoCellAnchor>
  <xdr:twoCellAnchor>
    <xdr:from>
      <xdr:col>5</xdr:col>
      <xdr:colOff>628649</xdr:colOff>
      <xdr:row>0</xdr:row>
      <xdr:rowOff>9525</xdr:rowOff>
    </xdr:from>
    <xdr:to>
      <xdr:col>7</xdr:col>
      <xdr:colOff>304800</xdr:colOff>
      <xdr:row>1</xdr:row>
      <xdr:rowOff>0</xdr:rowOff>
    </xdr:to>
    <xdr:sp macro="" textlink="">
      <xdr:nvSpPr>
        <xdr:cNvPr id="11" name="Rectángulo 10">
          <a:hlinkClick xmlns:r="http://schemas.openxmlformats.org/officeDocument/2006/relationships" r:id="rId10"/>
        </xdr:cNvPr>
        <xdr:cNvSpPr/>
      </xdr:nvSpPr>
      <xdr:spPr>
        <a:xfrm>
          <a:off x="4190999"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ESTRATEGIAS</a:t>
          </a:r>
        </a:p>
      </xdr:txBody>
    </xdr:sp>
    <xdr:clientData/>
  </xdr:twoCellAnchor>
  <xdr:twoCellAnchor>
    <xdr:from>
      <xdr:col>7</xdr:col>
      <xdr:colOff>333374</xdr:colOff>
      <xdr:row>0</xdr:row>
      <xdr:rowOff>9525</xdr:rowOff>
    </xdr:from>
    <xdr:to>
      <xdr:col>9</xdr:col>
      <xdr:colOff>409575</xdr:colOff>
      <xdr:row>1</xdr:row>
      <xdr:rowOff>0</xdr:rowOff>
    </xdr:to>
    <xdr:sp macro="" textlink="">
      <xdr:nvSpPr>
        <xdr:cNvPr id="12" name="Rectángulo 11">
          <a:hlinkClick xmlns:r="http://schemas.openxmlformats.org/officeDocument/2006/relationships" r:id="rId11"/>
        </xdr:cNvPr>
        <xdr:cNvSpPr/>
      </xdr:nvSpPr>
      <xdr:spPr>
        <a:xfrm>
          <a:off x="5419724" y="9525"/>
          <a:ext cx="152400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PROGRAMACIÓN</a:t>
          </a:r>
        </a:p>
      </xdr:txBody>
    </xdr:sp>
    <xdr:clientData/>
  </xdr:twoCellAnchor>
  <xdr:twoCellAnchor>
    <xdr:from>
      <xdr:col>9</xdr:col>
      <xdr:colOff>438149</xdr:colOff>
      <xdr:row>0</xdr:row>
      <xdr:rowOff>9525</xdr:rowOff>
    </xdr:from>
    <xdr:to>
      <xdr:col>11</xdr:col>
      <xdr:colOff>114300</xdr:colOff>
      <xdr:row>1</xdr:row>
      <xdr:rowOff>0</xdr:rowOff>
    </xdr:to>
    <xdr:sp macro="" textlink="">
      <xdr:nvSpPr>
        <xdr:cNvPr id="13" name="Rectángulo 12">
          <a:hlinkClick xmlns:r="http://schemas.openxmlformats.org/officeDocument/2006/relationships" r:id="rId12"/>
        </xdr:cNvPr>
        <xdr:cNvSpPr/>
      </xdr:nvSpPr>
      <xdr:spPr>
        <a:xfrm>
          <a:off x="6972299"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DASHBOARDS</a:t>
          </a:r>
        </a:p>
      </xdr:txBody>
    </xdr:sp>
    <xdr:clientData/>
  </xdr:twoCellAnchor>
  <xdr:twoCellAnchor>
    <xdr:from>
      <xdr:col>13</xdr:col>
      <xdr:colOff>9525</xdr:colOff>
      <xdr:row>1</xdr:row>
      <xdr:rowOff>133351</xdr:rowOff>
    </xdr:from>
    <xdr:to>
      <xdr:col>14</xdr:col>
      <xdr:colOff>685801</xdr:colOff>
      <xdr:row>1</xdr:row>
      <xdr:rowOff>381001</xdr:rowOff>
    </xdr:to>
    <xdr:sp macro="" textlink="">
      <xdr:nvSpPr>
        <xdr:cNvPr id="14" name="Rectángulo 13">
          <a:hlinkClick xmlns:r="http://schemas.openxmlformats.org/officeDocument/2006/relationships" r:id="rId13"/>
        </xdr:cNvPr>
        <xdr:cNvSpPr/>
      </xdr:nvSpPr>
      <xdr:spPr>
        <a:xfrm>
          <a:off x="9591675" y="628651"/>
          <a:ext cx="1438276" cy="247650"/>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ysClr val="windowText" lastClr="000000"/>
              </a:solidFill>
            </a:rPr>
            <a:t>FODA</a:t>
          </a:r>
        </a:p>
      </xdr:txBody>
    </xdr:sp>
    <xdr:clientData/>
  </xdr:twoCellAnchor>
  <xdr:twoCellAnchor>
    <xdr:from>
      <xdr:col>3</xdr:col>
      <xdr:colOff>828676</xdr:colOff>
      <xdr:row>10</xdr:row>
      <xdr:rowOff>76200</xdr:rowOff>
    </xdr:from>
    <xdr:to>
      <xdr:col>6</xdr:col>
      <xdr:colOff>342901</xdr:colOff>
      <xdr:row>12</xdr:row>
      <xdr:rowOff>161925</xdr:rowOff>
    </xdr:to>
    <xdr:sp macro="" textlink="">
      <xdr:nvSpPr>
        <xdr:cNvPr id="17" name="Rectángulo redondeado 16"/>
        <xdr:cNvSpPr/>
      </xdr:nvSpPr>
      <xdr:spPr>
        <a:xfrm>
          <a:off x="2686051" y="2390775"/>
          <a:ext cx="1981200" cy="466725"/>
        </a:xfrm>
        <a:prstGeom prst="roundRect">
          <a:avLst/>
        </a:prstGeom>
        <a:solidFill>
          <a:schemeClr val="tx2">
            <a:lumMod val="40000"/>
            <a:lumOff val="60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400" b="1">
              <a:solidFill>
                <a:schemeClr val="tx1"/>
              </a:solidFill>
            </a:rPr>
            <a:t>POSITIVO</a:t>
          </a:r>
        </a:p>
      </xdr:txBody>
    </xdr:sp>
    <xdr:clientData/>
  </xdr:twoCellAnchor>
  <xdr:twoCellAnchor>
    <xdr:from>
      <xdr:col>10</xdr:col>
      <xdr:colOff>476251</xdr:colOff>
      <xdr:row>10</xdr:row>
      <xdr:rowOff>66675</xdr:rowOff>
    </xdr:from>
    <xdr:to>
      <xdr:col>13</xdr:col>
      <xdr:colOff>171451</xdr:colOff>
      <xdr:row>12</xdr:row>
      <xdr:rowOff>152400</xdr:rowOff>
    </xdr:to>
    <xdr:sp macro="" textlink="">
      <xdr:nvSpPr>
        <xdr:cNvPr id="18" name="Rectángulo redondeado 17"/>
        <xdr:cNvSpPr/>
      </xdr:nvSpPr>
      <xdr:spPr>
        <a:xfrm>
          <a:off x="7772401" y="2381250"/>
          <a:ext cx="1981200" cy="466725"/>
        </a:xfrm>
        <a:prstGeom prst="roundRect">
          <a:avLst/>
        </a:prstGeom>
        <a:solidFill>
          <a:schemeClr val="tx2">
            <a:lumMod val="40000"/>
            <a:lumOff val="60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400" b="1">
              <a:solidFill>
                <a:schemeClr val="tx1"/>
              </a:solidFill>
            </a:rPr>
            <a:t>NEGATIVO</a:t>
          </a:r>
        </a:p>
      </xdr:txBody>
    </xdr:sp>
    <xdr:clientData/>
  </xdr:twoCellAnchor>
  <xdr:twoCellAnchor>
    <xdr:from>
      <xdr:col>2</xdr:col>
      <xdr:colOff>66675</xdr:colOff>
      <xdr:row>31</xdr:row>
      <xdr:rowOff>161924</xdr:rowOff>
    </xdr:from>
    <xdr:to>
      <xdr:col>8</xdr:col>
      <xdr:colOff>19050</xdr:colOff>
      <xdr:row>49</xdr:row>
      <xdr:rowOff>104775</xdr:rowOff>
    </xdr:to>
    <xdr:sp macro="" textlink="">
      <xdr:nvSpPr>
        <xdr:cNvPr id="21" name="Rectángulo redondeado 20"/>
        <xdr:cNvSpPr/>
      </xdr:nvSpPr>
      <xdr:spPr>
        <a:xfrm>
          <a:off x="1133475" y="6476999"/>
          <a:ext cx="4657725" cy="3371851"/>
        </a:xfrm>
        <a:prstGeom prst="roundRect">
          <a:avLst/>
        </a:prstGeom>
        <a:solidFill>
          <a:schemeClr val="accent6">
            <a:lumMod val="60000"/>
            <a:lumOff val="40000"/>
          </a:schemeClr>
        </a:solidFill>
        <a:ln>
          <a:solidFill>
            <a:sysClr val="windowText" lastClr="000000"/>
          </a:solidFill>
        </a:ln>
        <a:effectLst>
          <a:outerShdw blurRad="63500" sx="102000" sy="102000" algn="ctr"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285750" lvl="0" indent="-285750">
            <a:buFont typeface="Arial" panose="020B0604020202020204" pitchFamily="34" charset="0"/>
            <a:buChar char="•"/>
          </a:pPr>
          <a:r>
            <a:rPr lang="es-EC" sz="1400">
              <a:solidFill>
                <a:schemeClr val="tx1"/>
              </a:solidFill>
              <a:effectLst/>
              <a:latin typeface="+mn-lt"/>
              <a:ea typeface="+mn-ea"/>
              <a:cs typeface="+mn-cs"/>
            </a:rPr>
            <a:t>Ampliar nuestras zonas de cobertura </a:t>
          </a:r>
        </a:p>
        <a:p>
          <a:pPr marL="285750" lvl="0" indent="-285750">
            <a:buFont typeface="Arial" panose="020B0604020202020204" pitchFamily="34" charset="0"/>
            <a:buChar char="•"/>
          </a:pPr>
          <a:r>
            <a:rPr lang="es-EC" sz="1400">
              <a:solidFill>
                <a:schemeClr val="tx1"/>
              </a:solidFill>
              <a:effectLst/>
              <a:latin typeface="+mn-lt"/>
              <a:ea typeface="+mn-ea"/>
              <a:cs typeface="+mn-cs"/>
            </a:rPr>
            <a:t>Generar procesos rápidos</a:t>
          </a:r>
        </a:p>
        <a:p>
          <a:pPr marL="285750" lvl="0" indent="-285750">
            <a:buFont typeface="Arial" panose="020B0604020202020204" pitchFamily="34" charset="0"/>
            <a:buChar char="•"/>
          </a:pPr>
          <a:r>
            <a:rPr lang="es-EC" sz="1400">
              <a:solidFill>
                <a:schemeClr val="tx1"/>
              </a:solidFill>
              <a:effectLst/>
              <a:latin typeface="+mn-lt"/>
              <a:ea typeface="+mn-ea"/>
              <a:cs typeface="+mn-cs"/>
            </a:rPr>
            <a:t>Alianzas estratégicas para el financiamiento a tasas más bajas </a:t>
          </a:r>
        </a:p>
        <a:p>
          <a:pPr marL="285750" lvl="0" indent="-285750">
            <a:buFont typeface="Arial" panose="020B0604020202020204" pitchFamily="34" charset="0"/>
            <a:buChar char="•"/>
          </a:pPr>
          <a:r>
            <a:rPr lang="es-EC" sz="1400">
              <a:solidFill>
                <a:schemeClr val="tx1"/>
              </a:solidFill>
              <a:effectLst/>
              <a:latin typeface="+mn-lt"/>
              <a:ea typeface="+mn-ea"/>
              <a:cs typeface="+mn-cs"/>
            </a:rPr>
            <a:t>Implementar procesos automáticos </a:t>
          </a:r>
        </a:p>
        <a:p>
          <a:pPr marL="285750" lvl="0" indent="-285750">
            <a:buFont typeface="Arial" panose="020B0604020202020204" pitchFamily="34" charset="0"/>
            <a:buChar char="•"/>
          </a:pPr>
          <a:r>
            <a:rPr lang="es-EC" sz="1400">
              <a:solidFill>
                <a:schemeClr val="tx1"/>
              </a:solidFill>
              <a:effectLst/>
              <a:latin typeface="+mn-lt"/>
              <a:ea typeface="+mn-ea"/>
              <a:cs typeface="+mn-cs"/>
            </a:rPr>
            <a:t>Generar mejores procesos de atención al cliente </a:t>
          </a:r>
        </a:p>
        <a:p>
          <a:pPr marL="285750" lvl="0" indent="-285750">
            <a:buFont typeface="Arial" panose="020B0604020202020204" pitchFamily="34" charset="0"/>
            <a:buChar char="•"/>
          </a:pPr>
          <a:r>
            <a:rPr lang="es-EC" sz="1400">
              <a:solidFill>
                <a:schemeClr val="tx1"/>
              </a:solidFill>
              <a:effectLst/>
              <a:latin typeface="+mn-lt"/>
              <a:ea typeface="+mn-ea"/>
              <a:cs typeface="+mn-cs"/>
            </a:rPr>
            <a:t>Mejorar nuestras relaciones con grupos objetivos a través de capacitación y educación financiera</a:t>
          </a:r>
        </a:p>
        <a:p>
          <a:pPr marL="285750" lvl="0" indent="-285750">
            <a:buFont typeface="Arial" panose="020B0604020202020204" pitchFamily="34" charset="0"/>
            <a:buChar char="•"/>
          </a:pPr>
          <a:r>
            <a:rPr lang="es-EC" sz="1400">
              <a:solidFill>
                <a:schemeClr val="tx1"/>
              </a:solidFill>
              <a:effectLst/>
              <a:latin typeface="+mn-lt"/>
              <a:ea typeface="+mn-ea"/>
              <a:cs typeface="+mn-cs"/>
            </a:rPr>
            <a:t>Mejorar la publicidad y la presencia institucional en nuestros objetivos</a:t>
          </a:r>
        </a:p>
        <a:p>
          <a:pPr algn="l"/>
          <a:endParaRPr lang="es-EC" sz="1400">
            <a:solidFill>
              <a:schemeClr val="tx1"/>
            </a:solidFill>
          </a:endParaRPr>
        </a:p>
      </xdr:txBody>
    </xdr:sp>
    <xdr:clientData/>
  </xdr:twoCellAnchor>
  <xdr:twoCellAnchor>
    <xdr:from>
      <xdr:col>8</xdr:col>
      <xdr:colOff>628650</xdr:colOff>
      <xdr:row>31</xdr:row>
      <xdr:rowOff>133348</xdr:rowOff>
    </xdr:from>
    <xdr:to>
      <xdr:col>14</xdr:col>
      <xdr:colOff>714375</xdr:colOff>
      <xdr:row>49</xdr:row>
      <xdr:rowOff>190499</xdr:rowOff>
    </xdr:to>
    <xdr:sp macro="" textlink="">
      <xdr:nvSpPr>
        <xdr:cNvPr id="22" name="Rectángulo redondeado 21"/>
        <xdr:cNvSpPr/>
      </xdr:nvSpPr>
      <xdr:spPr>
        <a:xfrm>
          <a:off x="6400800" y="6448423"/>
          <a:ext cx="4657725" cy="3486151"/>
        </a:xfrm>
        <a:prstGeom prst="roundRect">
          <a:avLst/>
        </a:prstGeom>
        <a:solidFill>
          <a:schemeClr val="accent4">
            <a:lumMod val="75000"/>
          </a:schemeClr>
        </a:solidFill>
        <a:ln>
          <a:solidFill>
            <a:sysClr val="windowText" lastClr="000000"/>
          </a:solidFill>
        </a:ln>
        <a:effectLst>
          <a:outerShdw blurRad="63500" sx="102000" sy="102000" algn="ctr"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285750" lvl="0" indent="-285750">
            <a:buFont typeface="Arial" panose="020B0604020202020204" pitchFamily="34" charset="0"/>
            <a:buChar char="•"/>
          </a:pPr>
          <a:r>
            <a:rPr lang="es-EC" sz="1400">
              <a:solidFill>
                <a:schemeClr val="tx1"/>
              </a:solidFill>
              <a:effectLst/>
              <a:latin typeface="+mn-lt"/>
              <a:ea typeface="+mn-ea"/>
              <a:cs typeface="+mn-cs"/>
            </a:rPr>
            <a:t>Exigencias normativas que no se encuentran acordes al segmento al que pertenecemos</a:t>
          </a:r>
        </a:p>
        <a:p>
          <a:pPr marL="285750" lvl="0" indent="-285750">
            <a:buFont typeface="Arial" panose="020B0604020202020204" pitchFamily="34" charset="0"/>
            <a:buChar char="•"/>
          </a:pPr>
          <a:r>
            <a:rPr lang="es-EC" sz="1400">
              <a:solidFill>
                <a:schemeClr val="tx1"/>
              </a:solidFill>
              <a:effectLst/>
              <a:latin typeface="+mn-lt"/>
              <a:ea typeface="+mn-ea"/>
              <a:cs typeface="+mn-cs"/>
            </a:rPr>
            <a:t>Epidemias, pandemias o riesgos antrópicos que afecten al desarrollo normal de las actividades</a:t>
          </a:r>
        </a:p>
        <a:p>
          <a:pPr marL="285750" lvl="0" indent="-285750">
            <a:buFont typeface="Arial" panose="020B0604020202020204" pitchFamily="34" charset="0"/>
            <a:buChar char="•"/>
          </a:pPr>
          <a:r>
            <a:rPr lang="es-EC" sz="1400">
              <a:solidFill>
                <a:schemeClr val="tx1"/>
              </a:solidFill>
              <a:effectLst/>
              <a:latin typeface="+mn-lt"/>
              <a:ea typeface="+mn-ea"/>
              <a:cs typeface="+mn-cs"/>
            </a:rPr>
            <a:t>Perdida de socios y clientes por mejores condiciones en los productos y servicios de instituciones financieras de otros segmentos </a:t>
          </a:r>
        </a:p>
        <a:p>
          <a:pPr marL="285750" lvl="0" indent="-285750">
            <a:buFont typeface="Arial" panose="020B0604020202020204" pitchFamily="34" charset="0"/>
            <a:buChar char="•"/>
          </a:pPr>
          <a:r>
            <a:rPr lang="es-EC" sz="1400">
              <a:solidFill>
                <a:schemeClr val="tx1"/>
              </a:solidFill>
              <a:effectLst/>
              <a:latin typeface="+mn-lt"/>
              <a:ea typeface="+mn-ea"/>
              <a:cs typeface="+mn-cs"/>
            </a:rPr>
            <a:t>Sobreendeudamiento del mercado</a:t>
          </a:r>
        </a:p>
        <a:p>
          <a:pPr marL="285750" lvl="0" indent="-285750">
            <a:buFont typeface="Arial" panose="020B0604020202020204" pitchFamily="34" charset="0"/>
            <a:buChar char="•"/>
          </a:pPr>
          <a:r>
            <a:rPr lang="es-EC" sz="1400">
              <a:solidFill>
                <a:schemeClr val="tx1"/>
              </a:solidFill>
              <a:effectLst/>
              <a:latin typeface="+mn-lt"/>
              <a:ea typeface="+mn-ea"/>
              <a:cs typeface="+mn-cs"/>
            </a:rPr>
            <a:t>Políticas públicas que afecten al sector de la Economía Popular y Solidaria</a:t>
          </a:r>
        </a:p>
        <a:p>
          <a:pPr marL="285750" lvl="0" indent="-285750">
            <a:buFont typeface="Arial" panose="020B0604020202020204" pitchFamily="34" charset="0"/>
            <a:buChar char="•"/>
          </a:pPr>
          <a:r>
            <a:rPr lang="es-EC" sz="1400">
              <a:solidFill>
                <a:schemeClr val="tx1"/>
              </a:solidFill>
              <a:effectLst/>
              <a:latin typeface="+mn-lt"/>
              <a:ea typeface="+mn-ea"/>
              <a:cs typeface="+mn-cs"/>
            </a:rPr>
            <a:t>Cambio de representantes internos como también del País</a:t>
          </a:r>
        </a:p>
        <a:p>
          <a:pPr marL="285750" lvl="0" indent="-285750">
            <a:buFont typeface="Arial" panose="020B0604020202020204" pitchFamily="34" charset="0"/>
            <a:buChar char="•"/>
          </a:pPr>
          <a:r>
            <a:rPr lang="es-EC" sz="1400">
              <a:solidFill>
                <a:schemeClr val="tx1"/>
              </a:solidFill>
              <a:effectLst/>
              <a:latin typeface="+mn-lt"/>
              <a:ea typeface="+mn-ea"/>
              <a:cs typeface="+mn-cs"/>
            </a:rPr>
            <a:t>Incertidumbre por crisis socio-económica y política en el país.</a:t>
          </a:r>
        </a:p>
        <a:p>
          <a:pPr algn="l"/>
          <a:endParaRPr lang="es-EC" sz="1400">
            <a:solidFill>
              <a:schemeClr val="tx1"/>
            </a:solidFill>
          </a:endParaRPr>
        </a:p>
      </xdr:txBody>
    </xdr:sp>
    <xdr:clientData/>
  </xdr:twoCellAnchor>
  <xdr:twoCellAnchor editAs="oneCell">
    <xdr:from>
      <xdr:col>1</xdr:col>
      <xdr:colOff>266701</xdr:colOff>
      <xdr:row>8</xdr:row>
      <xdr:rowOff>85725</xdr:rowOff>
    </xdr:from>
    <xdr:to>
      <xdr:col>2</xdr:col>
      <xdr:colOff>581026</xdr:colOff>
      <xdr:row>14</xdr:row>
      <xdr:rowOff>171450</xdr:rowOff>
    </xdr:to>
    <xdr:pic>
      <xdr:nvPicPr>
        <xdr:cNvPr id="25" name="Imagen 24" descr="TSD - Análisis FODA"/>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498" t="2996" r="51311" b="51311"/>
        <a:stretch/>
      </xdr:blipFill>
      <xdr:spPr bwMode="auto">
        <a:xfrm>
          <a:off x="447676" y="2085975"/>
          <a:ext cx="1200150" cy="1162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80964</xdr:colOff>
      <xdr:row>15</xdr:row>
      <xdr:rowOff>147637</xdr:rowOff>
    </xdr:from>
    <xdr:to>
      <xdr:col>1</xdr:col>
      <xdr:colOff>547689</xdr:colOff>
      <xdr:row>26</xdr:row>
      <xdr:rowOff>33337</xdr:rowOff>
    </xdr:to>
    <xdr:sp macro="" textlink="">
      <xdr:nvSpPr>
        <xdr:cNvPr id="23" name="Rectángulo redondeado 22"/>
        <xdr:cNvSpPr/>
      </xdr:nvSpPr>
      <xdr:spPr>
        <a:xfrm rot="16200000">
          <a:off x="-495298" y="4171949"/>
          <a:ext cx="1981200" cy="466725"/>
        </a:xfrm>
        <a:prstGeom prst="roundRect">
          <a:avLst/>
        </a:prstGeom>
        <a:solidFill>
          <a:schemeClr val="tx2">
            <a:lumMod val="40000"/>
            <a:lumOff val="60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400" b="1">
              <a:solidFill>
                <a:schemeClr val="tx1"/>
              </a:solidFill>
            </a:rPr>
            <a:t>INTERNO</a:t>
          </a:r>
        </a:p>
      </xdr:txBody>
    </xdr:sp>
    <xdr:clientData/>
  </xdr:twoCellAnchor>
  <xdr:twoCellAnchor>
    <xdr:from>
      <xdr:col>1</xdr:col>
      <xdr:colOff>61914</xdr:colOff>
      <xdr:row>34</xdr:row>
      <xdr:rowOff>14289</xdr:rowOff>
    </xdr:from>
    <xdr:to>
      <xdr:col>1</xdr:col>
      <xdr:colOff>528639</xdr:colOff>
      <xdr:row>44</xdr:row>
      <xdr:rowOff>90489</xdr:rowOff>
    </xdr:to>
    <xdr:sp macro="" textlink="">
      <xdr:nvSpPr>
        <xdr:cNvPr id="24" name="Rectángulo redondeado 23"/>
        <xdr:cNvSpPr/>
      </xdr:nvSpPr>
      <xdr:spPr>
        <a:xfrm rot="16200000">
          <a:off x="-514348" y="7658101"/>
          <a:ext cx="1981200" cy="466725"/>
        </a:xfrm>
        <a:prstGeom prst="roundRect">
          <a:avLst/>
        </a:prstGeom>
        <a:solidFill>
          <a:schemeClr val="tx2">
            <a:lumMod val="40000"/>
            <a:lumOff val="60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400" b="1">
              <a:solidFill>
                <a:schemeClr val="tx1"/>
              </a:solidFill>
            </a:rPr>
            <a:t>EXTERNO</a:t>
          </a:r>
        </a:p>
      </xdr:txBody>
    </xdr:sp>
    <xdr:clientData/>
  </xdr:twoCellAnchor>
  <xdr:twoCellAnchor>
    <xdr:from>
      <xdr:col>2</xdr:col>
      <xdr:colOff>133350</xdr:colOff>
      <xdr:row>13</xdr:row>
      <xdr:rowOff>133349</xdr:rowOff>
    </xdr:from>
    <xdr:to>
      <xdr:col>8</xdr:col>
      <xdr:colOff>85725</xdr:colOff>
      <xdr:row>29</xdr:row>
      <xdr:rowOff>85724</xdr:rowOff>
    </xdr:to>
    <xdr:sp macro="" textlink="">
      <xdr:nvSpPr>
        <xdr:cNvPr id="19" name="Rectángulo redondeado 18"/>
        <xdr:cNvSpPr/>
      </xdr:nvSpPr>
      <xdr:spPr>
        <a:xfrm>
          <a:off x="1200150" y="3019424"/>
          <a:ext cx="4657725" cy="3000375"/>
        </a:xfrm>
        <a:prstGeom prst="roundRect">
          <a:avLst/>
        </a:prstGeom>
        <a:solidFill>
          <a:srgbClr val="92D050"/>
        </a:solidFill>
        <a:ln>
          <a:solidFill>
            <a:sysClr val="windowText" lastClr="000000"/>
          </a:solidFill>
        </a:ln>
        <a:effectLst>
          <a:outerShdw blurRad="63500" sx="102000" sy="102000" algn="ctr"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285750" lvl="0" indent="-285750">
            <a:buFont typeface="Arial" panose="020B0604020202020204" pitchFamily="34" charset="0"/>
            <a:buChar char="•"/>
          </a:pPr>
          <a:r>
            <a:rPr lang="es-EC" sz="1400">
              <a:solidFill>
                <a:schemeClr val="tx1"/>
              </a:solidFill>
              <a:effectLst/>
              <a:latin typeface="+mn-lt"/>
              <a:ea typeface="+mn-ea"/>
              <a:cs typeface="+mn-cs"/>
            </a:rPr>
            <a:t>Se usa una metodología de micro finanzas confiables</a:t>
          </a:r>
        </a:p>
        <a:p>
          <a:pPr marL="285750" lvl="0" indent="-285750">
            <a:buFont typeface="Arial" panose="020B0604020202020204" pitchFamily="34" charset="0"/>
            <a:buChar char="•"/>
          </a:pPr>
          <a:r>
            <a:rPr lang="es-EC" sz="1400">
              <a:solidFill>
                <a:schemeClr val="tx1"/>
              </a:solidFill>
              <a:effectLst/>
              <a:latin typeface="+mn-lt"/>
              <a:ea typeface="+mn-ea"/>
              <a:cs typeface="+mn-cs"/>
            </a:rPr>
            <a:t>Trabajamos con normativa vigente y establecida para el desarrollo de las actividades institucionales</a:t>
          </a:r>
        </a:p>
        <a:p>
          <a:pPr marL="285750" lvl="0" indent="-285750">
            <a:buFont typeface="Arial" panose="020B0604020202020204" pitchFamily="34" charset="0"/>
            <a:buChar char="•"/>
          </a:pPr>
          <a:r>
            <a:rPr lang="es-EC" sz="1400">
              <a:solidFill>
                <a:schemeClr val="tx1"/>
              </a:solidFill>
              <a:effectLst/>
              <a:latin typeface="+mn-lt"/>
              <a:ea typeface="+mn-ea"/>
              <a:cs typeface="+mn-cs"/>
            </a:rPr>
            <a:t>Tasas competitivas y acceso fácil acceso a los productos y servicios</a:t>
          </a:r>
        </a:p>
        <a:p>
          <a:pPr marL="285750" lvl="0" indent="-285750">
            <a:buFont typeface="Arial" panose="020B0604020202020204" pitchFamily="34" charset="0"/>
            <a:buChar char="•"/>
          </a:pPr>
          <a:r>
            <a:rPr lang="es-EC" sz="1400">
              <a:solidFill>
                <a:schemeClr val="tx1"/>
              </a:solidFill>
              <a:effectLst/>
              <a:latin typeface="+mn-lt"/>
              <a:ea typeface="+mn-ea"/>
              <a:cs typeface="+mn-cs"/>
            </a:rPr>
            <a:t>Conocemos nuestro mercado objetivo impulsando el acceso a servicios financieros de toda la población</a:t>
          </a:r>
        </a:p>
        <a:p>
          <a:pPr marL="285750" lvl="0" indent="-285750">
            <a:buFont typeface="Arial" panose="020B0604020202020204" pitchFamily="34" charset="0"/>
            <a:buChar char="•"/>
          </a:pPr>
          <a:r>
            <a:rPr lang="es-EC" sz="1400">
              <a:solidFill>
                <a:schemeClr val="tx1"/>
              </a:solidFill>
              <a:effectLst/>
              <a:latin typeface="+mn-lt"/>
              <a:ea typeface="+mn-ea"/>
              <a:cs typeface="+mn-cs"/>
            </a:rPr>
            <a:t>Transparencia en la información y gestión de nuestros productos y servicios </a:t>
          </a:r>
        </a:p>
        <a:p>
          <a:pPr marL="285750" lvl="0" indent="-285750">
            <a:buFont typeface="Arial" panose="020B0604020202020204" pitchFamily="34" charset="0"/>
            <a:buChar char="•"/>
          </a:pPr>
          <a:r>
            <a:rPr lang="es-EC" sz="1400">
              <a:solidFill>
                <a:schemeClr val="tx1"/>
              </a:solidFill>
              <a:effectLst/>
              <a:latin typeface="+mn-lt"/>
              <a:ea typeface="+mn-ea"/>
              <a:cs typeface="+mn-cs"/>
            </a:rPr>
            <a:t>Realizamos inclusión financiera </a:t>
          </a:r>
        </a:p>
        <a:p>
          <a:pPr marL="285750" lvl="0" indent="-285750">
            <a:buFont typeface="Arial" panose="020B0604020202020204" pitchFamily="34" charset="0"/>
            <a:buChar char="•"/>
          </a:pPr>
          <a:r>
            <a:rPr lang="es-EC" sz="1400">
              <a:solidFill>
                <a:schemeClr val="tx1"/>
              </a:solidFill>
              <a:effectLst/>
              <a:latin typeface="+mn-lt"/>
              <a:ea typeface="+mn-ea"/>
              <a:cs typeface="+mn-cs"/>
            </a:rPr>
            <a:t>Buenas prácticas institucionales en el manejo de indicadores de liquidez y riesgo</a:t>
          </a:r>
        </a:p>
        <a:p>
          <a:pPr algn="l"/>
          <a:endParaRPr lang="es-EC" sz="1400">
            <a:solidFill>
              <a:schemeClr val="tx1"/>
            </a:solidFill>
          </a:endParaRPr>
        </a:p>
      </xdr:txBody>
    </xdr:sp>
    <xdr:clientData/>
  </xdr:twoCellAnchor>
  <xdr:twoCellAnchor editAs="oneCell">
    <xdr:from>
      <xdr:col>14</xdr:col>
      <xdr:colOff>257175</xdr:colOff>
      <xdr:row>8</xdr:row>
      <xdr:rowOff>66675</xdr:rowOff>
    </xdr:from>
    <xdr:to>
      <xdr:col>15</xdr:col>
      <xdr:colOff>704849</xdr:colOff>
      <xdr:row>14</xdr:row>
      <xdr:rowOff>161925</xdr:rowOff>
    </xdr:to>
    <xdr:pic>
      <xdr:nvPicPr>
        <xdr:cNvPr id="26" name="Imagen 25" descr="TSD - Análisis FODA"/>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1684" t="2622" r="750" b="51311"/>
        <a:stretch/>
      </xdr:blipFill>
      <xdr:spPr bwMode="auto">
        <a:xfrm>
          <a:off x="10601325" y="2066925"/>
          <a:ext cx="1209674" cy="1171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571500</xdr:colOff>
      <xdr:row>13</xdr:row>
      <xdr:rowOff>114299</xdr:rowOff>
    </xdr:from>
    <xdr:to>
      <xdr:col>14</xdr:col>
      <xdr:colOff>657225</xdr:colOff>
      <xdr:row>29</xdr:row>
      <xdr:rowOff>104774</xdr:rowOff>
    </xdr:to>
    <xdr:sp macro="" textlink="">
      <xdr:nvSpPr>
        <xdr:cNvPr id="20" name="Rectángulo redondeado 19"/>
        <xdr:cNvSpPr/>
      </xdr:nvSpPr>
      <xdr:spPr>
        <a:xfrm>
          <a:off x="6343650" y="3000374"/>
          <a:ext cx="4657725" cy="3038475"/>
        </a:xfrm>
        <a:prstGeom prst="roundRect">
          <a:avLst/>
        </a:prstGeom>
        <a:solidFill>
          <a:srgbClr val="F04051"/>
        </a:solidFill>
        <a:ln>
          <a:solidFill>
            <a:sysClr val="windowText" lastClr="000000"/>
          </a:solid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285750" lvl="0" indent="-285750">
            <a:buFont typeface="Arial" panose="020B0604020202020204" pitchFamily="34" charset="0"/>
            <a:buChar char="•"/>
          </a:pPr>
          <a:r>
            <a:rPr lang="es-EC" sz="1400">
              <a:solidFill>
                <a:schemeClr val="tx1"/>
              </a:solidFill>
              <a:effectLst/>
              <a:latin typeface="+mn-lt"/>
              <a:ea typeface="+mn-ea"/>
              <a:cs typeface="+mn-cs"/>
            </a:rPr>
            <a:t>Poco fortalecimiento de liderazgo y competencias en los trabajadores</a:t>
          </a:r>
        </a:p>
        <a:p>
          <a:pPr marL="285750" lvl="0" indent="-285750">
            <a:buFont typeface="Arial" panose="020B0604020202020204" pitchFamily="34" charset="0"/>
            <a:buChar char="•"/>
          </a:pPr>
          <a:r>
            <a:rPr lang="es-EC" sz="1400">
              <a:solidFill>
                <a:schemeClr val="tx1"/>
              </a:solidFill>
              <a:effectLst/>
              <a:latin typeface="+mn-lt"/>
              <a:ea typeface="+mn-ea"/>
              <a:cs typeface="+mn-cs"/>
            </a:rPr>
            <a:t>Ineficiencia en la comunicación interna y externa que obstaculiza los procesos institucionales</a:t>
          </a:r>
        </a:p>
        <a:p>
          <a:pPr marL="285750" lvl="0" indent="-285750">
            <a:buFont typeface="Arial" panose="020B0604020202020204" pitchFamily="34" charset="0"/>
            <a:buChar char="•"/>
          </a:pPr>
          <a:r>
            <a:rPr lang="es-EC" sz="1400">
              <a:solidFill>
                <a:schemeClr val="tx1"/>
              </a:solidFill>
              <a:effectLst/>
              <a:latin typeface="+mn-lt"/>
              <a:ea typeface="+mn-ea"/>
              <a:cs typeface="+mn-cs"/>
            </a:rPr>
            <a:t>Deficiente trabajo en equipo </a:t>
          </a:r>
        </a:p>
        <a:p>
          <a:pPr marL="285750" lvl="0" indent="-285750">
            <a:buFont typeface="Arial" panose="020B0604020202020204" pitchFamily="34" charset="0"/>
            <a:buChar char="•"/>
          </a:pPr>
          <a:r>
            <a:rPr lang="es-EC" sz="1400">
              <a:solidFill>
                <a:schemeClr val="tx1"/>
              </a:solidFill>
              <a:effectLst/>
              <a:latin typeface="+mn-lt"/>
              <a:ea typeface="+mn-ea"/>
              <a:cs typeface="+mn-cs"/>
            </a:rPr>
            <a:t>No contar con servicios financieros electrónicos  y banca en línea</a:t>
          </a:r>
        </a:p>
        <a:p>
          <a:pPr marL="285750" lvl="0" indent="-285750">
            <a:buFont typeface="Arial" panose="020B0604020202020204" pitchFamily="34" charset="0"/>
            <a:buChar char="•"/>
          </a:pPr>
          <a:r>
            <a:rPr lang="es-EC" sz="1400">
              <a:solidFill>
                <a:schemeClr val="tx1"/>
              </a:solidFill>
              <a:effectLst/>
              <a:latin typeface="+mn-lt"/>
              <a:ea typeface="+mn-ea"/>
              <a:cs typeface="+mn-cs"/>
            </a:rPr>
            <a:t>Poca participación de socios en los procesos electorales </a:t>
          </a:r>
        </a:p>
        <a:p>
          <a:pPr marL="285750" lvl="0" indent="-285750">
            <a:buFont typeface="Arial" panose="020B0604020202020204" pitchFamily="34" charset="0"/>
            <a:buChar char="•"/>
          </a:pPr>
          <a:r>
            <a:rPr lang="es-EC" sz="1400">
              <a:solidFill>
                <a:schemeClr val="tx1"/>
              </a:solidFill>
              <a:effectLst/>
              <a:latin typeface="+mn-lt"/>
              <a:ea typeface="+mn-ea"/>
              <a:cs typeface="+mn-cs"/>
            </a:rPr>
            <a:t>Oferta salarial no competitiva</a:t>
          </a:r>
        </a:p>
        <a:p>
          <a:pPr marL="285750" lvl="0" indent="-285750">
            <a:buFont typeface="Arial" panose="020B0604020202020204" pitchFamily="34" charset="0"/>
            <a:buChar char="•"/>
          </a:pPr>
          <a:r>
            <a:rPr lang="es-EC" sz="1400">
              <a:solidFill>
                <a:schemeClr val="tx1"/>
              </a:solidFill>
              <a:effectLst/>
              <a:latin typeface="+mn-lt"/>
              <a:ea typeface="+mn-ea"/>
              <a:cs typeface="+mn-cs"/>
            </a:rPr>
            <a:t>Recursos económicos limitados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295274</xdr:colOff>
      <xdr:row>1</xdr:row>
      <xdr:rowOff>133349</xdr:rowOff>
    </xdr:from>
    <xdr:to>
      <xdr:col>3</xdr:col>
      <xdr:colOff>628650</xdr:colOff>
      <xdr:row>2</xdr:row>
      <xdr:rowOff>0</xdr:rowOff>
    </xdr:to>
    <xdr:sp macro="" textlink="">
      <xdr:nvSpPr>
        <xdr:cNvPr id="13" name="Rectángulo 12">
          <a:hlinkClick xmlns:r="http://schemas.openxmlformats.org/officeDocument/2006/relationships" r:id="rId1"/>
        </xdr:cNvPr>
        <xdr:cNvSpPr/>
      </xdr:nvSpPr>
      <xdr:spPr>
        <a:xfrm>
          <a:off x="1362074" y="628649"/>
          <a:ext cx="1123951" cy="25717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ysClr val="windowText" lastClr="000000"/>
              </a:solidFill>
            </a:rPr>
            <a:t>FINANCIERA</a:t>
          </a:r>
        </a:p>
      </xdr:txBody>
    </xdr:sp>
    <xdr:clientData/>
  </xdr:twoCellAnchor>
  <xdr:twoCellAnchor>
    <xdr:from>
      <xdr:col>3</xdr:col>
      <xdr:colOff>704850</xdr:colOff>
      <xdr:row>1</xdr:row>
      <xdr:rowOff>133350</xdr:rowOff>
    </xdr:from>
    <xdr:to>
      <xdr:col>6</xdr:col>
      <xdr:colOff>123826</xdr:colOff>
      <xdr:row>2</xdr:row>
      <xdr:rowOff>1</xdr:rowOff>
    </xdr:to>
    <xdr:sp macro="" textlink="">
      <xdr:nvSpPr>
        <xdr:cNvPr id="14" name="Rectángulo 13">
          <a:hlinkClick xmlns:r="http://schemas.openxmlformats.org/officeDocument/2006/relationships" r:id="rId2"/>
        </xdr:cNvPr>
        <xdr:cNvSpPr/>
      </xdr:nvSpPr>
      <xdr:spPr>
        <a:xfrm>
          <a:off x="2562225" y="628650"/>
          <a:ext cx="1123951" cy="257176"/>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CLIENTES</a:t>
          </a:r>
        </a:p>
      </xdr:txBody>
    </xdr:sp>
    <xdr:clientData/>
  </xdr:twoCellAnchor>
  <xdr:twoCellAnchor>
    <xdr:from>
      <xdr:col>6</xdr:col>
      <xdr:colOff>219075</xdr:colOff>
      <xdr:row>1</xdr:row>
      <xdr:rowOff>133350</xdr:rowOff>
    </xdr:from>
    <xdr:to>
      <xdr:col>7</xdr:col>
      <xdr:colOff>581026</xdr:colOff>
      <xdr:row>2</xdr:row>
      <xdr:rowOff>1</xdr:rowOff>
    </xdr:to>
    <xdr:sp macro="" textlink="">
      <xdr:nvSpPr>
        <xdr:cNvPr id="15" name="Rectángulo 14">
          <a:hlinkClick xmlns:r="http://schemas.openxmlformats.org/officeDocument/2006/relationships" r:id="rId3"/>
        </xdr:cNvPr>
        <xdr:cNvSpPr/>
      </xdr:nvSpPr>
      <xdr:spPr>
        <a:xfrm>
          <a:off x="3781425" y="628650"/>
          <a:ext cx="1123951" cy="257176"/>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PROCESOS</a:t>
          </a:r>
        </a:p>
      </xdr:txBody>
    </xdr:sp>
    <xdr:clientData/>
  </xdr:twoCellAnchor>
  <xdr:twoCellAnchor>
    <xdr:from>
      <xdr:col>7</xdr:col>
      <xdr:colOff>666750</xdr:colOff>
      <xdr:row>1</xdr:row>
      <xdr:rowOff>133350</xdr:rowOff>
    </xdr:from>
    <xdr:to>
      <xdr:col>9</xdr:col>
      <xdr:colOff>666751</xdr:colOff>
      <xdr:row>2</xdr:row>
      <xdr:rowOff>1</xdr:rowOff>
    </xdr:to>
    <xdr:sp macro="" textlink="">
      <xdr:nvSpPr>
        <xdr:cNvPr id="16" name="Rectángulo 15">
          <a:hlinkClick xmlns:r="http://schemas.openxmlformats.org/officeDocument/2006/relationships" r:id="rId4"/>
        </xdr:cNvPr>
        <xdr:cNvSpPr/>
      </xdr:nvSpPr>
      <xdr:spPr>
        <a:xfrm>
          <a:off x="4991100" y="628650"/>
          <a:ext cx="1123951" cy="257176"/>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APRENDIZAJE</a:t>
          </a:r>
        </a:p>
      </xdr:txBody>
    </xdr:sp>
    <xdr:clientData/>
  </xdr:twoCellAnchor>
  <xdr:twoCellAnchor editAs="oneCell">
    <xdr:from>
      <xdr:col>0</xdr:col>
      <xdr:colOff>76201</xdr:colOff>
      <xdr:row>0</xdr:row>
      <xdr:rowOff>47625</xdr:rowOff>
    </xdr:from>
    <xdr:to>
      <xdr:col>2</xdr:col>
      <xdr:colOff>476250</xdr:colOff>
      <xdr:row>0</xdr:row>
      <xdr:rowOff>466724</xdr:rowOff>
    </xdr:to>
    <xdr:pic>
      <xdr:nvPicPr>
        <xdr:cNvPr id="22" name="Imagen 21"/>
        <xdr:cNvPicPr>
          <a:picLocks noChangeAspect="1"/>
        </xdr:cNvPicPr>
      </xdr:nvPicPr>
      <xdr:blipFill rotWithShape="1">
        <a:blip xmlns:r="http://schemas.openxmlformats.org/officeDocument/2006/relationships" r:embed="rId5"/>
        <a:srcRect l="10995" t="55907" r="34962" b="15302"/>
        <a:stretch/>
      </xdr:blipFill>
      <xdr:spPr>
        <a:xfrm>
          <a:off x="76201" y="47625"/>
          <a:ext cx="1466849" cy="419099"/>
        </a:xfrm>
        <a:prstGeom prst="rect">
          <a:avLst/>
        </a:prstGeom>
      </xdr:spPr>
    </xdr:pic>
    <xdr:clientData/>
  </xdr:twoCellAnchor>
  <xdr:twoCellAnchor>
    <xdr:from>
      <xdr:col>2</xdr:col>
      <xdr:colOff>666749</xdr:colOff>
      <xdr:row>0</xdr:row>
      <xdr:rowOff>9525</xdr:rowOff>
    </xdr:from>
    <xdr:to>
      <xdr:col>5</xdr:col>
      <xdr:colOff>133350</xdr:colOff>
      <xdr:row>1</xdr:row>
      <xdr:rowOff>0</xdr:rowOff>
    </xdr:to>
    <xdr:sp macro="" textlink="">
      <xdr:nvSpPr>
        <xdr:cNvPr id="23" name="Rectángulo 22">
          <a:hlinkClick xmlns:r="http://schemas.openxmlformats.org/officeDocument/2006/relationships" r:id="rId6"/>
        </xdr:cNvPr>
        <xdr:cNvSpPr/>
      </xdr:nvSpPr>
      <xdr:spPr>
        <a:xfrm>
          <a:off x="1733549"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GENERALIDADES</a:t>
          </a:r>
        </a:p>
      </xdr:txBody>
    </xdr:sp>
    <xdr:clientData/>
  </xdr:twoCellAnchor>
  <xdr:twoCellAnchor>
    <xdr:from>
      <xdr:col>5</xdr:col>
      <xdr:colOff>161924</xdr:colOff>
      <xdr:row>0</xdr:row>
      <xdr:rowOff>9525</xdr:rowOff>
    </xdr:from>
    <xdr:to>
      <xdr:col>6</xdr:col>
      <xdr:colOff>600075</xdr:colOff>
      <xdr:row>1</xdr:row>
      <xdr:rowOff>0</xdr:rowOff>
    </xdr:to>
    <xdr:sp macro="" textlink="">
      <xdr:nvSpPr>
        <xdr:cNvPr id="24" name="Rectángulo 23">
          <a:hlinkClick xmlns:r="http://schemas.openxmlformats.org/officeDocument/2006/relationships" r:id="rId1"/>
        </xdr:cNvPr>
        <xdr:cNvSpPr/>
      </xdr:nvSpPr>
      <xdr:spPr>
        <a:xfrm>
          <a:off x="2962274" y="9525"/>
          <a:ext cx="1200151" cy="485775"/>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OBJETIVOS</a:t>
          </a:r>
        </a:p>
      </xdr:txBody>
    </xdr:sp>
    <xdr:clientData/>
  </xdr:twoCellAnchor>
  <xdr:twoCellAnchor>
    <xdr:from>
      <xdr:col>6</xdr:col>
      <xdr:colOff>628649</xdr:colOff>
      <xdr:row>0</xdr:row>
      <xdr:rowOff>9525</xdr:rowOff>
    </xdr:from>
    <xdr:to>
      <xdr:col>8</xdr:col>
      <xdr:colOff>304800</xdr:colOff>
      <xdr:row>1</xdr:row>
      <xdr:rowOff>0</xdr:rowOff>
    </xdr:to>
    <xdr:sp macro="" textlink="">
      <xdr:nvSpPr>
        <xdr:cNvPr id="25" name="Rectángulo 24">
          <a:hlinkClick xmlns:r="http://schemas.openxmlformats.org/officeDocument/2006/relationships" r:id="rId7"/>
        </xdr:cNvPr>
        <xdr:cNvSpPr/>
      </xdr:nvSpPr>
      <xdr:spPr>
        <a:xfrm>
          <a:off x="4190999"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ESTRATEGIAS</a:t>
          </a:r>
        </a:p>
      </xdr:txBody>
    </xdr:sp>
    <xdr:clientData/>
  </xdr:twoCellAnchor>
  <xdr:twoCellAnchor>
    <xdr:from>
      <xdr:col>8</xdr:col>
      <xdr:colOff>333374</xdr:colOff>
      <xdr:row>0</xdr:row>
      <xdr:rowOff>9525</xdr:rowOff>
    </xdr:from>
    <xdr:to>
      <xdr:col>10</xdr:col>
      <xdr:colOff>409575</xdr:colOff>
      <xdr:row>1</xdr:row>
      <xdr:rowOff>0</xdr:rowOff>
    </xdr:to>
    <xdr:sp macro="" textlink="">
      <xdr:nvSpPr>
        <xdr:cNvPr id="26" name="Rectángulo 25">
          <a:hlinkClick xmlns:r="http://schemas.openxmlformats.org/officeDocument/2006/relationships" r:id="rId8"/>
        </xdr:cNvPr>
        <xdr:cNvSpPr/>
      </xdr:nvSpPr>
      <xdr:spPr>
        <a:xfrm>
          <a:off x="5419724"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PROGRAMACIÓN</a:t>
          </a:r>
        </a:p>
      </xdr:txBody>
    </xdr:sp>
    <xdr:clientData/>
  </xdr:twoCellAnchor>
  <xdr:twoCellAnchor>
    <xdr:from>
      <xdr:col>10</xdr:col>
      <xdr:colOff>438149</xdr:colOff>
      <xdr:row>0</xdr:row>
      <xdr:rowOff>9525</xdr:rowOff>
    </xdr:from>
    <xdr:to>
      <xdr:col>12</xdr:col>
      <xdr:colOff>114300</xdr:colOff>
      <xdr:row>1</xdr:row>
      <xdr:rowOff>0</xdr:rowOff>
    </xdr:to>
    <xdr:sp macro="" textlink="">
      <xdr:nvSpPr>
        <xdr:cNvPr id="27" name="Rectángulo 26">
          <a:hlinkClick xmlns:r="http://schemas.openxmlformats.org/officeDocument/2006/relationships" r:id="rId9"/>
        </xdr:cNvPr>
        <xdr:cNvSpPr/>
      </xdr:nvSpPr>
      <xdr:spPr>
        <a:xfrm>
          <a:off x="6648449"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DASHBOARDS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295274</xdr:colOff>
      <xdr:row>1</xdr:row>
      <xdr:rowOff>133349</xdr:rowOff>
    </xdr:from>
    <xdr:to>
      <xdr:col>3</xdr:col>
      <xdr:colOff>628650</xdr:colOff>
      <xdr:row>2</xdr:row>
      <xdr:rowOff>0</xdr:rowOff>
    </xdr:to>
    <xdr:sp macro="" textlink="">
      <xdr:nvSpPr>
        <xdr:cNvPr id="2" name="Rectángulo 1">
          <a:hlinkClick xmlns:r="http://schemas.openxmlformats.org/officeDocument/2006/relationships" r:id="rId1"/>
        </xdr:cNvPr>
        <xdr:cNvSpPr/>
      </xdr:nvSpPr>
      <xdr:spPr>
        <a:xfrm>
          <a:off x="1362074" y="628649"/>
          <a:ext cx="1123951" cy="257176"/>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FINANCIERA</a:t>
          </a:r>
        </a:p>
      </xdr:txBody>
    </xdr:sp>
    <xdr:clientData/>
  </xdr:twoCellAnchor>
  <xdr:twoCellAnchor>
    <xdr:from>
      <xdr:col>3</xdr:col>
      <xdr:colOff>704850</xdr:colOff>
      <xdr:row>1</xdr:row>
      <xdr:rowOff>133350</xdr:rowOff>
    </xdr:from>
    <xdr:to>
      <xdr:col>5</xdr:col>
      <xdr:colOff>123826</xdr:colOff>
      <xdr:row>2</xdr:row>
      <xdr:rowOff>0</xdr:rowOff>
    </xdr:to>
    <xdr:sp macro="" textlink="">
      <xdr:nvSpPr>
        <xdr:cNvPr id="3" name="Rectángulo 2">
          <a:hlinkClick xmlns:r="http://schemas.openxmlformats.org/officeDocument/2006/relationships" r:id="rId2"/>
        </xdr:cNvPr>
        <xdr:cNvSpPr/>
      </xdr:nvSpPr>
      <xdr:spPr>
        <a:xfrm>
          <a:off x="2562225" y="628650"/>
          <a:ext cx="1123951" cy="25717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ysClr val="windowText" lastClr="000000"/>
              </a:solidFill>
            </a:rPr>
            <a:t>CLIENTES</a:t>
          </a:r>
        </a:p>
      </xdr:txBody>
    </xdr:sp>
    <xdr:clientData/>
  </xdr:twoCellAnchor>
  <xdr:twoCellAnchor>
    <xdr:from>
      <xdr:col>5</xdr:col>
      <xdr:colOff>219075</xdr:colOff>
      <xdr:row>1</xdr:row>
      <xdr:rowOff>133350</xdr:rowOff>
    </xdr:from>
    <xdr:to>
      <xdr:col>6</xdr:col>
      <xdr:colOff>581026</xdr:colOff>
      <xdr:row>2</xdr:row>
      <xdr:rowOff>0</xdr:rowOff>
    </xdr:to>
    <xdr:sp macro="" textlink="">
      <xdr:nvSpPr>
        <xdr:cNvPr id="4" name="Rectángulo 3">
          <a:hlinkClick xmlns:r="http://schemas.openxmlformats.org/officeDocument/2006/relationships" r:id="rId3"/>
        </xdr:cNvPr>
        <xdr:cNvSpPr/>
      </xdr:nvSpPr>
      <xdr:spPr>
        <a:xfrm>
          <a:off x="3781425" y="628650"/>
          <a:ext cx="1123951" cy="257176"/>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PROCESOS</a:t>
          </a:r>
        </a:p>
      </xdr:txBody>
    </xdr:sp>
    <xdr:clientData/>
  </xdr:twoCellAnchor>
  <xdr:twoCellAnchor>
    <xdr:from>
      <xdr:col>6</xdr:col>
      <xdr:colOff>666750</xdr:colOff>
      <xdr:row>1</xdr:row>
      <xdr:rowOff>133350</xdr:rowOff>
    </xdr:from>
    <xdr:to>
      <xdr:col>8</xdr:col>
      <xdr:colOff>666751</xdr:colOff>
      <xdr:row>2</xdr:row>
      <xdr:rowOff>0</xdr:rowOff>
    </xdr:to>
    <xdr:sp macro="" textlink="">
      <xdr:nvSpPr>
        <xdr:cNvPr id="5" name="Rectángulo 4">
          <a:hlinkClick xmlns:r="http://schemas.openxmlformats.org/officeDocument/2006/relationships" r:id="rId4"/>
        </xdr:cNvPr>
        <xdr:cNvSpPr/>
      </xdr:nvSpPr>
      <xdr:spPr>
        <a:xfrm>
          <a:off x="4991100" y="628650"/>
          <a:ext cx="1123951" cy="257176"/>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APRENDIZAJE</a:t>
          </a:r>
        </a:p>
      </xdr:txBody>
    </xdr:sp>
    <xdr:clientData/>
  </xdr:twoCellAnchor>
  <xdr:twoCellAnchor>
    <xdr:from>
      <xdr:col>2</xdr:col>
      <xdr:colOff>666749</xdr:colOff>
      <xdr:row>0</xdr:row>
      <xdr:rowOff>9525</xdr:rowOff>
    </xdr:from>
    <xdr:to>
      <xdr:col>4</xdr:col>
      <xdr:colOff>133350</xdr:colOff>
      <xdr:row>1</xdr:row>
      <xdr:rowOff>0</xdr:rowOff>
    </xdr:to>
    <xdr:sp macro="" textlink="">
      <xdr:nvSpPr>
        <xdr:cNvPr id="7" name="Rectángulo 6">
          <a:hlinkClick xmlns:r="http://schemas.openxmlformats.org/officeDocument/2006/relationships" r:id="rId5"/>
        </xdr:cNvPr>
        <xdr:cNvSpPr/>
      </xdr:nvSpPr>
      <xdr:spPr>
        <a:xfrm>
          <a:off x="1733549"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GENERALIDADES</a:t>
          </a:r>
        </a:p>
      </xdr:txBody>
    </xdr:sp>
    <xdr:clientData/>
  </xdr:twoCellAnchor>
  <xdr:twoCellAnchor>
    <xdr:from>
      <xdr:col>4</xdr:col>
      <xdr:colOff>161924</xdr:colOff>
      <xdr:row>0</xdr:row>
      <xdr:rowOff>9525</xdr:rowOff>
    </xdr:from>
    <xdr:to>
      <xdr:col>5</xdr:col>
      <xdr:colOff>600075</xdr:colOff>
      <xdr:row>1</xdr:row>
      <xdr:rowOff>0</xdr:rowOff>
    </xdr:to>
    <xdr:sp macro="" textlink="">
      <xdr:nvSpPr>
        <xdr:cNvPr id="8" name="Rectángulo 7">
          <a:hlinkClick xmlns:r="http://schemas.openxmlformats.org/officeDocument/2006/relationships" r:id="rId1"/>
        </xdr:cNvPr>
        <xdr:cNvSpPr/>
      </xdr:nvSpPr>
      <xdr:spPr>
        <a:xfrm>
          <a:off x="2962274" y="9525"/>
          <a:ext cx="1200151" cy="485775"/>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OBJETIVOS</a:t>
          </a:r>
        </a:p>
      </xdr:txBody>
    </xdr:sp>
    <xdr:clientData/>
  </xdr:twoCellAnchor>
  <xdr:twoCellAnchor>
    <xdr:from>
      <xdr:col>5</xdr:col>
      <xdr:colOff>628649</xdr:colOff>
      <xdr:row>0</xdr:row>
      <xdr:rowOff>9525</xdr:rowOff>
    </xdr:from>
    <xdr:to>
      <xdr:col>7</xdr:col>
      <xdr:colOff>304800</xdr:colOff>
      <xdr:row>1</xdr:row>
      <xdr:rowOff>0</xdr:rowOff>
    </xdr:to>
    <xdr:sp macro="" textlink="">
      <xdr:nvSpPr>
        <xdr:cNvPr id="9" name="Rectángulo 8">
          <a:hlinkClick xmlns:r="http://schemas.openxmlformats.org/officeDocument/2006/relationships" r:id="rId6"/>
        </xdr:cNvPr>
        <xdr:cNvSpPr/>
      </xdr:nvSpPr>
      <xdr:spPr>
        <a:xfrm>
          <a:off x="4190999"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ESTRATEGIAS</a:t>
          </a:r>
        </a:p>
      </xdr:txBody>
    </xdr:sp>
    <xdr:clientData/>
  </xdr:twoCellAnchor>
  <xdr:twoCellAnchor>
    <xdr:from>
      <xdr:col>7</xdr:col>
      <xdr:colOff>333374</xdr:colOff>
      <xdr:row>0</xdr:row>
      <xdr:rowOff>9525</xdr:rowOff>
    </xdr:from>
    <xdr:to>
      <xdr:col>9</xdr:col>
      <xdr:colOff>409575</xdr:colOff>
      <xdr:row>1</xdr:row>
      <xdr:rowOff>0</xdr:rowOff>
    </xdr:to>
    <xdr:sp macro="" textlink="">
      <xdr:nvSpPr>
        <xdr:cNvPr id="10" name="Rectángulo 9">
          <a:hlinkClick xmlns:r="http://schemas.openxmlformats.org/officeDocument/2006/relationships" r:id="rId7"/>
        </xdr:cNvPr>
        <xdr:cNvSpPr/>
      </xdr:nvSpPr>
      <xdr:spPr>
        <a:xfrm>
          <a:off x="5419724"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PROGRAMACIÓN</a:t>
          </a:r>
        </a:p>
      </xdr:txBody>
    </xdr:sp>
    <xdr:clientData/>
  </xdr:twoCellAnchor>
  <xdr:twoCellAnchor>
    <xdr:from>
      <xdr:col>9</xdr:col>
      <xdr:colOff>438149</xdr:colOff>
      <xdr:row>0</xdr:row>
      <xdr:rowOff>9525</xdr:rowOff>
    </xdr:from>
    <xdr:to>
      <xdr:col>11</xdr:col>
      <xdr:colOff>114300</xdr:colOff>
      <xdr:row>1</xdr:row>
      <xdr:rowOff>0</xdr:rowOff>
    </xdr:to>
    <xdr:sp macro="" textlink="">
      <xdr:nvSpPr>
        <xdr:cNvPr id="11" name="Rectángulo 10">
          <a:hlinkClick xmlns:r="http://schemas.openxmlformats.org/officeDocument/2006/relationships" r:id="rId8"/>
        </xdr:cNvPr>
        <xdr:cNvSpPr/>
      </xdr:nvSpPr>
      <xdr:spPr>
        <a:xfrm>
          <a:off x="6648449" y="9525"/>
          <a:ext cx="1200151" cy="485775"/>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t>DASHBOARDS</a:t>
          </a:r>
        </a:p>
      </xdr:txBody>
    </xdr:sp>
    <xdr:clientData/>
  </xdr:twoCellAnchor>
  <xdr:twoCellAnchor editAs="oneCell">
    <xdr:from>
      <xdr:col>0</xdr:col>
      <xdr:colOff>76200</xdr:colOff>
      <xdr:row>0</xdr:row>
      <xdr:rowOff>47625</xdr:rowOff>
    </xdr:from>
    <xdr:to>
      <xdr:col>2</xdr:col>
      <xdr:colOff>476249</xdr:colOff>
      <xdr:row>0</xdr:row>
      <xdr:rowOff>466724</xdr:rowOff>
    </xdr:to>
    <xdr:pic>
      <xdr:nvPicPr>
        <xdr:cNvPr id="12" name="Imagen 11"/>
        <xdr:cNvPicPr>
          <a:picLocks noChangeAspect="1"/>
        </xdr:cNvPicPr>
      </xdr:nvPicPr>
      <xdr:blipFill rotWithShape="1">
        <a:blip xmlns:r="http://schemas.openxmlformats.org/officeDocument/2006/relationships" r:embed="rId9"/>
        <a:srcRect l="10995" t="55907" r="34962" b="15302"/>
        <a:stretch/>
      </xdr:blipFill>
      <xdr:spPr>
        <a:xfrm>
          <a:off x="76200" y="47625"/>
          <a:ext cx="1466849" cy="419099"/>
        </a:xfrm>
        <a:prstGeom prst="rect">
          <a:avLst/>
        </a:prstGeom>
      </xdr:spPr>
    </xdr:pic>
    <xdr:clientData/>
  </xdr:twoCellAnchor>
  <xdr:twoCellAnchor>
    <xdr:from>
      <xdr:col>3</xdr:col>
      <xdr:colOff>704850</xdr:colOff>
      <xdr:row>2</xdr:row>
      <xdr:rowOff>0</xdr:rowOff>
    </xdr:from>
    <xdr:to>
      <xdr:col>6</xdr:col>
      <xdr:colOff>123826</xdr:colOff>
      <xdr:row>2</xdr:row>
      <xdr:rowOff>1</xdr:rowOff>
    </xdr:to>
    <xdr:sp macro="" textlink="">
      <xdr:nvSpPr>
        <xdr:cNvPr id="16" name="Rectángulo 15">
          <a:hlinkClick xmlns:r="http://schemas.openxmlformats.org/officeDocument/2006/relationships" r:id="rId2"/>
        </xdr:cNvPr>
        <xdr:cNvSpPr/>
      </xdr:nvSpPr>
      <xdr:spPr>
        <a:xfrm>
          <a:off x="2562225" y="628650"/>
          <a:ext cx="1114426" cy="257176"/>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CLIENTES</a:t>
          </a:r>
        </a:p>
      </xdr:txBody>
    </xdr:sp>
    <xdr:clientData/>
  </xdr:twoCellAnchor>
  <xdr:twoCellAnchor>
    <xdr:from>
      <xdr:col>6</xdr:col>
      <xdr:colOff>219075</xdr:colOff>
      <xdr:row>2</xdr:row>
      <xdr:rowOff>0</xdr:rowOff>
    </xdr:from>
    <xdr:to>
      <xdr:col>7</xdr:col>
      <xdr:colOff>581026</xdr:colOff>
      <xdr:row>2</xdr:row>
      <xdr:rowOff>1</xdr:rowOff>
    </xdr:to>
    <xdr:sp macro="" textlink="">
      <xdr:nvSpPr>
        <xdr:cNvPr id="17" name="Rectángulo 16">
          <a:hlinkClick xmlns:r="http://schemas.openxmlformats.org/officeDocument/2006/relationships" r:id="rId3"/>
        </xdr:cNvPr>
        <xdr:cNvSpPr/>
      </xdr:nvSpPr>
      <xdr:spPr>
        <a:xfrm>
          <a:off x="3771900" y="628650"/>
          <a:ext cx="1123951" cy="257176"/>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PROCESOS</a:t>
          </a:r>
        </a:p>
      </xdr:txBody>
    </xdr:sp>
    <xdr:clientData/>
  </xdr:twoCellAnchor>
  <xdr:twoCellAnchor>
    <xdr:from>
      <xdr:col>7</xdr:col>
      <xdr:colOff>666750</xdr:colOff>
      <xdr:row>2</xdr:row>
      <xdr:rowOff>0</xdr:rowOff>
    </xdr:from>
    <xdr:to>
      <xdr:col>9</xdr:col>
      <xdr:colOff>666751</xdr:colOff>
      <xdr:row>2</xdr:row>
      <xdr:rowOff>1</xdr:rowOff>
    </xdr:to>
    <xdr:sp macro="" textlink="">
      <xdr:nvSpPr>
        <xdr:cNvPr id="18" name="Rectángulo 17">
          <a:hlinkClick xmlns:r="http://schemas.openxmlformats.org/officeDocument/2006/relationships" r:id="rId4"/>
        </xdr:cNvPr>
        <xdr:cNvSpPr/>
      </xdr:nvSpPr>
      <xdr:spPr>
        <a:xfrm>
          <a:off x="4981575" y="628650"/>
          <a:ext cx="1123951" cy="257176"/>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chemeClr val="bg1"/>
              </a:solidFill>
            </a:rPr>
            <a:t>APRENDIZAJE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D_GALLEGOS" refreshedDate="44305.569783333332" createdVersion="5" refreshedVersion="5" minRefreshableVersion="3" recordCount="120">
  <cacheSource type="worksheet">
    <worksheetSource ref="H2:L122" sheet="Hoja2"/>
  </cacheSource>
  <cacheFields count="5">
    <cacheField name="MES" numFmtId="0">
      <sharedItems count="12">
        <s v="ENERO"/>
        <s v="FEBRERO"/>
        <s v="MARZO"/>
        <s v="ABRIL"/>
        <s v="MAYO"/>
        <s v="JUNIO"/>
        <s v="JULIO"/>
        <s v="AGOSTO"/>
        <s v="SEPTIEMBRE"/>
        <s v="OCTUBRE"/>
        <s v="NOVIEMBRE"/>
        <s v="DICIEMBRE"/>
      </sharedItems>
    </cacheField>
    <cacheField name="INDICADOR" numFmtId="0">
      <sharedItems count="11">
        <s v="Satisfacción servicio al cliente"/>
        <s v="Imagen Institucional"/>
        <s v=" Satisfacción productos de crédito                 "/>
        <s v="Satisfacción Productos de Ahorro        "/>
        <s v="Total de socios activos/Total de socios activos e inactivos"/>
        <s v="Saldo total del ahorro / Número de Cuenta Ahorristas"/>
        <s v="Crecimiento de socios con crédito"/>
        <s v="Crecimiento de número de socios depósitos a plazo fijo"/>
        <s v="Crecimiento de ahorro a la vista"/>
        <s v="Medición del balance social"/>
        <s v="Satisfacción productos de crédito                 "/>
      </sharedItems>
    </cacheField>
    <cacheField name="META" numFmtId="0">
      <sharedItems containsSemiMixedTypes="0" containsString="0" containsNumber="1" minValue="0.3322" maxValue="2790480.1244999999"/>
    </cacheField>
    <cacheField name="CUMPLIMIENTO" numFmtId="0">
      <sharedItems containsSemiMixedTypes="0" containsString="0" containsNumber="1" minValue="0" maxValue="2718482.99"/>
    </cacheField>
    <cacheField name="DIFERENCIA" numFmtId="0">
      <sharedItems containsSemiMixedTypes="0" containsString="0" containsNumber="1" minValue="-2790480.1244999999" maxValue="38"/>
    </cacheField>
  </cacheFields>
  <extLst>
    <ext xmlns:x14="http://schemas.microsoft.com/office/spreadsheetml/2009/9/main" uri="{725AE2AE-9491-48be-B2B4-4EB974FC3084}">
      <x14:pivotCacheDefinition pivotCacheId="3"/>
    </ext>
  </extLst>
</pivotCacheDefinition>
</file>

<file path=xl/pivotCache/pivotCacheDefinition2.xml><?xml version="1.0" encoding="utf-8"?>
<pivotCacheDefinition xmlns="http://schemas.openxmlformats.org/spreadsheetml/2006/main" xmlns:r="http://schemas.openxmlformats.org/officeDocument/2006/relationships" r:id="rId1" refreshedBy="D_GALLEGOS" refreshedDate="44305.569783796294" createdVersion="5" refreshedVersion="5" minRefreshableVersion="3" recordCount="36">
  <cacheSource type="worksheet">
    <worksheetSource ref="T2:X38" sheet="Hoja2"/>
  </cacheSource>
  <cacheFields count="5">
    <cacheField name="MES" numFmtId="0">
      <sharedItems count="12">
        <s v="ENERO"/>
        <s v="FEBRERO"/>
        <s v="MARZO"/>
        <s v="ABRIL"/>
        <s v="MAYO"/>
        <s v="JUNIO"/>
        <s v="JULIO"/>
        <s v="AGOSTO"/>
        <s v="SEPTIEMBRE"/>
        <s v="OCTUBRE"/>
        <s v="NOVIEMBRE"/>
        <s v="DICIEMBRE"/>
      </sharedItems>
    </cacheField>
    <cacheField name="INDICADOR" numFmtId="0">
      <sharedItems count="3">
        <s v="Avance del Plan Estratégico"/>
        <s v="Clima Laboral"/>
        <s v="Indicador de Gobernanza"/>
      </sharedItems>
    </cacheField>
    <cacheField name="META" numFmtId="9">
      <sharedItems containsSemiMixedTypes="0" containsString="0" containsNumber="1" minValue="0.25" maxValue="0.85"/>
    </cacheField>
    <cacheField name="CUMPLIMIENTO" numFmtId="9">
      <sharedItems containsSemiMixedTypes="0" containsString="0" containsNumber="1" minValue="0" maxValue="0.94110000000000005"/>
    </cacheField>
    <cacheField name="DIFERENCIA" numFmtId="9">
      <sharedItems containsSemiMixedTypes="0" containsString="0" containsNumber="1" minValue="-0.85" maxValue="9.110000000000007E-2"/>
    </cacheField>
  </cacheFields>
  <extLst>
    <ext xmlns:x14="http://schemas.microsoft.com/office/spreadsheetml/2009/9/main" uri="{725AE2AE-9491-48be-B2B4-4EB974FC3084}">
      <x14:pivotCacheDefinition pivotCacheId="5"/>
    </ext>
  </extLst>
</pivotCacheDefinition>
</file>

<file path=xl/pivotCache/pivotCacheDefinition3.xml><?xml version="1.0" encoding="utf-8"?>
<pivotCacheDefinition xmlns="http://schemas.openxmlformats.org/spreadsheetml/2006/main" xmlns:r="http://schemas.openxmlformats.org/officeDocument/2006/relationships" r:id="rId1" refreshedBy="D_GALLEGOS" refreshedDate="44305.569784027779" createdVersion="5" refreshedVersion="5" minRefreshableVersion="3" recordCount="72">
  <cacheSource type="worksheet">
    <worksheetSource ref="N2:R74" sheet="Hoja2"/>
  </cacheSource>
  <cacheFields count="5">
    <cacheField name="MES" numFmtId="0">
      <sharedItems count="12">
        <s v="ENERO"/>
        <s v="FEBRERO"/>
        <s v="MARZO"/>
        <s v="ABRIL"/>
        <s v="MAYO"/>
        <s v="JUNIO"/>
        <s v="JULIO"/>
        <s v="AGOSTO"/>
        <s v="SEPTIEMBRE"/>
        <s v="OCTUBRE"/>
        <s v="NOVIEMBRE"/>
        <s v="DICIEMBRE"/>
      </sharedItems>
    </cacheField>
    <cacheField name="INDICADOR" numFmtId="0">
      <sharedItems count="6">
        <s v="Gestión documental"/>
        <s v="Documentación de eventos de riesgo levantados"/>
        <s v="Políticas institucionales evaluadas"/>
        <s v="Cumplimiento seguridades físicas"/>
        <s v="Ticket solucionados"/>
        <s v="Cumplimiento de acuerdo de niveles de servicio"/>
      </sharedItems>
    </cacheField>
    <cacheField name="META" numFmtId="10">
      <sharedItems containsSemiMixedTypes="0" containsString="0" containsNumber="1" minValue="0.6" maxValue="0.85"/>
    </cacheField>
    <cacheField name="CUMPLIMIENTO" numFmtId="9">
      <sharedItems containsSemiMixedTypes="0" containsString="0" containsNumber="1" minValue="0" maxValue="1.6"/>
    </cacheField>
    <cacheField name="DIFERENCIA" numFmtId="10">
      <sharedItems containsSemiMixedTypes="0" containsString="0" containsNumber="1" minValue="-0.85" maxValue="0.75000000000000011"/>
    </cacheField>
  </cacheFields>
  <extLst>
    <ext xmlns:x14="http://schemas.microsoft.com/office/spreadsheetml/2009/9/main" uri="{725AE2AE-9491-48be-B2B4-4EB974FC3084}">
      <x14:pivotCacheDefinition pivotCacheId="4"/>
    </ext>
  </extLst>
</pivotCacheDefinition>
</file>

<file path=xl/pivotCache/pivotCacheDefinition4.xml><?xml version="1.0" encoding="utf-8"?>
<pivotCacheDefinition xmlns="http://schemas.openxmlformats.org/spreadsheetml/2006/main" xmlns:r="http://schemas.openxmlformats.org/officeDocument/2006/relationships" r:id="rId1" refreshedBy="D_GALLEGOS" refreshedDate="44305.569784143518" createdVersion="5" refreshedVersion="5" minRefreshableVersion="3" recordCount="156">
  <cacheSource type="worksheet">
    <worksheetSource ref="B2:F158" sheet="Hoja2"/>
  </cacheSource>
  <cacheFields count="5">
    <cacheField name="MES" numFmtId="0">
      <sharedItems count="12">
        <s v="ENERO"/>
        <s v="FEBRERO"/>
        <s v="MARZO"/>
        <s v="ABRIL"/>
        <s v="MAYO"/>
        <s v="JUNIO"/>
        <s v="JULIO"/>
        <s v="AGOSTO"/>
        <s v="SEPTIEMBRE"/>
        <s v="OCTUBRE"/>
        <s v="NOVIEMBRE"/>
        <s v="DICIEMBRE"/>
      </sharedItems>
    </cacheField>
    <cacheField name="INDICADOR" numFmtId="0">
      <sharedItems count="13">
        <s v="Crecimiento de Cartera"/>
        <s v="Captaciones del periodo"/>
        <s v="Financiamiento del periodo"/>
        <s v="Mejoramiento de la Solidez "/>
        <s v="Liquidez estructural de primera            "/>
        <s v="Liquidez estructural de segunda línea"/>
        <s v="Gasto de personal "/>
        <s v="Grado de absorción "/>
        <s v="Margen neto de intereses"/>
        <s v="Activos improductivos"/>
        <s v="Cartera improductiva"/>
        <s v="Cobertura de provisiones legales"/>
        <s v="Activos improductivos/(pasivos sin costo de financiamiento + patrimoninio)"/>
      </sharedItems>
    </cacheField>
    <cacheField name="META" numFmtId="0">
      <sharedItems containsSemiMixedTypes="0" containsString="0" containsNumber="1" minValue="6.6590314346624121E-3" maxValue="1.01"/>
    </cacheField>
    <cacheField name="CUMPLIMIENTO" numFmtId="0">
      <sharedItems containsSemiMixedTypes="0" containsString="0" containsNumber="1" minValue="-0.13659112267033893" maxValue="1.0270999999999999"/>
    </cacheField>
    <cacheField name="DIFERENCIA" numFmtId="0">
      <sharedItems containsSemiMixedTypes="0" containsString="0" containsNumber="1" minValue="-1.01" maxValue="0.115"/>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20">
  <r>
    <x v="0"/>
    <x v="0"/>
    <n v="0.3322"/>
    <n v="0.55710000000000004"/>
    <n v="0.22490000000000004"/>
  </r>
  <r>
    <x v="0"/>
    <x v="1"/>
    <n v="0.3589"/>
    <n v="0.4269"/>
    <n v="6.8000000000000005E-2"/>
  </r>
  <r>
    <x v="0"/>
    <x v="2"/>
    <n v="0.50179999999999991"/>
    <n v="0.33250000000000002"/>
    <n v="-0.1692999999999999"/>
  </r>
  <r>
    <x v="0"/>
    <x v="3"/>
    <n v="0.50179999999999991"/>
    <n v="0.8679"/>
    <n v="0.36610000000000009"/>
  </r>
  <r>
    <x v="0"/>
    <x v="4"/>
    <n v="0.4667"/>
    <n v="0.61150000000000004"/>
    <n v="0.14480000000000004"/>
  </r>
  <r>
    <x v="0"/>
    <x v="5"/>
    <n v="125.98"/>
    <n v="149.08000000000001"/>
    <n v="23.100000000000009"/>
  </r>
  <r>
    <x v="0"/>
    <x v="6"/>
    <n v="4217"/>
    <n v="3811"/>
    <n v="-406"/>
  </r>
  <r>
    <x v="0"/>
    <x v="7"/>
    <n v="631"/>
    <n v="656"/>
    <n v="25"/>
  </r>
  <r>
    <x v="0"/>
    <x v="8"/>
    <n v="2790480.1244999999"/>
    <n v="2696370.02"/>
    <n v="-94110.104499999899"/>
  </r>
  <r>
    <x v="0"/>
    <x v="9"/>
    <n v="0.77970000000000006"/>
    <n v="0.73"/>
    <n v="-4.9700000000000077E-2"/>
  </r>
  <r>
    <x v="1"/>
    <x v="0"/>
    <n v="0.3322"/>
    <n v="0.55710000000000004"/>
    <n v="0.22490000000000004"/>
  </r>
  <r>
    <x v="1"/>
    <x v="1"/>
    <n v="0.3589"/>
    <n v="0.4269"/>
    <n v="6.8000000000000005E-2"/>
  </r>
  <r>
    <x v="1"/>
    <x v="2"/>
    <n v="0.50179999999999991"/>
    <n v="0.33250000000000002"/>
    <n v="-0.1692999999999999"/>
  </r>
  <r>
    <x v="1"/>
    <x v="3"/>
    <n v="0.50179999999999991"/>
    <n v="0.8679"/>
    <n v="0.36610000000000009"/>
  </r>
  <r>
    <x v="1"/>
    <x v="4"/>
    <n v="0.4667"/>
    <n v="0.60950000000000004"/>
    <n v="0.14280000000000004"/>
  </r>
  <r>
    <x v="1"/>
    <x v="5"/>
    <n v="125.98"/>
    <n v="148.58000000000001"/>
    <n v="22.600000000000009"/>
  </r>
  <r>
    <x v="1"/>
    <x v="6"/>
    <n v="4217"/>
    <n v="3799"/>
    <n v="-418"/>
  </r>
  <r>
    <x v="1"/>
    <x v="7"/>
    <n v="631"/>
    <n v="663"/>
    <n v="32"/>
  </r>
  <r>
    <x v="1"/>
    <x v="8"/>
    <n v="2790480.1244999999"/>
    <n v="2698218.34"/>
    <n v="-92261.784500000067"/>
  </r>
  <r>
    <x v="1"/>
    <x v="9"/>
    <n v="0.77970000000000006"/>
    <n v="0.73"/>
    <n v="-4.9700000000000077E-2"/>
  </r>
  <r>
    <x v="2"/>
    <x v="0"/>
    <n v="0.3322"/>
    <n v="0.55710000000000004"/>
    <n v="0.22490000000000004"/>
  </r>
  <r>
    <x v="2"/>
    <x v="1"/>
    <n v="0.3589"/>
    <n v="0.4269"/>
    <n v="6.8000000000000005E-2"/>
  </r>
  <r>
    <x v="2"/>
    <x v="10"/>
    <n v="0.50179999999999991"/>
    <n v="0.33250000000000002"/>
    <n v="-0.1692999999999999"/>
  </r>
  <r>
    <x v="2"/>
    <x v="3"/>
    <n v="0.50179999999999991"/>
    <n v="0.8679"/>
    <n v="0.36610000000000009"/>
  </r>
  <r>
    <x v="2"/>
    <x v="4"/>
    <n v="0.4667"/>
    <n v="0.60809999999999997"/>
    <n v="0.14139999999999997"/>
  </r>
  <r>
    <x v="2"/>
    <x v="5"/>
    <n v="125.98"/>
    <n v="151"/>
    <n v="25.019999999999996"/>
  </r>
  <r>
    <x v="2"/>
    <x v="6"/>
    <n v="4217"/>
    <n v="3787"/>
    <n v="-430"/>
  </r>
  <r>
    <x v="2"/>
    <x v="7"/>
    <n v="631"/>
    <n v="669"/>
    <n v="38"/>
  </r>
  <r>
    <x v="2"/>
    <x v="8"/>
    <n v="2790480.1244999999"/>
    <n v="2718482.99"/>
    <n v="-71997.134499999695"/>
  </r>
  <r>
    <x v="2"/>
    <x v="9"/>
    <n v="0.77970000000000006"/>
    <n v="0.73"/>
    <n v="-4.9700000000000077E-2"/>
  </r>
  <r>
    <x v="3"/>
    <x v="0"/>
    <n v="0.3322"/>
    <n v="0"/>
    <n v="-0.3322"/>
  </r>
  <r>
    <x v="3"/>
    <x v="1"/>
    <n v="0.3589"/>
    <n v="0"/>
    <n v="-0.3589"/>
  </r>
  <r>
    <x v="3"/>
    <x v="2"/>
    <n v="0.50179999999999991"/>
    <n v="0"/>
    <n v="-0.50179999999999991"/>
  </r>
  <r>
    <x v="3"/>
    <x v="3"/>
    <n v="0.50179999999999991"/>
    <n v="0"/>
    <n v="-0.50179999999999991"/>
  </r>
  <r>
    <x v="3"/>
    <x v="4"/>
    <n v="0.4667"/>
    <n v="0"/>
    <n v="-0.4667"/>
  </r>
  <r>
    <x v="3"/>
    <x v="5"/>
    <n v="125.98"/>
    <n v="0"/>
    <n v="-125.98"/>
  </r>
  <r>
    <x v="3"/>
    <x v="6"/>
    <n v="4217"/>
    <n v="0"/>
    <n v="-4217"/>
  </r>
  <r>
    <x v="3"/>
    <x v="7"/>
    <n v="631"/>
    <n v="0"/>
    <n v="-631"/>
  </r>
  <r>
    <x v="3"/>
    <x v="8"/>
    <n v="2790480.1244999999"/>
    <n v="0"/>
    <n v="-2790480.1244999999"/>
  </r>
  <r>
    <x v="3"/>
    <x v="9"/>
    <n v="0.77970000000000006"/>
    <n v="0"/>
    <n v="-0.77970000000000006"/>
  </r>
  <r>
    <x v="4"/>
    <x v="0"/>
    <n v="0.3322"/>
    <n v="0"/>
    <n v="-0.3322"/>
  </r>
  <r>
    <x v="4"/>
    <x v="1"/>
    <n v="0.3589"/>
    <n v="0"/>
    <n v="-0.3589"/>
  </r>
  <r>
    <x v="4"/>
    <x v="2"/>
    <n v="0.50179999999999991"/>
    <n v="0"/>
    <n v="-0.50179999999999991"/>
  </r>
  <r>
    <x v="4"/>
    <x v="3"/>
    <n v="0.50179999999999991"/>
    <n v="0"/>
    <n v="-0.50179999999999991"/>
  </r>
  <r>
    <x v="4"/>
    <x v="4"/>
    <n v="0.4667"/>
    <n v="0"/>
    <n v="-0.4667"/>
  </r>
  <r>
    <x v="4"/>
    <x v="5"/>
    <n v="125.98"/>
    <n v="0"/>
    <n v="-125.98"/>
  </r>
  <r>
    <x v="4"/>
    <x v="6"/>
    <n v="4217"/>
    <n v="0"/>
    <n v="-4217"/>
  </r>
  <r>
    <x v="4"/>
    <x v="7"/>
    <n v="631"/>
    <n v="0"/>
    <n v="-631"/>
  </r>
  <r>
    <x v="4"/>
    <x v="8"/>
    <n v="2790480.1244999999"/>
    <n v="0"/>
    <n v="-2790480.1244999999"/>
  </r>
  <r>
    <x v="4"/>
    <x v="9"/>
    <n v="0.77970000000000006"/>
    <n v="0"/>
    <n v="-0.77970000000000006"/>
  </r>
  <r>
    <x v="5"/>
    <x v="0"/>
    <n v="0.3322"/>
    <n v="0"/>
    <n v="-0.3322"/>
  </r>
  <r>
    <x v="5"/>
    <x v="1"/>
    <n v="0.3589"/>
    <n v="0"/>
    <n v="-0.3589"/>
  </r>
  <r>
    <x v="5"/>
    <x v="2"/>
    <n v="0.50179999999999991"/>
    <n v="0"/>
    <n v="-0.50179999999999991"/>
  </r>
  <r>
    <x v="5"/>
    <x v="3"/>
    <n v="0.50179999999999991"/>
    <n v="0"/>
    <n v="-0.50179999999999991"/>
  </r>
  <r>
    <x v="5"/>
    <x v="4"/>
    <n v="0.4667"/>
    <n v="0"/>
    <n v="-0.4667"/>
  </r>
  <r>
    <x v="5"/>
    <x v="5"/>
    <n v="125.98"/>
    <n v="0"/>
    <n v="-125.98"/>
  </r>
  <r>
    <x v="5"/>
    <x v="6"/>
    <n v="4217"/>
    <n v="0"/>
    <n v="-4217"/>
  </r>
  <r>
    <x v="5"/>
    <x v="7"/>
    <n v="631"/>
    <n v="0"/>
    <n v="-631"/>
  </r>
  <r>
    <x v="5"/>
    <x v="8"/>
    <n v="2790480.1244999999"/>
    <n v="0"/>
    <n v="-2790480.1244999999"/>
  </r>
  <r>
    <x v="5"/>
    <x v="9"/>
    <n v="0.77970000000000006"/>
    <n v="0"/>
    <n v="-0.77970000000000006"/>
  </r>
  <r>
    <x v="6"/>
    <x v="0"/>
    <n v="0.3322"/>
    <n v="0"/>
    <n v="-0.3322"/>
  </r>
  <r>
    <x v="6"/>
    <x v="1"/>
    <n v="0.3589"/>
    <n v="0"/>
    <n v="-0.3589"/>
  </r>
  <r>
    <x v="6"/>
    <x v="2"/>
    <n v="0.50179999999999991"/>
    <n v="0"/>
    <n v="-0.50179999999999991"/>
  </r>
  <r>
    <x v="6"/>
    <x v="3"/>
    <n v="0.50179999999999991"/>
    <n v="0"/>
    <n v="-0.50179999999999991"/>
  </r>
  <r>
    <x v="6"/>
    <x v="4"/>
    <n v="0.4667"/>
    <n v="0"/>
    <n v="-0.4667"/>
  </r>
  <r>
    <x v="6"/>
    <x v="5"/>
    <n v="125.98"/>
    <n v="0"/>
    <n v="-125.98"/>
  </r>
  <r>
    <x v="6"/>
    <x v="6"/>
    <n v="4217"/>
    <n v="0"/>
    <n v="-4217"/>
  </r>
  <r>
    <x v="6"/>
    <x v="7"/>
    <n v="631"/>
    <n v="0"/>
    <n v="-631"/>
  </r>
  <r>
    <x v="6"/>
    <x v="8"/>
    <n v="2790480.1244999999"/>
    <n v="0"/>
    <n v="-2790480.1244999999"/>
  </r>
  <r>
    <x v="6"/>
    <x v="9"/>
    <n v="0.77970000000000006"/>
    <n v="0"/>
    <n v="-0.77970000000000006"/>
  </r>
  <r>
    <x v="7"/>
    <x v="0"/>
    <n v="0.3322"/>
    <n v="0"/>
    <n v="-0.3322"/>
  </r>
  <r>
    <x v="7"/>
    <x v="1"/>
    <n v="0.3589"/>
    <n v="0"/>
    <n v="-0.3589"/>
  </r>
  <r>
    <x v="7"/>
    <x v="2"/>
    <n v="0.50179999999999991"/>
    <n v="0"/>
    <n v="-0.50179999999999991"/>
  </r>
  <r>
    <x v="7"/>
    <x v="3"/>
    <n v="0.50179999999999991"/>
    <n v="0"/>
    <n v="-0.50179999999999991"/>
  </r>
  <r>
    <x v="7"/>
    <x v="4"/>
    <n v="0.4667"/>
    <n v="0"/>
    <n v="-0.4667"/>
  </r>
  <r>
    <x v="7"/>
    <x v="5"/>
    <n v="125.98"/>
    <n v="0"/>
    <n v="-125.98"/>
  </r>
  <r>
    <x v="7"/>
    <x v="6"/>
    <n v="4217"/>
    <n v="0"/>
    <n v="-4217"/>
  </r>
  <r>
    <x v="7"/>
    <x v="7"/>
    <n v="631"/>
    <n v="0"/>
    <n v="-631"/>
  </r>
  <r>
    <x v="7"/>
    <x v="8"/>
    <n v="2790480.1244999999"/>
    <n v="0"/>
    <n v="-2790480.1244999999"/>
  </r>
  <r>
    <x v="7"/>
    <x v="9"/>
    <n v="0.77970000000000006"/>
    <n v="0"/>
    <n v="-0.77970000000000006"/>
  </r>
  <r>
    <x v="8"/>
    <x v="0"/>
    <n v="0.3322"/>
    <n v="0"/>
    <n v="-0.3322"/>
  </r>
  <r>
    <x v="8"/>
    <x v="1"/>
    <n v="0.3589"/>
    <n v="0"/>
    <n v="-0.3589"/>
  </r>
  <r>
    <x v="8"/>
    <x v="2"/>
    <n v="0.50179999999999991"/>
    <n v="0"/>
    <n v="-0.50179999999999991"/>
  </r>
  <r>
    <x v="8"/>
    <x v="3"/>
    <n v="0.50179999999999991"/>
    <n v="0"/>
    <n v="-0.50179999999999991"/>
  </r>
  <r>
    <x v="8"/>
    <x v="4"/>
    <n v="0.4667"/>
    <n v="0"/>
    <n v="-0.4667"/>
  </r>
  <r>
    <x v="8"/>
    <x v="5"/>
    <n v="125.98"/>
    <n v="0"/>
    <n v="-125.98"/>
  </r>
  <r>
    <x v="8"/>
    <x v="6"/>
    <n v="4217"/>
    <n v="0"/>
    <n v="-4217"/>
  </r>
  <r>
    <x v="8"/>
    <x v="7"/>
    <n v="631"/>
    <n v="0"/>
    <n v="-631"/>
  </r>
  <r>
    <x v="8"/>
    <x v="8"/>
    <n v="2790480.1244999999"/>
    <n v="0"/>
    <n v="-2790480.1244999999"/>
  </r>
  <r>
    <x v="8"/>
    <x v="9"/>
    <n v="0.77970000000000006"/>
    <n v="0"/>
    <n v="-0.77970000000000006"/>
  </r>
  <r>
    <x v="9"/>
    <x v="0"/>
    <n v="0.3322"/>
    <n v="0"/>
    <n v="-0.3322"/>
  </r>
  <r>
    <x v="9"/>
    <x v="1"/>
    <n v="0.3589"/>
    <n v="0"/>
    <n v="-0.3589"/>
  </r>
  <r>
    <x v="9"/>
    <x v="2"/>
    <n v="0.50179999999999991"/>
    <n v="0"/>
    <n v="-0.50179999999999991"/>
  </r>
  <r>
    <x v="9"/>
    <x v="3"/>
    <n v="0.50179999999999991"/>
    <n v="0"/>
    <n v="-0.50179999999999991"/>
  </r>
  <r>
    <x v="9"/>
    <x v="4"/>
    <n v="0.4667"/>
    <n v="0"/>
    <n v="-0.4667"/>
  </r>
  <r>
    <x v="9"/>
    <x v="5"/>
    <n v="125.98"/>
    <n v="0"/>
    <n v="-125.98"/>
  </r>
  <r>
    <x v="9"/>
    <x v="6"/>
    <n v="4217"/>
    <n v="0"/>
    <n v="-4217"/>
  </r>
  <r>
    <x v="9"/>
    <x v="7"/>
    <n v="631"/>
    <n v="0"/>
    <n v="-631"/>
  </r>
  <r>
    <x v="9"/>
    <x v="8"/>
    <n v="2790480.1244999999"/>
    <n v="0"/>
    <n v="-2790480.1244999999"/>
  </r>
  <r>
    <x v="9"/>
    <x v="9"/>
    <n v="0.77970000000000006"/>
    <n v="0"/>
    <n v="-0.77970000000000006"/>
  </r>
  <r>
    <x v="10"/>
    <x v="0"/>
    <n v="0.3322"/>
    <n v="0"/>
    <n v="-0.3322"/>
  </r>
  <r>
    <x v="10"/>
    <x v="1"/>
    <n v="0.3589"/>
    <n v="0"/>
    <n v="-0.3589"/>
  </r>
  <r>
    <x v="10"/>
    <x v="2"/>
    <n v="0.50179999999999991"/>
    <n v="0"/>
    <n v="-0.50179999999999991"/>
  </r>
  <r>
    <x v="10"/>
    <x v="3"/>
    <n v="0.50179999999999991"/>
    <n v="0"/>
    <n v="-0.50179999999999991"/>
  </r>
  <r>
    <x v="10"/>
    <x v="4"/>
    <n v="0.4667"/>
    <n v="0"/>
    <n v="-0.4667"/>
  </r>
  <r>
    <x v="10"/>
    <x v="5"/>
    <n v="125.98"/>
    <n v="0"/>
    <n v="-125.98"/>
  </r>
  <r>
    <x v="10"/>
    <x v="6"/>
    <n v="4217"/>
    <n v="0"/>
    <n v="-4217"/>
  </r>
  <r>
    <x v="10"/>
    <x v="7"/>
    <n v="631"/>
    <n v="0"/>
    <n v="-631"/>
  </r>
  <r>
    <x v="10"/>
    <x v="8"/>
    <n v="2790480.1244999999"/>
    <n v="0"/>
    <n v="-2790480.1244999999"/>
  </r>
  <r>
    <x v="10"/>
    <x v="9"/>
    <n v="0.77970000000000006"/>
    <n v="0"/>
    <n v="-0.77970000000000006"/>
  </r>
  <r>
    <x v="11"/>
    <x v="0"/>
    <n v="0.3322"/>
    <n v="0"/>
    <n v="-0.3322"/>
  </r>
  <r>
    <x v="11"/>
    <x v="1"/>
    <n v="0.3589"/>
    <n v="0"/>
    <n v="-0.3589"/>
  </r>
  <r>
    <x v="11"/>
    <x v="2"/>
    <n v="0.50179999999999991"/>
    <n v="0"/>
    <n v="-0.50179999999999991"/>
  </r>
  <r>
    <x v="11"/>
    <x v="3"/>
    <n v="0.50179999999999991"/>
    <n v="0"/>
    <n v="-0.50179999999999991"/>
  </r>
  <r>
    <x v="11"/>
    <x v="4"/>
    <n v="0.4667"/>
    <n v="0"/>
    <n v="-0.4667"/>
  </r>
  <r>
    <x v="11"/>
    <x v="5"/>
    <n v="125.98"/>
    <n v="0"/>
    <n v="-125.98"/>
  </r>
  <r>
    <x v="11"/>
    <x v="6"/>
    <n v="4217"/>
    <n v="0"/>
    <n v="-4217"/>
  </r>
  <r>
    <x v="11"/>
    <x v="7"/>
    <n v="631"/>
    <n v="0"/>
    <n v="-631"/>
  </r>
  <r>
    <x v="11"/>
    <x v="8"/>
    <n v="2790480.1244999999"/>
    <n v="0"/>
    <n v="-2790480.1244999999"/>
  </r>
  <r>
    <x v="11"/>
    <x v="9"/>
    <n v="0.77970000000000006"/>
    <n v="0"/>
    <n v="-0.77970000000000006"/>
  </r>
</pivotCacheRecords>
</file>

<file path=xl/pivotCache/pivotCacheRecords2.xml><?xml version="1.0" encoding="utf-8"?>
<pivotCacheRecords xmlns="http://schemas.openxmlformats.org/spreadsheetml/2006/main" xmlns:r="http://schemas.openxmlformats.org/officeDocument/2006/relationships" count="36">
  <r>
    <x v="0"/>
    <x v="0"/>
    <n v="0.25"/>
    <n v="0.02"/>
    <n v="-0.23"/>
  </r>
  <r>
    <x v="0"/>
    <x v="1"/>
    <n v="0.75"/>
    <n v="0.78"/>
    <n v="3.0000000000000027E-2"/>
  </r>
  <r>
    <x v="0"/>
    <x v="2"/>
    <n v="0.85"/>
    <n v="0.9294"/>
    <n v="7.9400000000000026E-2"/>
  </r>
  <r>
    <x v="1"/>
    <x v="0"/>
    <n v="0.25"/>
    <n v="0.04"/>
    <n v="-0.21"/>
  </r>
  <r>
    <x v="1"/>
    <x v="1"/>
    <n v="0.75"/>
    <n v="0.78"/>
    <n v="3.0000000000000027E-2"/>
  </r>
  <r>
    <x v="1"/>
    <x v="2"/>
    <n v="0.85"/>
    <n v="0.9294"/>
    <n v="7.9400000000000026E-2"/>
  </r>
  <r>
    <x v="2"/>
    <x v="0"/>
    <n v="0.25"/>
    <n v="0.06"/>
    <n v="-0.19"/>
  </r>
  <r>
    <x v="2"/>
    <x v="1"/>
    <n v="0.75"/>
    <n v="0.78"/>
    <n v="3.0000000000000027E-2"/>
  </r>
  <r>
    <x v="2"/>
    <x v="2"/>
    <n v="0.85"/>
    <n v="0.94110000000000005"/>
    <n v="9.110000000000007E-2"/>
  </r>
  <r>
    <x v="3"/>
    <x v="0"/>
    <n v="0.25"/>
    <n v="0"/>
    <n v="-0.25"/>
  </r>
  <r>
    <x v="3"/>
    <x v="1"/>
    <n v="0.75"/>
    <n v="0"/>
    <n v="-0.75"/>
  </r>
  <r>
    <x v="3"/>
    <x v="2"/>
    <n v="0.85"/>
    <n v="0"/>
    <n v="-0.85"/>
  </r>
  <r>
    <x v="4"/>
    <x v="0"/>
    <n v="0.25"/>
    <n v="0"/>
    <n v="-0.25"/>
  </r>
  <r>
    <x v="4"/>
    <x v="1"/>
    <n v="0.75"/>
    <n v="0"/>
    <n v="-0.75"/>
  </r>
  <r>
    <x v="4"/>
    <x v="2"/>
    <n v="0.85"/>
    <n v="0"/>
    <n v="-0.85"/>
  </r>
  <r>
    <x v="5"/>
    <x v="0"/>
    <n v="0.25"/>
    <n v="0"/>
    <n v="-0.25"/>
  </r>
  <r>
    <x v="5"/>
    <x v="1"/>
    <n v="0.75"/>
    <n v="0"/>
    <n v="-0.75"/>
  </r>
  <r>
    <x v="5"/>
    <x v="2"/>
    <n v="0.85"/>
    <n v="0"/>
    <n v="-0.85"/>
  </r>
  <r>
    <x v="6"/>
    <x v="0"/>
    <n v="0.25"/>
    <n v="0"/>
    <n v="-0.25"/>
  </r>
  <r>
    <x v="6"/>
    <x v="1"/>
    <n v="0.75"/>
    <n v="0"/>
    <n v="-0.75"/>
  </r>
  <r>
    <x v="6"/>
    <x v="2"/>
    <n v="0.85"/>
    <n v="0"/>
    <n v="-0.85"/>
  </r>
  <r>
    <x v="7"/>
    <x v="0"/>
    <n v="0.25"/>
    <n v="0"/>
    <n v="-0.25"/>
  </r>
  <r>
    <x v="7"/>
    <x v="1"/>
    <n v="0.75"/>
    <n v="0"/>
    <n v="-0.75"/>
  </r>
  <r>
    <x v="7"/>
    <x v="2"/>
    <n v="0.85"/>
    <n v="0"/>
    <n v="-0.85"/>
  </r>
  <r>
    <x v="8"/>
    <x v="0"/>
    <n v="0.25"/>
    <n v="0"/>
    <n v="-0.25"/>
  </r>
  <r>
    <x v="8"/>
    <x v="1"/>
    <n v="0.75"/>
    <n v="0"/>
    <n v="-0.75"/>
  </r>
  <r>
    <x v="8"/>
    <x v="2"/>
    <n v="0.85"/>
    <n v="0"/>
    <n v="-0.85"/>
  </r>
  <r>
    <x v="9"/>
    <x v="0"/>
    <n v="0.25"/>
    <n v="0"/>
    <n v="-0.25"/>
  </r>
  <r>
    <x v="9"/>
    <x v="1"/>
    <n v="0.75"/>
    <n v="0"/>
    <n v="-0.75"/>
  </r>
  <r>
    <x v="9"/>
    <x v="2"/>
    <n v="0.85"/>
    <n v="0"/>
    <n v="-0.85"/>
  </r>
  <r>
    <x v="10"/>
    <x v="0"/>
    <n v="0.25"/>
    <n v="0"/>
    <n v="-0.25"/>
  </r>
  <r>
    <x v="10"/>
    <x v="1"/>
    <n v="0.75"/>
    <n v="0"/>
    <n v="-0.75"/>
  </r>
  <r>
    <x v="10"/>
    <x v="2"/>
    <n v="0.85"/>
    <n v="0"/>
    <n v="-0.85"/>
  </r>
  <r>
    <x v="11"/>
    <x v="0"/>
    <n v="0.25"/>
    <n v="0"/>
    <n v="-0.25"/>
  </r>
  <r>
    <x v="11"/>
    <x v="1"/>
    <n v="0.75"/>
    <n v="0"/>
    <n v="-0.75"/>
  </r>
  <r>
    <x v="11"/>
    <x v="2"/>
    <n v="0.85"/>
    <n v="0"/>
    <n v="-0.85"/>
  </r>
</pivotCacheRecords>
</file>

<file path=xl/pivotCache/pivotCacheRecords3.xml><?xml version="1.0" encoding="utf-8"?>
<pivotCacheRecords xmlns="http://schemas.openxmlformats.org/spreadsheetml/2006/main" xmlns:r="http://schemas.openxmlformats.org/officeDocument/2006/relationships" count="72">
  <r>
    <x v="0"/>
    <x v="0"/>
    <n v="0.78166666666666673"/>
    <n v="0"/>
    <n v="-0.78166666666666673"/>
  </r>
  <r>
    <x v="0"/>
    <x v="1"/>
    <n v="0.625"/>
    <n v="0.05"/>
    <n v="-0.57499999999999996"/>
  </r>
  <r>
    <x v="0"/>
    <x v="2"/>
    <n v="0.75"/>
    <n v="0.115"/>
    <n v="-0.63500000000000001"/>
  </r>
  <r>
    <x v="0"/>
    <x v="3"/>
    <n v="0.6"/>
    <n v="0.75"/>
    <n v="0.15000000000000002"/>
  </r>
  <r>
    <x v="0"/>
    <x v="4"/>
    <n v="0.85"/>
    <n v="1.24"/>
    <n v="0.39"/>
  </r>
  <r>
    <x v="0"/>
    <x v="5"/>
    <n v="0.85"/>
    <n v="1.24"/>
    <n v="0.39"/>
  </r>
  <r>
    <x v="1"/>
    <x v="0"/>
    <n v="0.78166666666666673"/>
    <n v="0"/>
    <n v="-0.78166666666666673"/>
  </r>
  <r>
    <x v="1"/>
    <x v="1"/>
    <n v="0.625"/>
    <n v="0.1"/>
    <n v="-0.52500000000000002"/>
  </r>
  <r>
    <x v="1"/>
    <x v="2"/>
    <n v="0.75"/>
    <n v="0.315"/>
    <n v="-0.435"/>
  </r>
  <r>
    <x v="1"/>
    <x v="3"/>
    <n v="0.6"/>
    <n v="0.75"/>
    <n v="0.15000000000000002"/>
  </r>
  <r>
    <x v="1"/>
    <x v="4"/>
    <n v="0.85"/>
    <n v="1.6"/>
    <n v="0.75000000000000011"/>
  </r>
  <r>
    <x v="1"/>
    <x v="5"/>
    <n v="0.85"/>
    <n v="1.6"/>
    <n v="0.75000000000000011"/>
  </r>
  <r>
    <x v="2"/>
    <x v="0"/>
    <n v="0.78166666666666673"/>
    <n v="0"/>
    <n v="-0.78166666666666673"/>
  </r>
  <r>
    <x v="2"/>
    <x v="1"/>
    <n v="0.625"/>
    <n v="0.17499999999999999"/>
    <n v="-0.45"/>
  </r>
  <r>
    <x v="2"/>
    <x v="2"/>
    <n v="0.75"/>
    <n v="0.47500000000000003"/>
    <n v="-0.27499999999999997"/>
  </r>
  <r>
    <x v="2"/>
    <x v="3"/>
    <n v="0.6"/>
    <n v="0.75"/>
    <n v="0.15000000000000002"/>
  </r>
  <r>
    <x v="2"/>
    <x v="4"/>
    <n v="0.85"/>
    <n v="0.88"/>
    <n v="3.0000000000000027E-2"/>
  </r>
  <r>
    <x v="2"/>
    <x v="5"/>
    <n v="0.85"/>
    <n v="0.88"/>
    <n v="3.0000000000000027E-2"/>
  </r>
  <r>
    <x v="3"/>
    <x v="0"/>
    <n v="0.78166666666666673"/>
    <n v="0"/>
    <n v="-0.78166666666666673"/>
  </r>
  <r>
    <x v="3"/>
    <x v="1"/>
    <n v="0.625"/>
    <n v="0"/>
    <n v="-0.625"/>
  </r>
  <r>
    <x v="3"/>
    <x v="2"/>
    <n v="0.75"/>
    <n v="0"/>
    <n v="-0.75"/>
  </r>
  <r>
    <x v="3"/>
    <x v="3"/>
    <n v="0.6"/>
    <n v="0"/>
    <n v="-0.6"/>
  </r>
  <r>
    <x v="3"/>
    <x v="4"/>
    <n v="0.85"/>
    <n v="0"/>
    <n v="-0.85"/>
  </r>
  <r>
    <x v="3"/>
    <x v="5"/>
    <n v="0.85"/>
    <n v="0"/>
    <n v="-0.85"/>
  </r>
  <r>
    <x v="4"/>
    <x v="0"/>
    <n v="0.78166666666666673"/>
    <n v="0"/>
    <n v="-0.78166666666666673"/>
  </r>
  <r>
    <x v="4"/>
    <x v="1"/>
    <n v="0.625"/>
    <n v="0"/>
    <n v="-0.625"/>
  </r>
  <r>
    <x v="4"/>
    <x v="2"/>
    <n v="0.75"/>
    <n v="0"/>
    <n v="-0.75"/>
  </r>
  <r>
    <x v="4"/>
    <x v="3"/>
    <n v="0.6"/>
    <n v="0"/>
    <n v="-0.6"/>
  </r>
  <r>
    <x v="4"/>
    <x v="4"/>
    <n v="0.85"/>
    <n v="0"/>
    <n v="-0.85"/>
  </r>
  <r>
    <x v="4"/>
    <x v="5"/>
    <n v="0.85"/>
    <n v="0"/>
    <n v="-0.85"/>
  </r>
  <r>
    <x v="5"/>
    <x v="0"/>
    <n v="0.78166666666666673"/>
    <n v="0"/>
    <n v="-0.78166666666666673"/>
  </r>
  <r>
    <x v="5"/>
    <x v="1"/>
    <n v="0.625"/>
    <n v="0"/>
    <n v="-0.625"/>
  </r>
  <r>
    <x v="5"/>
    <x v="2"/>
    <n v="0.75"/>
    <n v="0"/>
    <n v="-0.75"/>
  </r>
  <r>
    <x v="5"/>
    <x v="3"/>
    <n v="0.6"/>
    <n v="0"/>
    <n v="-0.6"/>
  </r>
  <r>
    <x v="5"/>
    <x v="4"/>
    <n v="0.85"/>
    <n v="0"/>
    <n v="-0.85"/>
  </r>
  <r>
    <x v="5"/>
    <x v="5"/>
    <n v="0.85"/>
    <n v="0"/>
    <n v="-0.85"/>
  </r>
  <r>
    <x v="6"/>
    <x v="0"/>
    <n v="0.78166666666666673"/>
    <n v="0"/>
    <n v="-0.78166666666666673"/>
  </r>
  <r>
    <x v="6"/>
    <x v="1"/>
    <n v="0.625"/>
    <n v="0"/>
    <n v="-0.625"/>
  </r>
  <r>
    <x v="6"/>
    <x v="2"/>
    <n v="0.75"/>
    <n v="0"/>
    <n v="-0.75"/>
  </r>
  <r>
    <x v="6"/>
    <x v="3"/>
    <n v="0.6"/>
    <n v="0"/>
    <n v="-0.6"/>
  </r>
  <r>
    <x v="6"/>
    <x v="4"/>
    <n v="0.85"/>
    <n v="0"/>
    <n v="-0.85"/>
  </r>
  <r>
    <x v="6"/>
    <x v="5"/>
    <n v="0.85"/>
    <n v="0"/>
    <n v="-0.85"/>
  </r>
  <r>
    <x v="7"/>
    <x v="0"/>
    <n v="0.78166666666666673"/>
    <n v="0"/>
    <n v="-0.78166666666666673"/>
  </r>
  <r>
    <x v="7"/>
    <x v="1"/>
    <n v="0.625"/>
    <n v="0"/>
    <n v="-0.625"/>
  </r>
  <r>
    <x v="7"/>
    <x v="2"/>
    <n v="0.75"/>
    <n v="0"/>
    <n v="-0.75"/>
  </r>
  <r>
    <x v="7"/>
    <x v="3"/>
    <n v="0.6"/>
    <n v="0"/>
    <n v="-0.6"/>
  </r>
  <r>
    <x v="7"/>
    <x v="4"/>
    <n v="0.85"/>
    <n v="0"/>
    <n v="-0.85"/>
  </r>
  <r>
    <x v="7"/>
    <x v="5"/>
    <n v="0.85"/>
    <n v="0"/>
    <n v="-0.85"/>
  </r>
  <r>
    <x v="8"/>
    <x v="0"/>
    <n v="0.78166666666666673"/>
    <n v="0"/>
    <n v="-0.78166666666666673"/>
  </r>
  <r>
    <x v="8"/>
    <x v="1"/>
    <n v="0.625"/>
    <n v="0"/>
    <n v="-0.625"/>
  </r>
  <r>
    <x v="8"/>
    <x v="2"/>
    <n v="0.75"/>
    <n v="0"/>
    <n v="-0.75"/>
  </r>
  <r>
    <x v="8"/>
    <x v="3"/>
    <n v="0.6"/>
    <n v="0"/>
    <n v="-0.6"/>
  </r>
  <r>
    <x v="8"/>
    <x v="4"/>
    <n v="0.85"/>
    <n v="0"/>
    <n v="-0.85"/>
  </r>
  <r>
    <x v="8"/>
    <x v="5"/>
    <n v="0.85"/>
    <n v="0"/>
    <n v="-0.85"/>
  </r>
  <r>
    <x v="9"/>
    <x v="0"/>
    <n v="0.78166666666666673"/>
    <n v="0"/>
    <n v="-0.78166666666666673"/>
  </r>
  <r>
    <x v="9"/>
    <x v="1"/>
    <n v="0.625"/>
    <n v="0"/>
    <n v="-0.625"/>
  </r>
  <r>
    <x v="9"/>
    <x v="2"/>
    <n v="0.75"/>
    <n v="0"/>
    <n v="-0.75"/>
  </r>
  <r>
    <x v="9"/>
    <x v="3"/>
    <n v="0.6"/>
    <n v="0"/>
    <n v="-0.6"/>
  </r>
  <r>
    <x v="9"/>
    <x v="4"/>
    <n v="0.85"/>
    <n v="0"/>
    <n v="-0.85"/>
  </r>
  <r>
    <x v="9"/>
    <x v="5"/>
    <n v="0.85"/>
    <n v="0"/>
    <n v="-0.85"/>
  </r>
  <r>
    <x v="10"/>
    <x v="0"/>
    <n v="0.78166666666666673"/>
    <n v="0"/>
    <n v="-0.78166666666666673"/>
  </r>
  <r>
    <x v="10"/>
    <x v="1"/>
    <n v="0.625"/>
    <n v="0"/>
    <n v="-0.625"/>
  </r>
  <r>
    <x v="10"/>
    <x v="2"/>
    <n v="0.75"/>
    <n v="0"/>
    <n v="-0.75"/>
  </r>
  <r>
    <x v="10"/>
    <x v="3"/>
    <n v="0.6"/>
    <n v="0"/>
    <n v="-0.6"/>
  </r>
  <r>
    <x v="10"/>
    <x v="4"/>
    <n v="0.85"/>
    <n v="0"/>
    <n v="-0.85"/>
  </r>
  <r>
    <x v="10"/>
    <x v="5"/>
    <n v="0.85"/>
    <n v="0"/>
    <n v="-0.85"/>
  </r>
  <r>
    <x v="11"/>
    <x v="0"/>
    <n v="0.78166666666666673"/>
    <n v="0"/>
    <n v="-0.78166666666666673"/>
  </r>
  <r>
    <x v="11"/>
    <x v="1"/>
    <n v="0.625"/>
    <n v="0"/>
    <n v="-0.625"/>
  </r>
  <r>
    <x v="11"/>
    <x v="2"/>
    <n v="0.75"/>
    <n v="0"/>
    <n v="-0.75"/>
  </r>
  <r>
    <x v="11"/>
    <x v="3"/>
    <n v="0.6"/>
    <n v="0"/>
    <n v="-0.6"/>
  </r>
  <r>
    <x v="11"/>
    <x v="4"/>
    <n v="0.85"/>
    <n v="0"/>
    <n v="-0.85"/>
  </r>
  <r>
    <x v="11"/>
    <x v="5"/>
    <n v="0.85"/>
    <n v="0"/>
    <n v="-0.85"/>
  </r>
</pivotCacheRecords>
</file>

<file path=xl/pivotCache/pivotCacheRecords4.xml><?xml version="1.0" encoding="utf-8"?>
<pivotCacheRecords xmlns="http://schemas.openxmlformats.org/spreadsheetml/2006/main" xmlns:r="http://schemas.openxmlformats.org/officeDocument/2006/relationships" count="156">
  <r>
    <x v="0"/>
    <x v="0"/>
    <n v="1.1666666666666667E-2"/>
    <n v="-7.7704192813881504E-3"/>
    <n v="-1.9437085948054818E-2"/>
  </r>
  <r>
    <x v="0"/>
    <x v="1"/>
    <n v="6.6590314346624121E-3"/>
    <n v="6.0020190686211963E-3"/>
    <n v="-6.5701236604121579E-4"/>
  </r>
  <r>
    <x v="0"/>
    <x v="2"/>
    <n v="2.6796599258633577E-2"/>
    <n v="-2.1858875460178381E-2"/>
    <n v="-4.8655474718811959E-2"/>
  </r>
  <r>
    <x v="0"/>
    <x v="3"/>
    <n v="0.12318396202279536"/>
    <n v="0.1205"/>
    <n v="-2.6839620227953609E-3"/>
  </r>
  <r>
    <x v="0"/>
    <x v="4"/>
    <n v="0.159"/>
    <n v="0.14549999999999999"/>
    <n v="-1.3500000000000012E-2"/>
  </r>
  <r>
    <x v="0"/>
    <x v="5"/>
    <n v="0.12740000000000001"/>
    <n v="0.191"/>
    <n v="6.359999999999999E-2"/>
  </r>
  <r>
    <x v="0"/>
    <x v="6"/>
    <n v="4.4999999999999998E-2"/>
    <n v="5.3800000000000001E-2"/>
    <n v="8.8000000000000023E-3"/>
  </r>
  <r>
    <x v="0"/>
    <x v="7"/>
    <n v="1"/>
    <n v="1.0244"/>
    <n v="2.4399999999999977E-2"/>
  </r>
  <r>
    <x v="0"/>
    <x v="8"/>
    <n v="0.1119"/>
    <n v="0.1017"/>
    <n v="-1.0200000000000001E-2"/>
  </r>
  <r>
    <x v="0"/>
    <x v="9"/>
    <n v="0.13"/>
    <n v="0.1108"/>
    <n v="-1.9200000000000009E-2"/>
  </r>
  <r>
    <x v="0"/>
    <x v="10"/>
    <n v="8.5000000000000006E-2"/>
    <n v="5.4699999999999999E-2"/>
    <n v="-3.0300000000000007E-2"/>
  </r>
  <r>
    <x v="0"/>
    <x v="11"/>
    <n v="1.01"/>
    <n v="0.99980000000000002"/>
    <n v="-1.0199999999999987E-2"/>
  </r>
  <r>
    <x v="0"/>
    <x v="12"/>
    <n v="0.87030000000000007"/>
    <n v="0.83989999999999998"/>
    <n v="-3.0400000000000094E-2"/>
  </r>
  <r>
    <x v="1"/>
    <x v="0"/>
    <n v="1.1666666666666667E-2"/>
    <n v="-8.0826449716981275E-4"/>
    <n v="-1.2474931163836481E-2"/>
  </r>
  <r>
    <x v="1"/>
    <x v="1"/>
    <n v="6.6590314346624121E-3"/>
    <n v="4.8629322453824352E-3"/>
    <n v="-1.7960991892799769E-3"/>
  </r>
  <r>
    <x v="1"/>
    <x v="2"/>
    <n v="2.6796599258633577E-2"/>
    <n v="-8.3550848361064786E-2"/>
    <n v="-0.11034744761969836"/>
  </r>
  <r>
    <x v="1"/>
    <x v="3"/>
    <n v="0.12318396202279536"/>
    <n v="0.12280000000000001"/>
    <n v="-3.8396202279535052E-4"/>
  </r>
  <r>
    <x v="1"/>
    <x v="4"/>
    <n v="0.159"/>
    <n v="0.14549999999999999"/>
    <n v="-1.3500000000000012E-2"/>
  </r>
  <r>
    <x v="1"/>
    <x v="5"/>
    <n v="0.12740000000000001"/>
    <n v="0.17710000000000001"/>
    <n v="4.9699999999999994E-2"/>
  </r>
  <r>
    <x v="1"/>
    <x v="6"/>
    <n v="4.4999999999999998E-2"/>
    <n v="5.2499999999999998E-2"/>
    <n v="7.4999999999999997E-3"/>
  </r>
  <r>
    <x v="1"/>
    <x v="7"/>
    <n v="1"/>
    <n v="1.0255000000000001"/>
    <n v="2.5500000000000078E-2"/>
  </r>
  <r>
    <x v="1"/>
    <x v="8"/>
    <n v="0.1119"/>
    <n v="9.8000000000000004E-2"/>
    <n v="-1.3899999999999996E-2"/>
  </r>
  <r>
    <x v="1"/>
    <x v="9"/>
    <n v="0.13"/>
    <n v="0.1103"/>
    <n v="-1.9700000000000009E-2"/>
  </r>
  <r>
    <x v="1"/>
    <x v="10"/>
    <n v="8.5000000000000006E-2"/>
    <n v="5.1499999999999997E-2"/>
    <n v="-3.3500000000000009E-2"/>
  </r>
  <r>
    <x v="1"/>
    <x v="11"/>
    <n v="1.01"/>
    <n v="1.0088999999999999"/>
    <n v="-1.1000000000001009E-3"/>
  </r>
  <r>
    <x v="1"/>
    <x v="12"/>
    <n v="0.87030000000000007"/>
    <n v="0.82089999999999996"/>
    <n v="-4.940000000000011E-2"/>
  </r>
  <r>
    <x v="2"/>
    <x v="0"/>
    <n v="1.1666666666666667E-2"/>
    <n v="1.6624864527575817E-4"/>
    <n v="-1.1500418021390908E-2"/>
  </r>
  <r>
    <x v="2"/>
    <x v="1"/>
    <n v="6.6590314346624121E-3"/>
    <n v="1.5702582938758296E-2"/>
    <n v="9.0435515040958835E-3"/>
  </r>
  <r>
    <x v="2"/>
    <x v="2"/>
    <n v="2.6796599258633577E-2"/>
    <n v="-0.13659112267033893"/>
    <n v="-0.1633877219289725"/>
  </r>
  <r>
    <x v="2"/>
    <x v="3"/>
    <n v="0.12318396202279536"/>
    <n v="0.12509999999999999"/>
    <n v="1.9160379772046321E-3"/>
  </r>
  <r>
    <x v="2"/>
    <x v="4"/>
    <n v="0.159"/>
    <n v="0.16"/>
    <n v="1.0000000000000009E-3"/>
  </r>
  <r>
    <x v="2"/>
    <x v="5"/>
    <n v="0.12740000000000001"/>
    <n v="0.16"/>
    <n v="3.259999999999999E-2"/>
  </r>
  <r>
    <x v="2"/>
    <x v="6"/>
    <n v="4.4999999999999998E-2"/>
    <n v="5.2499999999999998E-2"/>
    <n v="0.115"/>
  </r>
  <r>
    <x v="2"/>
    <x v="7"/>
    <n v="1"/>
    <n v="1.0239"/>
    <n v="2.3900000000000032E-2"/>
  </r>
  <r>
    <x v="2"/>
    <x v="8"/>
    <n v="0.1119"/>
    <n v="9.9599999999999994E-2"/>
    <n v="-1.2300000000000005E-2"/>
  </r>
  <r>
    <x v="2"/>
    <x v="9"/>
    <n v="0.13"/>
    <n v="0.1074"/>
    <n v="-2.2600000000000009E-2"/>
  </r>
  <r>
    <x v="2"/>
    <x v="10"/>
    <n v="8.5000000000000006E-2"/>
    <n v="5.2699999999999997E-2"/>
    <n v="-3.2300000000000009E-2"/>
  </r>
  <r>
    <x v="2"/>
    <x v="11"/>
    <n v="1.01"/>
    <n v="1.0270999999999999"/>
    <n v="1.7099999999999893E-2"/>
  </r>
  <r>
    <x v="2"/>
    <x v="12"/>
    <n v="0.87030000000000007"/>
    <n v="0.78169999999999995"/>
    <n v="-8.8600000000000123E-2"/>
  </r>
  <r>
    <x v="3"/>
    <x v="0"/>
    <n v="1.1666666666666667E-2"/>
    <n v="0"/>
    <n v="-1.1666666666666667E-2"/>
  </r>
  <r>
    <x v="3"/>
    <x v="1"/>
    <n v="6.6590314346624121E-3"/>
    <n v="0"/>
    <n v="-6.6590314346624121E-3"/>
  </r>
  <r>
    <x v="3"/>
    <x v="2"/>
    <n v="2.6796599258633577E-2"/>
    <n v="0"/>
    <n v="-2.6796599258633577E-2"/>
  </r>
  <r>
    <x v="3"/>
    <x v="3"/>
    <n v="0.12318396202279536"/>
    <n v="0"/>
    <n v="-0.12318396202279536"/>
  </r>
  <r>
    <x v="3"/>
    <x v="4"/>
    <n v="0.159"/>
    <n v="0"/>
    <n v="-0.159"/>
  </r>
  <r>
    <x v="3"/>
    <x v="5"/>
    <n v="0.12740000000000001"/>
    <n v="0"/>
    <n v="-0.12740000000000001"/>
  </r>
  <r>
    <x v="3"/>
    <x v="6"/>
    <n v="4.4999999999999998E-2"/>
    <n v="0"/>
    <n v="-4.4999999999999998E-2"/>
  </r>
  <r>
    <x v="3"/>
    <x v="7"/>
    <n v="1"/>
    <n v="0"/>
    <n v="-1"/>
  </r>
  <r>
    <x v="3"/>
    <x v="8"/>
    <n v="0.1119"/>
    <n v="0"/>
    <n v="-0.1119"/>
  </r>
  <r>
    <x v="3"/>
    <x v="9"/>
    <n v="0.13"/>
    <n v="0"/>
    <n v="-0.13"/>
  </r>
  <r>
    <x v="3"/>
    <x v="10"/>
    <n v="8.5000000000000006E-2"/>
    <n v="0"/>
    <n v="-8.5000000000000006E-2"/>
  </r>
  <r>
    <x v="3"/>
    <x v="11"/>
    <n v="1.01"/>
    <n v="0"/>
    <n v="-1.01"/>
  </r>
  <r>
    <x v="3"/>
    <x v="12"/>
    <n v="0.87030000000000007"/>
    <n v="0"/>
    <n v="-0.87030000000000007"/>
  </r>
  <r>
    <x v="4"/>
    <x v="0"/>
    <n v="1.1666666666666667E-2"/>
    <n v="0"/>
    <n v="-1.1666666666666667E-2"/>
  </r>
  <r>
    <x v="4"/>
    <x v="1"/>
    <n v="6.6590314346624121E-3"/>
    <n v="0"/>
    <n v="-6.6590314346624121E-3"/>
  </r>
  <r>
    <x v="4"/>
    <x v="2"/>
    <n v="2.6796599258633577E-2"/>
    <n v="0"/>
    <n v="-2.6796599258633577E-2"/>
  </r>
  <r>
    <x v="4"/>
    <x v="3"/>
    <n v="0.12318396202279536"/>
    <n v="0"/>
    <n v="-0.12318396202279536"/>
  </r>
  <r>
    <x v="4"/>
    <x v="4"/>
    <n v="0.159"/>
    <n v="0"/>
    <n v="-0.159"/>
  </r>
  <r>
    <x v="4"/>
    <x v="5"/>
    <n v="0.12740000000000001"/>
    <n v="0"/>
    <n v="-0.12740000000000001"/>
  </r>
  <r>
    <x v="4"/>
    <x v="6"/>
    <n v="4.4999999999999998E-2"/>
    <n v="0"/>
    <n v="-4.4999999999999998E-2"/>
  </r>
  <r>
    <x v="4"/>
    <x v="7"/>
    <n v="1"/>
    <n v="0"/>
    <n v="-1"/>
  </r>
  <r>
    <x v="4"/>
    <x v="8"/>
    <n v="0.1119"/>
    <n v="0"/>
    <n v="-0.1119"/>
  </r>
  <r>
    <x v="4"/>
    <x v="9"/>
    <n v="0.13"/>
    <n v="0"/>
    <n v="-0.13"/>
  </r>
  <r>
    <x v="4"/>
    <x v="10"/>
    <n v="8.5000000000000006E-2"/>
    <n v="0"/>
    <n v="-8.5000000000000006E-2"/>
  </r>
  <r>
    <x v="4"/>
    <x v="11"/>
    <n v="1.01"/>
    <n v="0"/>
    <n v="-1.01"/>
  </r>
  <r>
    <x v="4"/>
    <x v="12"/>
    <n v="0.87030000000000007"/>
    <n v="0"/>
    <n v="-0.87030000000000007"/>
  </r>
  <r>
    <x v="5"/>
    <x v="0"/>
    <n v="1.1666666666666667E-2"/>
    <n v="0"/>
    <n v="-1.1666666666666667E-2"/>
  </r>
  <r>
    <x v="5"/>
    <x v="1"/>
    <n v="6.6590314346624121E-3"/>
    <n v="0"/>
    <n v="-6.6590314346624121E-3"/>
  </r>
  <r>
    <x v="5"/>
    <x v="2"/>
    <n v="2.6796599258633577E-2"/>
    <n v="0"/>
    <n v="-2.6796599258633577E-2"/>
  </r>
  <r>
    <x v="5"/>
    <x v="3"/>
    <n v="0.12318396202279536"/>
    <n v="0"/>
    <n v="-0.12318396202279536"/>
  </r>
  <r>
    <x v="5"/>
    <x v="4"/>
    <n v="0.159"/>
    <n v="0"/>
    <n v="-0.159"/>
  </r>
  <r>
    <x v="5"/>
    <x v="5"/>
    <n v="0.12740000000000001"/>
    <n v="0"/>
    <n v="-0.12740000000000001"/>
  </r>
  <r>
    <x v="5"/>
    <x v="6"/>
    <n v="4.4999999999999998E-2"/>
    <n v="0"/>
    <n v="-4.4999999999999998E-2"/>
  </r>
  <r>
    <x v="5"/>
    <x v="7"/>
    <n v="1"/>
    <n v="0"/>
    <n v="-1"/>
  </r>
  <r>
    <x v="5"/>
    <x v="8"/>
    <n v="0.1119"/>
    <n v="0"/>
    <n v="-0.1119"/>
  </r>
  <r>
    <x v="5"/>
    <x v="9"/>
    <n v="0.13"/>
    <n v="0"/>
    <n v="-0.13"/>
  </r>
  <r>
    <x v="5"/>
    <x v="10"/>
    <n v="8.5000000000000006E-2"/>
    <n v="0"/>
    <n v="-8.5000000000000006E-2"/>
  </r>
  <r>
    <x v="5"/>
    <x v="11"/>
    <n v="1.01"/>
    <n v="0"/>
    <n v="-1.01"/>
  </r>
  <r>
    <x v="5"/>
    <x v="12"/>
    <n v="0.87030000000000007"/>
    <n v="0"/>
    <n v="-0.87030000000000007"/>
  </r>
  <r>
    <x v="6"/>
    <x v="0"/>
    <n v="1.1666666666666667E-2"/>
    <n v="0"/>
    <n v="-1.1666666666666667E-2"/>
  </r>
  <r>
    <x v="6"/>
    <x v="1"/>
    <n v="6.6590314346624121E-3"/>
    <n v="0"/>
    <n v="-6.6590314346624121E-3"/>
  </r>
  <r>
    <x v="6"/>
    <x v="2"/>
    <n v="2.6796599258633577E-2"/>
    <n v="0"/>
    <n v="-2.6796599258633577E-2"/>
  </r>
  <r>
    <x v="6"/>
    <x v="3"/>
    <n v="0.12318396202279536"/>
    <n v="0"/>
    <n v="-0.12318396202279536"/>
  </r>
  <r>
    <x v="6"/>
    <x v="4"/>
    <n v="0.159"/>
    <n v="0"/>
    <n v="-0.159"/>
  </r>
  <r>
    <x v="6"/>
    <x v="5"/>
    <n v="0.12740000000000001"/>
    <n v="0"/>
    <n v="-0.12740000000000001"/>
  </r>
  <r>
    <x v="6"/>
    <x v="6"/>
    <n v="4.4999999999999998E-2"/>
    <n v="0"/>
    <n v="-4.4999999999999998E-2"/>
  </r>
  <r>
    <x v="6"/>
    <x v="7"/>
    <n v="1"/>
    <n v="0"/>
    <n v="-1"/>
  </r>
  <r>
    <x v="6"/>
    <x v="8"/>
    <n v="0.1119"/>
    <n v="0"/>
    <n v="-0.1119"/>
  </r>
  <r>
    <x v="6"/>
    <x v="9"/>
    <n v="0.13"/>
    <n v="0"/>
    <n v="-0.13"/>
  </r>
  <r>
    <x v="6"/>
    <x v="10"/>
    <n v="8.5000000000000006E-2"/>
    <n v="0"/>
    <n v="-8.5000000000000006E-2"/>
  </r>
  <r>
    <x v="6"/>
    <x v="11"/>
    <n v="1.01"/>
    <n v="0"/>
    <n v="-1.01"/>
  </r>
  <r>
    <x v="6"/>
    <x v="12"/>
    <n v="0.87030000000000007"/>
    <n v="0"/>
    <n v="-0.87030000000000007"/>
  </r>
  <r>
    <x v="7"/>
    <x v="0"/>
    <n v="1.1666666666666667E-2"/>
    <n v="0"/>
    <n v="-1.1666666666666667E-2"/>
  </r>
  <r>
    <x v="7"/>
    <x v="1"/>
    <n v="6.6590314346624121E-3"/>
    <n v="0"/>
    <n v="-6.6590314346624121E-3"/>
  </r>
  <r>
    <x v="7"/>
    <x v="2"/>
    <n v="2.6796599258633577E-2"/>
    <n v="0"/>
    <n v="-2.6796599258633577E-2"/>
  </r>
  <r>
    <x v="7"/>
    <x v="3"/>
    <n v="0.12318396202279536"/>
    <n v="0"/>
    <n v="-0.12318396202279536"/>
  </r>
  <r>
    <x v="7"/>
    <x v="4"/>
    <n v="0.159"/>
    <n v="0"/>
    <n v="-0.159"/>
  </r>
  <r>
    <x v="7"/>
    <x v="5"/>
    <n v="0.12740000000000001"/>
    <n v="0"/>
    <n v="-0.12740000000000001"/>
  </r>
  <r>
    <x v="7"/>
    <x v="6"/>
    <n v="4.4999999999999998E-2"/>
    <n v="0"/>
    <n v="-4.4999999999999998E-2"/>
  </r>
  <r>
    <x v="7"/>
    <x v="7"/>
    <n v="1"/>
    <n v="0"/>
    <n v="-1"/>
  </r>
  <r>
    <x v="7"/>
    <x v="8"/>
    <n v="0.1119"/>
    <n v="0"/>
    <n v="-0.1119"/>
  </r>
  <r>
    <x v="7"/>
    <x v="9"/>
    <n v="0.13"/>
    <n v="0"/>
    <n v="-0.13"/>
  </r>
  <r>
    <x v="7"/>
    <x v="10"/>
    <n v="8.5000000000000006E-2"/>
    <n v="0"/>
    <n v="-8.5000000000000006E-2"/>
  </r>
  <r>
    <x v="7"/>
    <x v="11"/>
    <n v="1.01"/>
    <n v="0"/>
    <n v="-1.01"/>
  </r>
  <r>
    <x v="7"/>
    <x v="12"/>
    <n v="0.87030000000000007"/>
    <n v="0"/>
    <n v="-0.87030000000000007"/>
  </r>
  <r>
    <x v="8"/>
    <x v="0"/>
    <n v="1.1666666666666667E-2"/>
    <n v="0"/>
    <n v="-1.1666666666666667E-2"/>
  </r>
  <r>
    <x v="8"/>
    <x v="1"/>
    <n v="6.6590314346624121E-3"/>
    <n v="0"/>
    <n v="-6.6590314346624121E-3"/>
  </r>
  <r>
    <x v="8"/>
    <x v="2"/>
    <n v="2.6796599258633577E-2"/>
    <n v="0"/>
    <n v="-2.6796599258633577E-2"/>
  </r>
  <r>
    <x v="8"/>
    <x v="3"/>
    <n v="0.12318396202279536"/>
    <n v="0"/>
    <n v="-0.12318396202279536"/>
  </r>
  <r>
    <x v="8"/>
    <x v="4"/>
    <n v="0.159"/>
    <n v="0"/>
    <n v="-0.159"/>
  </r>
  <r>
    <x v="8"/>
    <x v="5"/>
    <n v="0.12740000000000001"/>
    <n v="0"/>
    <n v="-0.12740000000000001"/>
  </r>
  <r>
    <x v="8"/>
    <x v="6"/>
    <n v="4.4999999999999998E-2"/>
    <n v="0"/>
    <n v="-4.4999999999999998E-2"/>
  </r>
  <r>
    <x v="8"/>
    <x v="7"/>
    <n v="1"/>
    <n v="0"/>
    <n v="-1"/>
  </r>
  <r>
    <x v="8"/>
    <x v="8"/>
    <n v="0.1119"/>
    <n v="0"/>
    <n v="-0.1119"/>
  </r>
  <r>
    <x v="8"/>
    <x v="9"/>
    <n v="0.13"/>
    <n v="0"/>
    <n v="-0.13"/>
  </r>
  <r>
    <x v="8"/>
    <x v="10"/>
    <n v="8.5000000000000006E-2"/>
    <n v="0"/>
    <n v="-8.5000000000000006E-2"/>
  </r>
  <r>
    <x v="8"/>
    <x v="11"/>
    <n v="1.01"/>
    <n v="0"/>
    <n v="-1.01"/>
  </r>
  <r>
    <x v="8"/>
    <x v="12"/>
    <n v="0.87030000000000007"/>
    <n v="0"/>
    <n v="-0.87030000000000007"/>
  </r>
  <r>
    <x v="9"/>
    <x v="0"/>
    <n v="1.1666666666666667E-2"/>
    <n v="0"/>
    <n v="-1.1666666666666667E-2"/>
  </r>
  <r>
    <x v="9"/>
    <x v="1"/>
    <n v="6.6590314346624121E-3"/>
    <n v="0"/>
    <n v="-6.6590314346624121E-3"/>
  </r>
  <r>
    <x v="9"/>
    <x v="2"/>
    <n v="2.6796599258633577E-2"/>
    <n v="0"/>
    <n v="-2.6796599258633577E-2"/>
  </r>
  <r>
    <x v="9"/>
    <x v="3"/>
    <n v="0.12318396202279536"/>
    <n v="0"/>
    <n v="-0.12318396202279536"/>
  </r>
  <r>
    <x v="9"/>
    <x v="4"/>
    <n v="0.159"/>
    <n v="0"/>
    <n v="-0.159"/>
  </r>
  <r>
    <x v="9"/>
    <x v="5"/>
    <n v="0.12740000000000001"/>
    <n v="0"/>
    <n v="-0.12740000000000001"/>
  </r>
  <r>
    <x v="9"/>
    <x v="6"/>
    <n v="4.4999999999999998E-2"/>
    <n v="0"/>
    <n v="-4.4999999999999998E-2"/>
  </r>
  <r>
    <x v="9"/>
    <x v="7"/>
    <n v="1"/>
    <n v="0"/>
    <n v="-1"/>
  </r>
  <r>
    <x v="9"/>
    <x v="8"/>
    <n v="0.1119"/>
    <n v="0"/>
    <n v="-0.1119"/>
  </r>
  <r>
    <x v="9"/>
    <x v="9"/>
    <n v="0.13"/>
    <n v="0"/>
    <n v="-0.13"/>
  </r>
  <r>
    <x v="9"/>
    <x v="10"/>
    <n v="8.5000000000000006E-2"/>
    <n v="0"/>
    <n v="-8.5000000000000006E-2"/>
  </r>
  <r>
    <x v="9"/>
    <x v="11"/>
    <n v="1.01"/>
    <n v="0"/>
    <n v="-1.01"/>
  </r>
  <r>
    <x v="9"/>
    <x v="12"/>
    <n v="0.87030000000000007"/>
    <n v="0"/>
    <n v="-0.87030000000000007"/>
  </r>
  <r>
    <x v="10"/>
    <x v="0"/>
    <n v="1.1666666666666667E-2"/>
    <n v="0"/>
    <n v="-1.1666666666666667E-2"/>
  </r>
  <r>
    <x v="10"/>
    <x v="1"/>
    <n v="6.6590314346624121E-3"/>
    <n v="0"/>
    <n v="-6.6590314346624121E-3"/>
  </r>
  <r>
    <x v="10"/>
    <x v="2"/>
    <n v="2.6796599258633577E-2"/>
    <n v="0"/>
    <n v="-2.6796599258633577E-2"/>
  </r>
  <r>
    <x v="10"/>
    <x v="3"/>
    <n v="0.12318396202279536"/>
    <n v="0"/>
    <n v="-0.12318396202279536"/>
  </r>
  <r>
    <x v="10"/>
    <x v="4"/>
    <n v="0.159"/>
    <n v="0"/>
    <n v="-0.159"/>
  </r>
  <r>
    <x v="10"/>
    <x v="5"/>
    <n v="0.12740000000000001"/>
    <n v="0"/>
    <n v="-0.12740000000000001"/>
  </r>
  <r>
    <x v="10"/>
    <x v="6"/>
    <n v="4.4999999999999998E-2"/>
    <n v="0"/>
    <n v="-4.4999999999999998E-2"/>
  </r>
  <r>
    <x v="10"/>
    <x v="7"/>
    <n v="1"/>
    <n v="0"/>
    <n v="-1"/>
  </r>
  <r>
    <x v="10"/>
    <x v="8"/>
    <n v="0.1119"/>
    <n v="0"/>
    <n v="-0.1119"/>
  </r>
  <r>
    <x v="10"/>
    <x v="9"/>
    <n v="0.13"/>
    <n v="0"/>
    <n v="-0.13"/>
  </r>
  <r>
    <x v="10"/>
    <x v="10"/>
    <n v="8.5000000000000006E-2"/>
    <n v="0"/>
    <n v="-8.5000000000000006E-2"/>
  </r>
  <r>
    <x v="10"/>
    <x v="11"/>
    <n v="1.01"/>
    <n v="0"/>
    <n v="-1.01"/>
  </r>
  <r>
    <x v="10"/>
    <x v="12"/>
    <n v="0.87030000000000007"/>
    <n v="0"/>
    <n v="-0.87030000000000007"/>
  </r>
  <r>
    <x v="11"/>
    <x v="0"/>
    <n v="1.1666666666666667E-2"/>
    <n v="0"/>
    <n v="-1.1666666666666667E-2"/>
  </r>
  <r>
    <x v="11"/>
    <x v="1"/>
    <n v="6.6590314346624121E-3"/>
    <n v="0"/>
    <n v="-6.6590314346624121E-3"/>
  </r>
  <r>
    <x v="11"/>
    <x v="2"/>
    <n v="2.6796599258633577E-2"/>
    <n v="0"/>
    <n v="-2.6796599258633577E-2"/>
  </r>
  <r>
    <x v="11"/>
    <x v="3"/>
    <n v="0.12318396202279536"/>
    <n v="0"/>
    <n v="-0.12318396202279536"/>
  </r>
  <r>
    <x v="11"/>
    <x v="4"/>
    <n v="0.159"/>
    <n v="0"/>
    <n v="-0.159"/>
  </r>
  <r>
    <x v="11"/>
    <x v="5"/>
    <n v="0.12740000000000001"/>
    <n v="0"/>
    <n v="-0.12740000000000001"/>
  </r>
  <r>
    <x v="11"/>
    <x v="6"/>
    <n v="4.4999999999999998E-2"/>
    <n v="0"/>
    <n v="-4.4999999999999998E-2"/>
  </r>
  <r>
    <x v="11"/>
    <x v="7"/>
    <n v="1"/>
    <n v="0"/>
    <n v="-1"/>
  </r>
  <r>
    <x v="11"/>
    <x v="8"/>
    <n v="0.1119"/>
    <n v="0"/>
    <n v="-0.1119"/>
  </r>
  <r>
    <x v="11"/>
    <x v="9"/>
    <n v="0.13"/>
    <n v="0"/>
    <n v="-0.13"/>
  </r>
  <r>
    <x v="11"/>
    <x v="10"/>
    <n v="8.5000000000000006E-2"/>
    <n v="0"/>
    <n v="-8.5000000000000006E-2"/>
  </r>
  <r>
    <x v="11"/>
    <x v="11"/>
    <n v="1.01"/>
    <n v="0"/>
    <n v="-1.01"/>
  </r>
  <r>
    <x v="11"/>
    <x v="12"/>
    <n v="0.87030000000000007"/>
    <n v="0"/>
    <n v="-0.8703000000000000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Tabla dinámica1" cacheId="3"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chartFormat="8">
  <location ref="A3:D6" firstHeaderRow="0" firstDataRow="1" firstDataCol="1"/>
  <pivotFields count="5">
    <pivotField axis="axisRow" showAll="0">
      <items count="13">
        <item h="1" x="0"/>
        <item h="1" x="1"/>
        <item h="1" x="2"/>
        <item x="3"/>
        <item h="1" x="4"/>
        <item h="1" x="5"/>
        <item h="1" x="6"/>
        <item h="1" x="7"/>
        <item h="1" x="8"/>
        <item h="1" x="9"/>
        <item h="1" x="10"/>
        <item h="1" x="11"/>
        <item t="default"/>
      </items>
    </pivotField>
    <pivotField axis="axisRow" showAll="0">
      <items count="14">
        <item h="1" x="9"/>
        <item h="1" x="12"/>
        <item h="1" x="1"/>
        <item h="1" x="10"/>
        <item h="1" x="11"/>
        <item h="1" x="0"/>
        <item h="1" x="2"/>
        <item h="1" x="6"/>
        <item x="7"/>
        <item h="1" x="4"/>
        <item h="1" x="5"/>
        <item h="1" x="8"/>
        <item h="1" x="3"/>
        <item t="default"/>
      </items>
    </pivotField>
    <pivotField dataField="1" showAll="0"/>
    <pivotField dataField="1" showAll="0"/>
    <pivotField dataField="1" showAll="0"/>
  </pivotFields>
  <rowFields count="2">
    <field x="0"/>
    <field x="1"/>
  </rowFields>
  <rowItems count="3">
    <i>
      <x v="3"/>
    </i>
    <i r="1">
      <x v="8"/>
    </i>
    <i t="grand">
      <x/>
    </i>
  </rowItems>
  <colFields count="1">
    <field x="-2"/>
  </colFields>
  <colItems count="3">
    <i>
      <x/>
    </i>
    <i i="1">
      <x v="1"/>
    </i>
    <i i="2">
      <x v="2"/>
    </i>
  </colItems>
  <dataFields count="3">
    <dataField name="Suma de META" fld="2" baseField="0" baseItem="0"/>
    <dataField name="Suma de CUMPLIMIENTO" fld="3" baseField="0" baseItem="0"/>
    <dataField name="Suma de DIFERENCIA" fld="4" baseField="0" baseItem="0"/>
  </dataFields>
  <formats count="1">
    <format dxfId="0">
      <pivotArea outline="0" collapsedLevelsAreSubtotals="1" fieldPosition="0"/>
    </format>
  </formats>
  <chartFormats count="6">
    <chartFormat chart="4"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1"/>
          </reference>
        </references>
      </pivotArea>
    </chartFormat>
    <chartFormat chart="4" format="5" series="1">
      <pivotArea type="data" outline="0" fieldPosition="0">
        <references count="1">
          <reference field="4294967294"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la dinámica1" cacheId="0"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chartFormat="6">
  <location ref="A3:D6" firstHeaderRow="0" firstDataRow="1" firstDataCol="1"/>
  <pivotFields count="5">
    <pivotField axis="axisRow" showAll="0">
      <items count="13">
        <item h="1" x="0"/>
        <item h="1" x="1"/>
        <item h="1" x="2"/>
        <item h="1" x="3"/>
        <item x="4"/>
        <item h="1" x="5"/>
        <item h="1" x="6"/>
        <item h="1" x="7"/>
        <item h="1" x="8"/>
        <item h="1" x="9"/>
        <item h="1" x="10"/>
        <item h="1" x="11"/>
        <item t="default"/>
      </items>
    </pivotField>
    <pivotField axis="axisRow" showAll="0">
      <items count="12">
        <item h="1" x="2"/>
        <item h="1" x="8"/>
        <item h="1" x="7"/>
        <item h="1" x="6"/>
        <item x="1"/>
        <item h="1" x="9"/>
        <item h="1" x="5"/>
        <item h="1" x="3"/>
        <item h="1" x="0"/>
        <item h="1" x="4"/>
        <item h="1" x="10"/>
        <item t="default"/>
      </items>
    </pivotField>
    <pivotField dataField="1" showAll="0"/>
    <pivotField dataField="1" showAll="0"/>
    <pivotField dataField="1" showAll="0"/>
  </pivotFields>
  <rowFields count="2">
    <field x="0"/>
    <field x="1"/>
  </rowFields>
  <rowItems count="3">
    <i>
      <x v="4"/>
    </i>
    <i r="1">
      <x v="4"/>
    </i>
    <i t="grand">
      <x/>
    </i>
  </rowItems>
  <colFields count="1">
    <field x="-2"/>
  </colFields>
  <colItems count="3">
    <i>
      <x/>
    </i>
    <i i="1">
      <x v="1"/>
    </i>
    <i i="2">
      <x v="2"/>
    </i>
  </colItems>
  <dataFields count="3">
    <dataField name="Suma de META" fld="2" baseField="0" baseItem="0"/>
    <dataField name="Suma de CUMPLIMIENTO" fld="3" baseField="0" baseItem="0"/>
    <dataField name="Suma de DIFERENCIA" fld="4"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la dinámica1" cacheId="2"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chartFormat="11">
  <location ref="A3:D6" firstHeaderRow="0" firstDataRow="1" firstDataCol="1"/>
  <pivotFields count="5">
    <pivotField axis="axisRow" showAll="0">
      <items count="13">
        <item h="1" x="0"/>
        <item h="1" x="1"/>
        <item h="1" x="2"/>
        <item x="3"/>
        <item h="1" x="4"/>
        <item h="1" x="5"/>
        <item h="1" x="6"/>
        <item h="1" x="7"/>
        <item h="1" x="8"/>
        <item h="1" x="9"/>
        <item h="1" x="10"/>
        <item h="1" x="11"/>
        <item t="default"/>
      </items>
    </pivotField>
    <pivotField axis="axisRow" showAll="0">
      <items count="7">
        <item x="5"/>
        <item h="1" x="3"/>
        <item h="1" x="1"/>
        <item h="1" x="0"/>
        <item h="1" x="2"/>
        <item h="1" x="4"/>
        <item t="default"/>
      </items>
    </pivotField>
    <pivotField dataField="1" numFmtId="10" showAll="0"/>
    <pivotField dataField="1" numFmtId="9" showAll="0"/>
    <pivotField dataField="1" numFmtId="10" showAll="0"/>
  </pivotFields>
  <rowFields count="2">
    <field x="0"/>
    <field x="1"/>
  </rowFields>
  <rowItems count="3">
    <i>
      <x v="3"/>
    </i>
    <i r="1">
      <x/>
    </i>
    <i t="grand">
      <x/>
    </i>
  </rowItems>
  <colFields count="1">
    <field x="-2"/>
  </colFields>
  <colItems count="3">
    <i>
      <x/>
    </i>
    <i i="1">
      <x v="1"/>
    </i>
    <i i="2">
      <x v="2"/>
    </i>
  </colItems>
  <dataFields count="3">
    <dataField name="Suma de META" fld="2" baseField="0" baseItem="0"/>
    <dataField name="Suma de CUMPLIMIENTO" fld="3" baseField="0" baseItem="0"/>
    <dataField name="Suma de DIFERENCIA" fld="4"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2"/>
          </reference>
        </references>
      </pivotArea>
    </chartFormat>
    <chartFormat chart="9"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1"/>
          </reference>
        </references>
      </pivotArea>
    </chartFormat>
    <chartFormat chart="9"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Tabla dinámica1" cacheId="1"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chartFormat="5">
  <location ref="A3:D6" firstHeaderRow="0" firstDataRow="1" firstDataCol="1"/>
  <pivotFields count="5">
    <pivotField axis="axisRow" showAll="0">
      <items count="13">
        <item h="1" x="0"/>
        <item h="1" x="1"/>
        <item x="2"/>
        <item h="1" x="3"/>
        <item h="1" x="4"/>
        <item h="1" x="5"/>
        <item h="1" x="6"/>
        <item h="1" x="7"/>
        <item h="1" x="8"/>
        <item h="1" x="9"/>
        <item h="1" x="10"/>
        <item h="1" x="11"/>
        <item t="default"/>
      </items>
    </pivotField>
    <pivotField axis="axisRow" showAll="0">
      <items count="4">
        <item h="1" x="0"/>
        <item h="1" x="1"/>
        <item x="2"/>
        <item t="default"/>
      </items>
    </pivotField>
    <pivotField dataField="1" numFmtId="9" showAll="0"/>
    <pivotField dataField="1" numFmtId="9" showAll="0"/>
    <pivotField dataField="1" numFmtId="9" showAll="0"/>
  </pivotFields>
  <rowFields count="2">
    <field x="0"/>
    <field x="1"/>
  </rowFields>
  <rowItems count="3">
    <i>
      <x v="2"/>
    </i>
    <i r="1">
      <x v="2"/>
    </i>
    <i t="grand">
      <x/>
    </i>
  </rowItems>
  <colFields count="1">
    <field x="-2"/>
  </colFields>
  <colItems count="3">
    <i>
      <x/>
    </i>
    <i i="1">
      <x v="1"/>
    </i>
    <i i="2">
      <x v="2"/>
    </i>
  </colItems>
  <dataFields count="3">
    <dataField name="Suma de META" fld="2" baseField="0" baseItem="0"/>
    <dataField name="Suma de CUMPLIMIENTO" fld="3" baseField="0" baseItem="0"/>
    <dataField name="Suma de DIFERENCIA" fld="4" baseField="0" baseItem="0"/>
  </dataFields>
  <chartFormats count="3">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egmentaciónDeDatos_INDICADOR" sourceName="INDICADOR">
  <pivotTables>
    <pivotTable tabId="31" name="Tabla dinámica1"/>
  </pivotTables>
  <data>
    <tabular pivotCacheId="2">
      <items count="13">
        <i x="9"/>
        <i x="12"/>
        <i x="1"/>
        <i x="10"/>
        <i x="11"/>
        <i x="0"/>
        <i x="2"/>
        <i x="6"/>
        <i x="7" s="1"/>
        <i x="4"/>
        <i x="5"/>
        <i x="8"/>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egmentaciónDeDatos_MES" sourceName="MES">
  <pivotTables>
    <pivotTable tabId="31" name="Tabla dinámica1"/>
  </pivotTables>
  <data>
    <tabular pivotCacheId="2">
      <items count="12">
        <i x="0"/>
        <i x="1"/>
        <i x="2"/>
        <i x="3" s="1"/>
        <i x="4"/>
        <i x="5"/>
        <i x="6"/>
        <i x="7"/>
        <i x="8"/>
        <i x="9"/>
        <i x="10"/>
        <i x="1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egmentaciónDeDatos_MES1" sourceName="MES">
  <pivotTables>
    <pivotTable tabId="33" name="Tabla dinámica1"/>
  </pivotTables>
  <data>
    <tabular pivotCacheId="3">
      <items count="12">
        <i x="0"/>
        <i x="1"/>
        <i x="2"/>
        <i x="3"/>
        <i x="4" s="1"/>
        <i x="5"/>
        <i x="6"/>
        <i x="7"/>
        <i x="8"/>
        <i x="9"/>
        <i x="10"/>
        <i x="1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egmentaciónDeDatos_INDICADOR1" sourceName="INDICADOR">
  <pivotTables>
    <pivotTable tabId="33" name="Tabla dinámica1"/>
  </pivotTables>
  <data>
    <tabular pivotCacheId="3">
      <items count="11">
        <i x="2"/>
        <i x="8"/>
        <i x="7"/>
        <i x="6"/>
        <i x="1" s="1"/>
        <i x="9"/>
        <i x="5"/>
        <i x="3"/>
        <i x="0"/>
        <i x="4"/>
        <i x="10"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egmentaciónDeDatos_MES2" sourceName="MES">
  <pivotTables>
    <pivotTable tabId="34" name="Tabla dinámica1"/>
  </pivotTables>
  <data>
    <tabular pivotCacheId="4">
      <items count="12">
        <i x="0"/>
        <i x="1"/>
        <i x="2"/>
        <i x="3" s="1"/>
        <i x="4"/>
        <i x="5"/>
        <i x="6"/>
        <i x="7"/>
        <i x="8"/>
        <i x="9"/>
        <i x="10"/>
        <i x="1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egmentaciónDeDatos_INDICADOR2" sourceName="INDICADOR">
  <pivotTables>
    <pivotTable tabId="34" name="Tabla dinámica1"/>
  </pivotTables>
  <data>
    <tabular pivotCacheId="4">
      <items count="6">
        <i x="5" s="1"/>
        <i x="3"/>
        <i x="1"/>
        <i x="0"/>
        <i x="2"/>
        <i x="4"/>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egmentaciónDeDatos_MES3" sourceName="MES">
  <pivotTables>
    <pivotTable tabId="35" name="Tabla dinámica1"/>
  </pivotTables>
  <data>
    <tabular pivotCacheId="5">
      <items count="12">
        <i x="0"/>
        <i x="1"/>
        <i x="2" s="1"/>
        <i x="3"/>
        <i x="4"/>
        <i x="5"/>
        <i x="6"/>
        <i x="7"/>
        <i x="8"/>
        <i x="9"/>
        <i x="10"/>
        <i x="1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egmentaciónDeDatos_INDICADOR3" sourceName="INDICADOR">
  <pivotTables>
    <pivotTable tabId="35" name="Tabla dinámica1"/>
  </pivotTables>
  <data>
    <tabular pivotCacheId="5">
      <items count="3">
        <i x="0"/>
        <i x="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NDICADOR" cache="SegmentaciónDeDatos_INDICADOR" caption="INDICADOR" startItem="1" style="SlicerStyleDark6" rowHeight="241300"/>
  <slicer name="MES" cache="SegmentaciónDeDatos_MES" caption="MES" style="SlicerStyleDark6" rowHeight="241300"/>
  <slicer name="MES 1" cache="SegmentaciónDeDatos_MES1" caption="MES" style="SlicerStyleDark6" rowHeight="241300"/>
  <slicer name="INDICADOR 1" cache="SegmentaciónDeDatos_INDICADOR1" caption="INDICADOR" style="SlicerStyleDark6" rowHeight="241300"/>
  <slicer name="MES 2" cache="SegmentaciónDeDatos_MES2" caption="MES" style="SlicerStyleDark6" rowHeight="241300"/>
  <slicer name="INDICADOR 2" cache="SegmentaciónDeDatos_INDICADOR2" caption="INDICADOR" style="SlicerStyleDark6" rowHeight="241300"/>
  <slicer name="MES 4" cache="SegmentaciónDeDatos_MES3" caption="MES" style="SlicerStyleDark6" rowHeight="241300"/>
  <slicer name="INDICADOR 4" cache="SegmentaciónDeDatos_INDICADOR3" caption="INDICADOR" style="SlicerStyleDark6" rowHeight="241300"/>
</slicer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0.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2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1.xml"/><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2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2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ackage" Target="../embeddings/Dibujo_de_Microsoft_Visio1111111111111111111111111111111111111111111111111111111111111111.vsdx"/><Relationship Id="rId2" Type="http://schemas.openxmlformats.org/officeDocument/2006/relationships/vmlDrawing" Target="../drawings/vmlDrawing1.vml"/><Relationship Id="rId1" Type="http://schemas.openxmlformats.org/officeDocument/2006/relationships/drawing" Target="../drawings/drawing5.xml"/><Relationship Id="rId4" Type="http://schemas.openxmlformats.org/officeDocument/2006/relationships/image" Target="../media/image2.emf"/></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B1:N21"/>
  <sheetViews>
    <sheetView showGridLines="0" workbookViewId="0">
      <pane ySplit="2" topLeftCell="A3" activePane="bottomLeft" state="frozen"/>
      <selection pane="bottomLeft"/>
    </sheetView>
  </sheetViews>
  <sheetFormatPr baseColWidth="10" defaultRowHeight="15" x14ac:dyDescent="0.25"/>
  <cols>
    <col min="1" max="1" width="2.7109375" customWidth="1"/>
    <col min="2" max="2" width="13.28515625" customWidth="1"/>
    <col min="3" max="3" width="11.85546875" customWidth="1"/>
    <col min="4" max="4" width="14.140625" customWidth="1"/>
    <col min="8" max="8" width="5.42578125" customWidth="1"/>
  </cols>
  <sheetData>
    <row r="1" spans="2:14" s="2" customFormat="1" ht="39" customHeight="1" x14ac:dyDescent="0.25"/>
    <row r="2" spans="2:14" s="1" customFormat="1" ht="30.75" customHeight="1" x14ac:dyDescent="0.25"/>
    <row r="3" spans="2:14" ht="12" customHeight="1" x14ac:dyDescent="0.25"/>
    <row r="4" spans="2:14" x14ac:dyDescent="0.25">
      <c r="B4" s="356" t="s">
        <v>0</v>
      </c>
      <c r="C4" s="356"/>
      <c r="D4" s="356"/>
      <c r="E4" s="356"/>
      <c r="F4" s="356"/>
      <c r="G4" s="356"/>
      <c r="H4" s="356"/>
      <c r="I4" s="356"/>
      <c r="J4" s="356"/>
      <c r="K4" s="356"/>
      <c r="L4" s="356"/>
      <c r="M4" s="356"/>
      <c r="N4" s="356"/>
    </row>
    <row r="5" spans="2:14" x14ac:dyDescent="0.25">
      <c r="B5" s="356"/>
      <c r="C5" s="356"/>
      <c r="D5" s="356"/>
      <c r="E5" s="356"/>
      <c r="F5" s="356"/>
      <c r="G5" s="356"/>
      <c r="H5" s="356"/>
      <c r="I5" s="356"/>
      <c r="J5" s="356"/>
      <c r="K5" s="356"/>
      <c r="L5" s="356"/>
      <c r="M5" s="356"/>
      <c r="N5" s="356"/>
    </row>
    <row r="6" spans="2:14" ht="11.25" customHeight="1" x14ac:dyDescent="0.25"/>
    <row r="7" spans="2:14" ht="17.25" customHeight="1" x14ac:dyDescent="0.25">
      <c r="B7" s="357" t="s">
        <v>1</v>
      </c>
      <c r="C7" s="357"/>
      <c r="D7" s="358">
        <v>2020</v>
      </c>
      <c r="E7" s="359"/>
      <c r="F7" s="359"/>
      <c r="G7" s="360"/>
      <c r="I7" s="357" t="s">
        <v>2</v>
      </c>
      <c r="J7" s="357"/>
      <c r="K7" s="358" t="s">
        <v>3</v>
      </c>
      <c r="L7" s="359"/>
      <c r="M7" s="359"/>
      <c r="N7" s="360"/>
    </row>
    <row r="8" spans="2:14" ht="17.25" customHeight="1" x14ac:dyDescent="0.25">
      <c r="B8" s="357"/>
      <c r="C8" s="357"/>
      <c r="D8" s="361"/>
      <c r="E8" s="362"/>
      <c r="F8" s="362"/>
      <c r="G8" s="363"/>
      <c r="I8" s="357"/>
      <c r="J8" s="357"/>
      <c r="K8" s="361"/>
      <c r="L8" s="362"/>
      <c r="M8" s="362"/>
      <c r="N8" s="363"/>
    </row>
    <row r="9" spans="2:14" ht="9.75" customHeight="1" x14ac:dyDescent="0.25"/>
    <row r="10" spans="2:14" x14ac:dyDescent="0.25">
      <c r="B10" s="341" t="s">
        <v>5</v>
      </c>
      <c r="C10" s="342"/>
      <c r="D10" s="342"/>
      <c r="E10" s="342"/>
      <c r="F10" s="342"/>
      <c r="G10" s="342"/>
      <c r="H10" s="342"/>
      <c r="I10" s="342"/>
      <c r="J10" s="342"/>
      <c r="K10" s="342"/>
      <c r="L10" s="342"/>
      <c r="M10" s="342"/>
      <c r="N10" s="343"/>
    </row>
    <row r="11" spans="2:14" x14ac:dyDescent="0.25">
      <c r="B11" s="344"/>
      <c r="C11" s="345"/>
      <c r="D11" s="345"/>
      <c r="E11" s="345"/>
      <c r="F11" s="345"/>
      <c r="G11" s="345"/>
      <c r="H11" s="345"/>
      <c r="I11" s="345"/>
      <c r="J11" s="345"/>
      <c r="K11" s="345"/>
      <c r="L11" s="345"/>
      <c r="M11" s="345"/>
      <c r="N11" s="346"/>
    </row>
    <row r="12" spans="2:14" ht="7.5" customHeight="1" x14ac:dyDescent="0.25"/>
    <row r="13" spans="2:14" x14ac:dyDescent="0.25">
      <c r="B13" s="347" t="s">
        <v>4</v>
      </c>
      <c r="C13" s="348"/>
      <c r="D13" s="348"/>
      <c r="E13" s="348"/>
      <c r="F13" s="348"/>
      <c r="G13" s="348"/>
      <c r="H13" s="348"/>
      <c r="I13" s="348"/>
      <c r="J13" s="348"/>
      <c r="K13" s="348"/>
      <c r="L13" s="348"/>
      <c r="M13" s="348"/>
      <c r="N13" s="349"/>
    </row>
    <row r="14" spans="2:14" x14ac:dyDescent="0.25">
      <c r="B14" s="350"/>
      <c r="C14" s="351"/>
      <c r="D14" s="351"/>
      <c r="E14" s="351"/>
      <c r="F14" s="351"/>
      <c r="G14" s="351"/>
      <c r="H14" s="351"/>
      <c r="I14" s="351"/>
      <c r="J14" s="351"/>
      <c r="K14" s="351"/>
      <c r="L14" s="351"/>
      <c r="M14" s="351"/>
      <c r="N14" s="352"/>
    </row>
    <row r="15" spans="2:14" x14ac:dyDescent="0.25">
      <c r="B15" s="350"/>
      <c r="C15" s="351"/>
      <c r="D15" s="351"/>
      <c r="E15" s="351"/>
      <c r="F15" s="351"/>
      <c r="G15" s="351"/>
      <c r="H15" s="351"/>
      <c r="I15" s="351"/>
      <c r="J15" s="351"/>
      <c r="K15" s="351"/>
      <c r="L15" s="351"/>
      <c r="M15" s="351"/>
      <c r="N15" s="352"/>
    </row>
    <row r="16" spans="2:14" x14ac:dyDescent="0.25">
      <c r="B16" s="350"/>
      <c r="C16" s="351"/>
      <c r="D16" s="351"/>
      <c r="E16" s="351"/>
      <c r="F16" s="351"/>
      <c r="G16" s="351"/>
      <c r="H16" s="351"/>
      <c r="I16" s="351"/>
      <c r="J16" s="351"/>
      <c r="K16" s="351"/>
      <c r="L16" s="351"/>
      <c r="M16" s="351"/>
      <c r="N16" s="352"/>
    </row>
    <row r="17" spans="2:14" x14ac:dyDescent="0.25">
      <c r="B17" s="350"/>
      <c r="C17" s="351"/>
      <c r="D17" s="351"/>
      <c r="E17" s="351"/>
      <c r="F17" s="351"/>
      <c r="G17" s="351"/>
      <c r="H17" s="351"/>
      <c r="I17" s="351"/>
      <c r="J17" s="351"/>
      <c r="K17" s="351"/>
      <c r="L17" s="351"/>
      <c r="M17" s="351"/>
      <c r="N17" s="352"/>
    </row>
    <row r="18" spans="2:14" x14ac:dyDescent="0.25">
      <c r="B18" s="350"/>
      <c r="C18" s="351"/>
      <c r="D18" s="351"/>
      <c r="E18" s="351"/>
      <c r="F18" s="351"/>
      <c r="G18" s="351"/>
      <c r="H18" s="351"/>
      <c r="I18" s="351"/>
      <c r="J18" s="351"/>
      <c r="K18" s="351"/>
      <c r="L18" s="351"/>
      <c r="M18" s="351"/>
      <c r="N18" s="352"/>
    </row>
    <row r="19" spans="2:14" x14ac:dyDescent="0.25">
      <c r="B19" s="350"/>
      <c r="C19" s="351"/>
      <c r="D19" s="351"/>
      <c r="E19" s="351"/>
      <c r="F19" s="351"/>
      <c r="G19" s="351"/>
      <c r="H19" s="351"/>
      <c r="I19" s="351"/>
      <c r="J19" s="351"/>
      <c r="K19" s="351"/>
      <c r="L19" s="351"/>
      <c r="M19" s="351"/>
      <c r="N19" s="352"/>
    </row>
    <row r="20" spans="2:14" x14ac:dyDescent="0.25">
      <c r="B20" s="350"/>
      <c r="C20" s="351"/>
      <c r="D20" s="351"/>
      <c r="E20" s="351"/>
      <c r="F20" s="351"/>
      <c r="G20" s="351"/>
      <c r="H20" s="351"/>
      <c r="I20" s="351"/>
      <c r="J20" s="351"/>
      <c r="K20" s="351"/>
      <c r="L20" s="351"/>
      <c r="M20" s="351"/>
      <c r="N20" s="352"/>
    </row>
    <row r="21" spans="2:14" x14ac:dyDescent="0.25">
      <c r="B21" s="353"/>
      <c r="C21" s="354"/>
      <c r="D21" s="354"/>
      <c r="E21" s="354"/>
      <c r="F21" s="354"/>
      <c r="G21" s="354"/>
      <c r="H21" s="354"/>
      <c r="I21" s="354"/>
      <c r="J21" s="354"/>
      <c r="K21" s="354"/>
      <c r="L21" s="354"/>
      <c r="M21" s="354"/>
      <c r="N21" s="355"/>
    </row>
  </sheetData>
  <mergeCells count="7">
    <mergeCell ref="B10:N11"/>
    <mergeCell ref="B13:N21"/>
    <mergeCell ref="B4:N5"/>
    <mergeCell ref="B7:C8"/>
    <mergeCell ref="D7:G8"/>
    <mergeCell ref="I7:J8"/>
    <mergeCell ref="K7:N8"/>
  </mergeCells>
  <dataValidations count="1">
    <dataValidation type="list" allowBlank="1" showInputMessage="1" showErrorMessage="1" sqref="K7:N8">
      <formula1>"1 año, 2 años, 3 años, 4 años"</formula1>
    </dataValidation>
  </dataValidation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B1:P19"/>
  <sheetViews>
    <sheetView showGridLines="0" workbookViewId="0"/>
  </sheetViews>
  <sheetFormatPr baseColWidth="10" defaultRowHeight="15" x14ac:dyDescent="0.25"/>
  <cols>
    <col min="1" max="1" width="2.7109375" customWidth="1"/>
    <col min="2" max="2" width="13.28515625" customWidth="1"/>
    <col min="3" max="3" width="11.85546875" customWidth="1"/>
    <col min="4" max="4" width="14.140625" customWidth="1"/>
    <col min="8" max="8" width="5.42578125" customWidth="1"/>
  </cols>
  <sheetData>
    <row r="1" spans="2:16" s="2" customFormat="1" ht="39" customHeight="1" x14ac:dyDescent="0.25"/>
    <row r="2" spans="2:16" s="1" customFormat="1" ht="30.75" customHeight="1" x14ac:dyDescent="0.25"/>
    <row r="3" spans="2:16" ht="7.5" customHeight="1" x14ac:dyDescent="0.25"/>
    <row r="4" spans="2:16" ht="20.25" customHeight="1" x14ac:dyDescent="0.25">
      <c r="B4" s="450" t="s">
        <v>77</v>
      </c>
      <c r="C4" s="450"/>
      <c r="D4" s="450"/>
      <c r="E4" s="450"/>
      <c r="F4" s="450"/>
      <c r="G4" s="450"/>
      <c r="H4" s="450"/>
      <c r="I4" s="8"/>
      <c r="J4" s="450" t="s">
        <v>70</v>
      </c>
      <c r="K4" s="450"/>
      <c r="L4" s="450"/>
      <c r="M4" s="450"/>
      <c r="N4" s="450"/>
      <c r="O4" s="450"/>
      <c r="P4" s="450"/>
    </row>
    <row r="5" spans="2:16" ht="6" customHeight="1" x14ac:dyDescent="0.25">
      <c r="B5" s="7"/>
      <c r="C5" s="7"/>
      <c r="D5" s="7"/>
      <c r="E5" s="7"/>
      <c r="F5" s="7"/>
      <c r="G5" s="7"/>
      <c r="H5" s="7"/>
    </row>
    <row r="6" spans="2:16" ht="18.75" customHeight="1" x14ac:dyDescent="0.25">
      <c r="B6" s="442" t="s">
        <v>36</v>
      </c>
      <c r="C6" s="442"/>
      <c r="D6" s="442"/>
      <c r="E6" s="442"/>
      <c r="F6" s="442"/>
      <c r="G6" s="442"/>
      <c r="H6" s="442"/>
      <c r="I6" s="6"/>
      <c r="J6" s="445" t="s">
        <v>37</v>
      </c>
      <c r="K6" s="445"/>
      <c r="L6" s="445"/>
      <c r="M6" s="445"/>
      <c r="N6" s="445"/>
      <c r="O6" s="445"/>
      <c r="P6" s="445"/>
    </row>
    <row r="7" spans="2:16" ht="32.25" customHeight="1" x14ac:dyDescent="0.25">
      <c r="B7" s="464" t="s">
        <v>62</v>
      </c>
      <c r="C7" s="465"/>
      <c r="D7" s="465"/>
      <c r="E7" s="465"/>
      <c r="F7" s="465"/>
      <c r="G7" s="465"/>
      <c r="H7" s="466"/>
      <c r="I7" s="5"/>
      <c r="J7" s="460" t="s">
        <v>63</v>
      </c>
      <c r="K7" s="461"/>
      <c r="L7" s="461"/>
      <c r="M7" s="461"/>
      <c r="N7" s="461"/>
      <c r="O7" s="461"/>
      <c r="P7" s="462"/>
    </row>
    <row r="8" spans="2:16" ht="32.25" customHeight="1" x14ac:dyDescent="0.25">
      <c r="B8" s="467"/>
      <c r="C8" s="468"/>
      <c r="D8" s="468"/>
      <c r="E8" s="468"/>
      <c r="F8" s="468"/>
      <c r="G8" s="468"/>
      <c r="H8" s="469"/>
      <c r="I8" s="5"/>
      <c r="J8" s="460" t="s">
        <v>64</v>
      </c>
      <c r="K8" s="461"/>
      <c r="L8" s="461"/>
      <c r="M8" s="461"/>
      <c r="N8" s="461"/>
      <c r="O8" s="461"/>
      <c r="P8" s="462"/>
    </row>
    <row r="9" spans="2:16" ht="32.25" customHeight="1" x14ac:dyDescent="0.25">
      <c r="B9" s="467"/>
      <c r="C9" s="468"/>
      <c r="D9" s="468"/>
      <c r="E9" s="468"/>
      <c r="F9" s="468"/>
      <c r="G9" s="468"/>
      <c r="H9" s="469"/>
      <c r="I9" s="5"/>
      <c r="J9" s="460" t="s">
        <v>318</v>
      </c>
      <c r="K9" s="461"/>
      <c r="L9" s="461"/>
      <c r="M9" s="461"/>
      <c r="N9" s="461"/>
      <c r="O9" s="461"/>
      <c r="P9" s="462"/>
    </row>
    <row r="10" spans="2:16" ht="32.25" customHeight="1" x14ac:dyDescent="0.25">
      <c r="B10" s="467"/>
      <c r="C10" s="468"/>
      <c r="D10" s="468"/>
      <c r="E10" s="468"/>
      <c r="F10" s="468"/>
      <c r="G10" s="468"/>
      <c r="H10" s="469"/>
      <c r="I10" s="5"/>
      <c r="J10" s="470" t="s">
        <v>323</v>
      </c>
      <c r="K10" s="471"/>
      <c r="L10" s="471"/>
      <c r="M10" s="471"/>
      <c r="N10" s="471"/>
      <c r="O10" s="471"/>
      <c r="P10" s="472"/>
    </row>
    <row r="11" spans="2:16" s="9" customFormat="1" ht="26.25" customHeight="1" x14ac:dyDescent="0.25">
      <c r="B11" s="497" t="s">
        <v>66</v>
      </c>
      <c r="C11" s="498"/>
      <c r="D11" s="498"/>
      <c r="E11" s="498"/>
      <c r="F11" s="498"/>
      <c r="G11" s="498"/>
      <c r="H11" s="499"/>
      <c r="J11" s="500" t="s">
        <v>65</v>
      </c>
      <c r="K11" s="500"/>
      <c r="L11" s="500"/>
      <c r="M11" s="500"/>
      <c r="N11" s="500"/>
      <c r="O11" s="500"/>
      <c r="P11" s="500"/>
    </row>
    <row r="12" spans="2:16" s="9" customFormat="1" ht="26.25" customHeight="1" x14ac:dyDescent="0.25">
      <c r="B12" s="497" t="s">
        <v>67</v>
      </c>
      <c r="C12" s="498"/>
      <c r="D12" s="498"/>
      <c r="E12" s="498"/>
      <c r="F12" s="498"/>
      <c r="G12" s="498"/>
      <c r="H12" s="499"/>
      <c r="J12" s="500" t="s">
        <v>68</v>
      </c>
      <c r="K12" s="500"/>
      <c r="L12" s="500"/>
      <c r="M12" s="500"/>
      <c r="N12" s="500"/>
      <c r="O12" s="500"/>
      <c r="P12" s="500"/>
    </row>
    <row r="13" spans="2:16" s="9" customFormat="1" ht="26.25" customHeight="1" x14ac:dyDescent="0.25">
      <c r="B13" s="457"/>
      <c r="C13" s="458"/>
      <c r="D13" s="458"/>
      <c r="E13" s="458"/>
      <c r="F13" s="458"/>
      <c r="G13" s="458"/>
      <c r="H13" s="459"/>
      <c r="J13" s="500" t="s">
        <v>69</v>
      </c>
      <c r="K13" s="500"/>
      <c r="L13" s="500"/>
      <c r="M13" s="500"/>
      <c r="N13" s="500"/>
      <c r="O13" s="500"/>
      <c r="P13" s="500"/>
    </row>
    <row r="16" spans="2:16" x14ac:dyDescent="0.25">
      <c r="J16" s="496"/>
      <c r="K16" s="496"/>
      <c r="L16" s="496"/>
      <c r="M16" s="496"/>
      <c r="N16" s="496"/>
    </row>
    <row r="17" spans="10:14" x14ac:dyDescent="0.25">
      <c r="J17" s="496"/>
      <c r="K17" s="496"/>
      <c r="L17" s="496"/>
      <c r="M17" s="496"/>
      <c r="N17" s="496"/>
    </row>
    <row r="18" spans="10:14" x14ac:dyDescent="0.25">
      <c r="J18" s="496"/>
      <c r="K18" s="496"/>
      <c r="L18" s="496"/>
      <c r="M18" s="496"/>
      <c r="N18" s="496"/>
    </row>
    <row r="19" spans="10:14" x14ac:dyDescent="0.25">
      <c r="J19" s="496"/>
      <c r="K19" s="496"/>
      <c r="L19" s="496"/>
      <c r="M19" s="496"/>
      <c r="N19" s="496"/>
    </row>
  </sheetData>
  <mergeCells count="16">
    <mergeCell ref="B4:H4"/>
    <mergeCell ref="J4:P4"/>
    <mergeCell ref="B6:H6"/>
    <mergeCell ref="J6:P6"/>
    <mergeCell ref="B7:H10"/>
    <mergeCell ref="J7:P7"/>
    <mergeCell ref="J8:P8"/>
    <mergeCell ref="J10:P10"/>
    <mergeCell ref="J16:N17"/>
    <mergeCell ref="J18:N19"/>
    <mergeCell ref="J9:P9"/>
    <mergeCell ref="B11:H11"/>
    <mergeCell ref="B12:H13"/>
    <mergeCell ref="J11:P11"/>
    <mergeCell ref="J12:P12"/>
    <mergeCell ref="J13:P13"/>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dimension ref="B1:P9"/>
  <sheetViews>
    <sheetView showGridLines="0" workbookViewId="0"/>
  </sheetViews>
  <sheetFormatPr baseColWidth="10" defaultRowHeight="15" x14ac:dyDescent="0.25"/>
  <cols>
    <col min="1" max="1" width="2.7109375" customWidth="1"/>
    <col min="2" max="2" width="13.28515625" customWidth="1"/>
    <col min="3" max="3" width="11.85546875" customWidth="1"/>
    <col min="4" max="4" width="14.140625" customWidth="1"/>
    <col min="8" max="8" width="5.42578125" customWidth="1"/>
  </cols>
  <sheetData>
    <row r="1" spans="2:16" s="2" customFormat="1" ht="39" customHeight="1" x14ac:dyDescent="0.25"/>
    <row r="2" spans="2:16" s="1" customFormat="1" ht="30.75" customHeight="1" x14ac:dyDescent="0.25"/>
    <row r="3" spans="2:16" ht="7.5" customHeight="1" x14ac:dyDescent="0.25"/>
    <row r="4" spans="2:16" ht="20.25" customHeight="1" x14ac:dyDescent="0.25">
      <c r="B4" s="450" t="s">
        <v>103</v>
      </c>
      <c r="C4" s="450"/>
      <c r="D4" s="450"/>
      <c r="E4" s="450"/>
      <c r="F4" s="450"/>
      <c r="G4" s="450"/>
      <c r="H4" s="450"/>
      <c r="I4" s="8"/>
      <c r="J4" s="450" t="s">
        <v>443</v>
      </c>
      <c r="K4" s="450"/>
      <c r="L4" s="450"/>
      <c r="M4" s="450"/>
      <c r="N4" s="450"/>
      <c r="O4" s="450"/>
      <c r="P4" s="450"/>
    </row>
    <row r="5" spans="2:16" ht="6" customHeight="1" x14ac:dyDescent="0.25">
      <c r="B5" s="7"/>
      <c r="C5" s="7"/>
      <c r="D5" s="7"/>
      <c r="E5" s="7"/>
      <c r="F5" s="7"/>
      <c r="G5" s="7"/>
      <c r="H5" s="7"/>
    </row>
    <row r="6" spans="2:16" ht="18.75" customHeight="1" x14ac:dyDescent="0.25">
      <c r="B6" s="442" t="s">
        <v>36</v>
      </c>
      <c r="C6" s="442"/>
      <c r="D6" s="442"/>
      <c r="E6" s="442"/>
      <c r="F6" s="442"/>
      <c r="G6" s="442"/>
      <c r="H6" s="442"/>
      <c r="I6" s="6"/>
      <c r="J6" s="445" t="s">
        <v>37</v>
      </c>
      <c r="K6" s="445"/>
      <c r="L6" s="445"/>
      <c r="M6" s="445"/>
      <c r="N6" s="445"/>
      <c r="O6" s="445"/>
      <c r="P6" s="445"/>
    </row>
    <row r="7" spans="2:16" ht="32.25" customHeight="1" x14ac:dyDescent="0.25">
      <c r="B7" s="502" t="s">
        <v>442</v>
      </c>
      <c r="C7" s="502"/>
      <c r="D7" s="502"/>
      <c r="E7" s="502"/>
      <c r="F7" s="502"/>
      <c r="G7" s="502"/>
      <c r="H7" s="502"/>
      <c r="I7" s="5"/>
      <c r="J7" s="460" t="s">
        <v>72</v>
      </c>
      <c r="K7" s="461"/>
      <c r="L7" s="461"/>
      <c r="M7" s="461"/>
      <c r="N7" s="461"/>
      <c r="O7" s="461"/>
      <c r="P7" s="462"/>
    </row>
    <row r="8" spans="2:16" ht="32.25" customHeight="1" x14ac:dyDescent="0.25">
      <c r="B8" s="502" t="s">
        <v>75</v>
      </c>
      <c r="C8" s="502"/>
      <c r="D8" s="502"/>
      <c r="E8" s="502"/>
      <c r="F8" s="502"/>
      <c r="G8" s="502"/>
      <c r="H8" s="502"/>
      <c r="I8" s="5"/>
      <c r="J8" s="470" t="s">
        <v>73</v>
      </c>
      <c r="K8" s="471"/>
      <c r="L8" s="471"/>
      <c r="M8" s="471"/>
      <c r="N8" s="471"/>
      <c r="O8" s="471"/>
      <c r="P8" s="472"/>
    </row>
    <row r="9" spans="2:16" ht="32.25" customHeight="1" x14ac:dyDescent="0.25">
      <c r="B9" s="502" t="s">
        <v>76</v>
      </c>
      <c r="C9" s="502"/>
      <c r="D9" s="502"/>
      <c r="E9" s="502"/>
      <c r="F9" s="502"/>
      <c r="G9" s="502"/>
      <c r="H9" s="502"/>
      <c r="I9" s="5"/>
      <c r="J9" s="501" t="s">
        <v>74</v>
      </c>
      <c r="K9" s="501"/>
      <c r="L9" s="501"/>
      <c r="M9" s="501"/>
      <c r="N9" s="501"/>
      <c r="O9" s="501"/>
      <c r="P9" s="501"/>
    </row>
  </sheetData>
  <mergeCells count="10">
    <mergeCell ref="J7:P7"/>
    <mergeCell ref="J8:P8"/>
    <mergeCell ref="J9:P9"/>
    <mergeCell ref="B4:H4"/>
    <mergeCell ref="J4:P4"/>
    <mergeCell ref="B6:H6"/>
    <mergeCell ref="J6:P6"/>
    <mergeCell ref="B7:H7"/>
    <mergeCell ref="B8:H8"/>
    <mergeCell ref="B9:H9"/>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1">
    <tabColor rgb="FF00B050"/>
  </sheetPr>
  <dimension ref="A1:T55"/>
  <sheetViews>
    <sheetView showGridLines="0" zoomScaleNormal="100" workbookViewId="0">
      <pane ySplit="7" topLeftCell="A20" activePane="bottomLeft" state="frozen"/>
      <selection pane="bottomLeft"/>
    </sheetView>
  </sheetViews>
  <sheetFormatPr baseColWidth="10" defaultRowHeight="15.75" x14ac:dyDescent="0.25"/>
  <cols>
    <col min="1" max="1" width="2.7109375" customWidth="1"/>
    <col min="2" max="2" width="13.28515625" customWidth="1"/>
    <col min="3" max="3" width="11.85546875" customWidth="1"/>
    <col min="4" max="4" width="14.140625" customWidth="1"/>
    <col min="8" max="8" width="5.42578125" customWidth="1"/>
    <col min="10" max="10" width="16.42578125" style="44" customWidth="1"/>
    <col min="11" max="11" width="16.42578125" customWidth="1"/>
    <col min="12" max="12" width="16.42578125" style="44" customWidth="1"/>
    <col min="13" max="13" width="16.42578125" style="16" customWidth="1"/>
    <col min="14" max="14" width="16.42578125" style="7" customWidth="1"/>
    <col min="15" max="15" width="16.42578125" customWidth="1"/>
    <col min="16" max="16" width="16.42578125" style="7" customWidth="1"/>
    <col min="17" max="17" width="16.42578125" customWidth="1"/>
    <col min="18" max="18" width="16.42578125" style="7" customWidth="1"/>
    <col min="19" max="19" width="15.28515625" bestFit="1" customWidth="1"/>
  </cols>
  <sheetData>
    <row r="1" spans="1:20" s="2" customFormat="1" ht="39" customHeight="1" x14ac:dyDescent="0.25">
      <c r="A1" s="10"/>
      <c r="J1" s="42"/>
      <c r="L1" s="42"/>
      <c r="M1" s="18"/>
      <c r="N1" s="57"/>
      <c r="P1" s="57"/>
      <c r="R1" s="57"/>
    </row>
    <row r="2" spans="1:20" s="1" customFormat="1" ht="30.75" customHeight="1" x14ac:dyDescent="0.25">
      <c r="J2" s="43"/>
      <c r="L2" s="43"/>
      <c r="M2" s="19"/>
      <c r="N2" s="58"/>
      <c r="P2" s="58"/>
      <c r="R2" s="58"/>
    </row>
    <row r="3" spans="1:20" ht="7.5" customHeight="1" x14ac:dyDescent="0.25"/>
    <row r="4" spans="1:20" ht="24.75" customHeight="1" x14ac:dyDescent="0.25">
      <c r="B4" s="450" t="s">
        <v>28</v>
      </c>
      <c r="C4" s="450"/>
      <c r="D4" s="450"/>
      <c r="E4" s="503" t="s">
        <v>29</v>
      </c>
      <c r="F4" s="503"/>
      <c r="G4" s="503"/>
      <c r="H4" s="503"/>
      <c r="I4" s="503"/>
      <c r="J4" s="503"/>
      <c r="K4" s="503"/>
      <c r="L4" s="503"/>
      <c r="M4" s="503"/>
      <c r="N4" s="503"/>
      <c r="O4" s="503"/>
      <c r="P4" s="503"/>
      <c r="Q4" s="503"/>
      <c r="R4" s="504"/>
      <c r="S4" s="208"/>
      <c r="T4" s="205"/>
    </row>
    <row r="5" spans="1:20" ht="6" customHeight="1" x14ac:dyDescent="0.25">
      <c r="B5" s="7"/>
      <c r="C5" s="7"/>
      <c r="D5" s="7"/>
      <c r="F5" s="7"/>
      <c r="G5" s="7"/>
      <c r="H5" s="7"/>
      <c r="K5" s="12"/>
      <c r="L5" s="53"/>
      <c r="M5" s="17"/>
      <c r="N5" s="59"/>
      <c r="O5" s="12"/>
      <c r="P5" s="59"/>
      <c r="Q5" s="12"/>
      <c r="R5" s="59"/>
      <c r="S5" s="207"/>
    </row>
    <row r="6" spans="1:20" ht="30" customHeight="1" x14ac:dyDescent="0.25">
      <c r="B6" s="527" t="s">
        <v>36</v>
      </c>
      <c r="C6" s="527"/>
      <c r="D6" s="527"/>
      <c r="E6" s="527" t="s">
        <v>37</v>
      </c>
      <c r="F6" s="527"/>
      <c r="G6" s="527"/>
      <c r="H6" s="527"/>
      <c r="I6" s="527"/>
      <c r="J6" s="528" t="s">
        <v>87</v>
      </c>
      <c r="K6" s="528" t="s">
        <v>78</v>
      </c>
      <c r="L6" s="560" t="s">
        <v>86</v>
      </c>
      <c r="M6" s="561"/>
      <c r="N6" s="561"/>
      <c r="O6" s="561"/>
      <c r="P6" s="561"/>
      <c r="Q6" s="561"/>
      <c r="R6" s="561"/>
      <c r="S6" s="561"/>
    </row>
    <row r="7" spans="1:20" ht="30" customHeight="1" x14ac:dyDescent="0.25">
      <c r="B7" s="527"/>
      <c r="C7" s="527"/>
      <c r="D7" s="527"/>
      <c r="E7" s="527"/>
      <c r="F7" s="527"/>
      <c r="G7" s="527"/>
      <c r="H7" s="527"/>
      <c r="I7" s="527"/>
      <c r="J7" s="528"/>
      <c r="K7" s="528"/>
      <c r="L7" s="29" t="s">
        <v>79</v>
      </c>
      <c r="M7" s="27"/>
      <c r="N7" s="29" t="s">
        <v>83</v>
      </c>
      <c r="O7" s="27"/>
      <c r="P7" s="29" t="s">
        <v>84</v>
      </c>
      <c r="Q7" s="27"/>
      <c r="R7" s="29" t="s">
        <v>85</v>
      </c>
      <c r="S7" s="206" t="s">
        <v>467</v>
      </c>
    </row>
    <row r="8" spans="1:20" ht="32.25" customHeight="1" x14ac:dyDescent="0.25">
      <c r="B8" s="554" t="s">
        <v>30</v>
      </c>
      <c r="C8" s="555"/>
      <c r="D8" s="556"/>
      <c r="E8" s="529" t="s">
        <v>38</v>
      </c>
      <c r="F8" s="530"/>
      <c r="G8" s="530"/>
      <c r="H8" s="530"/>
      <c r="I8" s="531"/>
      <c r="J8" s="45">
        <v>44075</v>
      </c>
      <c r="K8" s="523" t="s">
        <v>80</v>
      </c>
      <c r="L8" s="34">
        <v>0.2064</v>
      </c>
      <c r="M8" s="25"/>
      <c r="N8" s="26">
        <v>0.18</v>
      </c>
      <c r="O8" s="26"/>
      <c r="P8" s="26">
        <v>0.16</v>
      </c>
      <c r="Q8" s="26"/>
      <c r="R8" s="26">
        <v>0.14000000000000001</v>
      </c>
      <c r="S8" s="26"/>
    </row>
    <row r="9" spans="1:20" ht="32.25" customHeight="1" x14ac:dyDescent="0.25">
      <c r="B9" s="554"/>
      <c r="C9" s="555"/>
      <c r="D9" s="556"/>
      <c r="E9" s="529"/>
      <c r="F9" s="530"/>
      <c r="G9" s="530"/>
      <c r="H9" s="530"/>
      <c r="I9" s="531"/>
      <c r="J9" s="564">
        <v>9137703.8399999999</v>
      </c>
      <c r="K9" s="523"/>
      <c r="L9" s="35">
        <f>($J$9*L8)+J9</f>
        <v>11023725.912575999</v>
      </c>
      <c r="M9" s="21">
        <f>+J9*L8</f>
        <v>1886022.0725759999</v>
      </c>
      <c r="N9" s="21">
        <f>(L9*N8)+L9</f>
        <v>13007996.57683968</v>
      </c>
      <c r="O9" s="21">
        <f>+L9*N8</f>
        <v>1984270.6642636799</v>
      </c>
      <c r="P9" s="21">
        <f>(N9*P8)+N9</f>
        <v>15089276.029134028</v>
      </c>
      <c r="Q9" s="21">
        <f>+N9*P8</f>
        <v>2081279.4522943487</v>
      </c>
      <c r="R9" s="21">
        <f>(P9*R8)+P9</f>
        <v>17201774.673212793</v>
      </c>
      <c r="S9" s="21">
        <f>+P9*R8</f>
        <v>2112498.6440787641</v>
      </c>
    </row>
    <row r="10" spans="1:20" ht="32.25" customHeight="1" x14ac:dyDescent="0.25">
      <c r="B10" s="554"/>
      <c r="C10" s="555"/>
      <c r="D10" s="556"/>
      <c r="E10" s="529"/>
      <c r="F10" s="530"/>
      <c r="G10" s="530"/>
      <c r="H10" s="530"/>
      <c r="I10" s="531"/>
      <c r="J10" s="565"/>
      <c r="K10" s="524" t="s">
        <v>81</v>
      </c>
      <c r="L10" s="36">
        <v>0.14000000000000001</v>
      </c>
      <c r="M10" s="22"/>
      <c r="N10" s="22">
        <v>0.12</v>
      </c>
      <c r="O10" s="22"/>
      <c r="P10" s="22">
        <v>0.1</v>
      </c>
      <c r="Q10" s="22"/>
      <c r="R10" s="22">
        <v>0.08</v>
      </c>
      <c r="S10" s="22"/>
    </row>
    <row r="11" spans="1:20" ht="32.25" customHeight="1" x14ac:dyDescent="0.25">
      <c r="B11" s="554"/>
      <c r="C11" s="555"/>
      <c r="D11" s="556"/>
      <c r="E11" s="529"/>
      <c r="F11" s="530"/>
      <c r="G11" s="530"/>
      <c r="H11" s="530"/>
      <c r="I11" s="531"/>
      <c r="J11" s="565"/>
      <c r="K11" s="524"/>
      <c r="L11" s="37">
        <f>($J$9*L10)+J9</f>
        <v>10416982.377599999</v>
      </c>
      <c r="M11" s="21">
        <f>J9*L10</f>
        <v>1279278.5376000002</v>
      </c>
      <c r="N11" s="23">
        <f>(L11*N10)+L11</f>
        <v>11667020.262912</v>
      </c>
      <c r="O11" s="21">
        <f>L11*N10</f>
        <v>1250037.8853119998</v>
      </c>
      <c r="P11" s="23">
        <f>(N11*P10)+N11</f>
        <v>12833722.2892032</v>
      </c>
      <c r="Q11" s="21">
        <f>N11*P10</f>
        <v>1166702.0262912</v>
      </c>
      <c r="R11" s="23">
        <f>(P11*R10)+P11</f>
        <v>13860420.072339457</v>
      </c>
      <c r="S11" s="21">
        <f>P11*R10</f>
        <v>1026697.783136256</v>
      </c>
    </row>
    <row r="12" spans="1:20" ht="32.25" customHeight="1" x14ac:dyDescent="0.25">
      <c r="B12" s="554"/>
      <c r="C12" s="555"/>
      <c r="D12" s="556"/>
      <c r="E12" s="529"/>
      <c r="F12" s="530"/>
      <c r="G12" s="530"/>
      <c r="H12" s="530"/>
      <c r="I12" s="531"/>
      <c r="J12" s="565"/>
      <c r="K12" s="525" t="s">
        <v>82</v>
      </c>
      <c r="L12" s="36">
        <v>0.1</v>
      </c>
      <c r="M12" s="22"/>
      <c r="N12" s="22">
        <v>0.08</v>
      </c>
      <c r="O12" s="22"/>
      <c r="P12" s="22">
        <v>0.06</v>
      </c>
      <c r="Q12" s="22"/>
      <c r="R12" s="22">
        <v>0.04</v>
      </c>
      <c r="S12" s="22"/>
    </row>
    <row r="13" spans="1:20" ht="32.25" customHeight="1" x14ac:dyDescent="0.25">
      <c r="B13" s="557"/>
      <c r="C13" s="558"/>
      <c r="D13" s="559"/>
      <c r="E13" s="532"/>
      <c r="F13" s="533"/>
      <c r="G13" s="533"/>
      <c r="H13" s="533"/>
      <c r="I13" s="534"/>
      <c r="J13" s="566"/>
      <c r="K13" s="525"/>
      <c r="L13" s="37">
        <f>($J$9*L12)+J9</f>
        <v>10051474.223999999</v>
      </c>
      <c r="M13" s="21">
        <f>L12*J9</f>
        <v>913770.38400000008</v>
      </c>
      <c r="N13" s="23">
        <f>(L13*N12)+L13</f>
        <v>10855592.16192</v>
      </c>
      <c r="O13" s="21">
        <f>N12*L13</f>
        <v>804117.93791999994</v>
      </c>
      <c r="P13" s="23">
        <f>(N13*P12)+N13</f>
        <v>11506927.691635199</v>
      </c>
      <c r="Q13" s="21">
        <f>P12*N13</f>
        <v>651335.52971519995</v>
      </c>
      <c r="R13" s="23">
        <f>(P13*R12)+P13</f>
        <v>11967204.799300607</v>
      </c>
      <c r="S13" s="21">
        <f>R12*P13</f>
        <v>460277.10766540794</v>
      </c>
    </row>
    <row r="14" spans="1:20" ht="32.25" customHeight="1" x14ac:dyDescent="0.25">
      <c r="B14" s="505" t="s">
        <v>31</v>
      </c>
      <c r="C14" s="506"/>
      <c r="D14" s="507"/>
      <c r="E14" s="514" t="s">
        <v>39</v>
      </c>
      <c r="F14" s="515"/>
      <c r="G14" s="515"/>
      <c r="H14" s="515"/>
      <c r="I14" s="515"/>
      <c r="J14" s="46">
        <v>44075</v>
      </c>
      <c r="K14" s="523" t="s">
        <v>80</v>
      </c>
      <c r="L14" s="20">
        <f>M15/J15</f>
        <v>0.11780777898122757</v>
      </c>
      <c r="M14" s="28"/>
      <c r="N14" s="56">
        <f>O15/L15</f>
        <v>0.11088198228891907</v>
      </c>
      <c r="O14" s="28"/>
      <c r="P14" s="56">
        <f>Q15/N15</f>
        <v>0.10469418088966145</v>
      </c>
      <c r="Q14" s="28"/>
      <c r="R14" s="56">
        <f>S15/P15</f>
        <v>9.6193675535999085E-2</v>
      </c>
      <c r="S14" s="28"/>
    </row>
    <row r="15" spans="1:20" ht="32.25" customHeight="1" x14ac:dyDescent="0.25">
      <c r="B15" s="508"/>
      <c r="C15" s="509"/>
      <c r="D15" s="510"/>
      <c r="E15" s="517"/>
      <c r="F15" s="518"/>
      <c r="G15" s="518"/>
      <c r="H15" s="518"/>
      <c r="I15" s="518"/>
      <c r="J15" s="526">
        <v>9125310.6600000001</v>
      </c>
      <c r="K15" s="523"/>
      <c r="L15" s="24">
        <f>J15+M15</f>
        <v>10200343.24136832</v>
      </c>
      <c r="M15" s="24">
        <f>(M9*0.57)</f>
        <v>1075032.5813683199</v>
      </c>
      <c r="N15" s="24">
        <f>L15+O15</f>
        <v>11331377.519998617</v>
      </c>
      <c r="O15" s="24">
        <f>(O9*0.57)</f>
        <v>1131034.2786302974</v>
      </c>
      <c r="P15" s="24">
        <f>N15+Q15</f>
        <v>12517706.807806397</v>
      </c>
      <c r="Q15" s="24">
        <f>(Q9*0.57)</f>
        <v>1186329.2878077787</v>
      </c>
      <c r="R15" s="24">
        <f>P15+S15</f>
        <v>13721831.034931293</v>
      </c>
      <c r="S15" s="24">
        <f>(S9*0.57)</f>
        <v>1204124.2271248954</v>
      </c>
    </row>
    <row r="16" spans="1:20" ht="32.25" customHeight="1" x14ac:dyDescent="0.25">
      <c r="B16" s="508"/>
      <c r="C16" s="509"/>
      <c r="D16" s="510"/>
      <c r="E16" s="517"/>
      <c r="F16" s="518"/>
      <c r="G16" s="518"/>
      <c r="H16" s="518"/>
      <c r="I16" s="518"/>
      <c r="J16" s="526"/>
      <c r="K16" s="524" t="s">
        <v>81</v>
      </c>
      <c r="L16" s="20">
        <f>M17/J15</f>
        <v>7.9908377215948942E-2</v>
      </c>
      <c r="M16" s="28"/>
      <c r="N16" s="56">
        <f>O17/L17</f>
        <v>7.230418956813732E-2</v>
      </c>
      <c r="O16" s="28"/>
      <c r="P16" s="56">
        <f>Q17/N17</f>
        <v>6.293355087120707E-2</v>
      </c>
      <c r="Q16" s="28"/>
      <c r="R16" s="56">
        <f>S17/P17</f>
        <v>5.2102527689779028E-2</v>
      </c>
      <c r="S16" s="28"/>
    </row>
    <row r="17" spans="2:19" ht="32.25" customHeight="1" x14ac:dyDescent="0.25">
      <c r="B17" s="508"/>
      <c r="C17" s="509"/>
      <c r="D17" s="510"/>
      <c r="E17" s="517"/>
      <c r="F17" s="518"/>
      <c r="G17" s="518"/>
      <c r="H17" s="518"/>
      <c r="I17" s="518"/>
      <c r="J17" s="526"/>
      <c r="K17" s="524"/>
      <c r="L17" s="24">
        <f>J15+M17</f>
        <v>9854499.4264320005</v>
      </c>
      <c r="M17" s="24">
        <f>(M11*0.57)</f>
        <v>729188.76643199997</v>
      </c>
      <c r="N17" s="24">
        <f>L17+O17</f>
        <v>10567021.021059841</v>
      </c>
      <c r="O17" s="24">
        <f>(O11*0.57)</f>
        <v>712521.59462783986</v>
      </c>
      <c r="P17" s="24">
        <f>N17+Q17</f>
        <v>11232041.176045826</v>
      </c>
      <c r="Q17" s="24">
        <f>(Q11*0.57)</f>
        <v>665020.15498598397</v>
      </c>
      <c r="R17" s="24">
        <f>P17+S17</f>
        <v>11817258.912433492</v>
      </c>
      <c r="S17" s="24">
        <f>(S11*0.57)</f>
        <v>585217.73638766585</v>
      </c>
    </row>
    <row r="18" spans="2:19" ht="32.25" customHeight="1" x14ac:dyDescent="0.25">
      <c r="B18" s="508"/>
      <c r="C18" s="509"/>
      <c r="D18" s="510"/>
      <c r="E18" s="517"/>
      <c r="F18" s="518"/>
      <c r="G18" s="518"/>
      <c r="H18" s="518"/>
      <c r="I18" s="518"/>
      <c r="J18" s="526"/>
      <c r="K18" s="525" t="s">
        <v>82</v>
      </c>
      <c r="L18" s="20">
        <f>M19/J15</f>
        <v>5.7077412297106389E-2</v>
      </c>
      <c r="M18" s="28"/>
      <c r="N18" s="56">
        <f>O19/L19</f>
        <v>4.7516030743958701E-2</v>
      </c>
      <c r="O18" s="28"/>
      <c r="P18" s="56">
        <f>Q19/N19</f>
        <v>3.6742144056040753E-2</v>
      </c>
      <c r="Q18" s="28"/>
      <c r="R18" s="56">
        <f>S19/P19</f>
        <v>2.5044268350747492E-2</v>
      </c>
      <c r="S18" s="28"/>
    </row>
    <row r="19" spans="2:19" ht="32.25" customHeight="1" x14ac:dyDescent="0.25">
      <c r="B19" s="508"/>
      <c r="C19" s="509"/>
      <c r="D19" s="510"/>
      <c r="E19" s="520"/>
      <c r="F19" s="521"/>
      <c r="G19" s="521"/>
      <c r="H19" s="521"/>
      <c r="I19" s="521"/>
      <c r="J19" s="567"/>
      <c r="K19" s="525"/>
      <c r="L19" s="24">
        <f>M19+J15</f>
        <v>9646159.7788800001</v>
      </c>
      <c r="M19" s="24">
        <f>(M13*0.57)</f>
        <v>520849.11888000002</v>
      </c>
      <c r="N19" s="24">
        <f>L19+O19</f>
        <v>10104507.003494401</v>
      </c>
      <c r="O19" s="24">
        <f>(O13*0.57)</f>
        <v>458347.22461439995</v>
      </c>
      <c r="P19" s="24">
        <f>N19+Q19</f>
        <v>10475768.255432064</v>
      </c>
      <c r="Q19" s="24">
        <f>(Q13*0.57)</f>
        <v>371261.25193766394</v>
      </c>
      <c r="R19" s="24">
        <f>P19+S19</f>
        <v>10738126.206801346</v>
      </c>
      <c r="S19" s="24">
        <f>(S13*0.57)</f>
        <v>262357.9513692825</v>
      </c>
    </row>
    <row r="20" spans="2:19" ht="21" customHeight="1" x14ac:dyDescent="0.25">
      <c r="B20" s="508"/>
      <c r="C20" s="509"/>
      <c r="D20" s="510"/>
      <c r="E20" s="514" t="s">
        <v>40</v>
      </c>
      <c r="F20" s="515"/>
      <c r="G20" s="515"/>
      <c r="H20" s="515"/>
      <c r="I20" s="516"/>
      <c r="J20" s="46">
        <v>44075</v>
      </c>
      <c r="K20" s="523" t="s">
        <v>80</v>
      </c>
      <c r="L20" s="20">
        <f>M21/J21</f>
        <v>0.47407012174131169</v>
      </c>
      <c r="M20" s="28"/>
      <c r="N20" s="56">
        <f>O21/L21</f>
        <v>0.33835966163460307</v>
      </c>
      <c r="O20" s="28"/>
      <c r="P20" s="56">
        <f>Q21/N21</f>
        <v>0.26517661859539365</v>
      </c>
      <c r="Q20" s="28"/>
      <c r="R20" s="56">
        <f>S21/P21</f>
        <v>0.21274046952680897</v>
      </c>
      <c r="S20" s="28"/>
    </row>
    <row r="21" spans="2:19" ht="21" customHeight="1" x14ac:dyDescent="0.25">
      <c r="B21" s="508"/>
      <c r="C21" s="509"/>
      <c r="D21" s="510"/>
      <c r="E21" s="517"/>
      <c r="F21" s="518"/>
      <c r="G21" s="518"/>
      <c r="H21" s="518"/>
      <c r="I21" s="519"/>
      <c r="J21" s="526">
        <v>1710695.22</v>
      </c>
      <c r="K21" s="523"/>
      <c r="L21" s="24">
        <f>J21+M21</f>
        <v>2521684.7112076799</v>
      </c>
      <c r="M21" s="24">
        <f>(M9*0.43)</f>
        <v>810989.49120767997</v>
      </c>
      <c r="N21" s="24">
        <f>L21+O21</f>
        <v>3374921.0968410624</v>
      </c>
      <c r="O21" s="24">
        <f>(O9*0.43)</f>
        <v>853236.38563338236</v>
      </c>
      <c r="P21" s="24">
        <f>N21+Q21</f>
        <v>4269871.2613276327</v>
      </c>
      <c r="Q21" s="24">
        <f>(Q9*0.43)</f>
        <v>894950.16448656993</v>
      </c>
      <c r="R21" s="24">
        <f>P21+S21</f>
        <v>5178245.6782815009</v>
      </c>
      <c r="S21" s="24">
        <f>(S9*0.43)</f>
        <v>908374.41695386858</v>
      </c>
    </row>
    <row r="22" spans="2:19" ht="21" customHeight="1" x14ac:dyDescent="0.25">
      <c r="B22" s="508"/>
      <c r="C22" s="509"/>
      <c r="D22" s="510"/>
      <c r="E22" s="517"/>
      <c r="F22" s="518"/>
      <c r="G22" s="518"/>
      <c r="H22" s="518"/>
      <c r="I22" s="519"/>
      <c r="J22" s="526"/>
      <c r="K22" s="524" t="s">
        <v>81</v>
      </c>
      <c r="L22" s="20">
        <f>M23/J21</f>
        <v>0.32155919110360293</v>
      </c>
      <c r="M22" s="28"/>
      <c r="N22" s="56">
        <f>O23/L23</f>
        <v>0.23775648404603944</v>
      </c>
      <c r="O22" s="28"/>
      <c r="P22" s="56">
        <f>Q23/N23</f>
        <v>0.17928086391511039</v>
      </c>
      <c r="Q22" s="28"/>
      <c r="R22" s="56">
        <f>S23/P23</f>
        <v>0.13378251532168836</v>
      </c>
      <c r="S22" s="28"/>
    </row>
    <row r="23" spans="2:19" ht="21" customHeight="1" x14ac:dyDescent="0.25">
      <c r="B23" s="508"/>
      <c r="C23" s="509"/>
      <c r="D23" s="510"/>
      <c r="E23" s="517"/>
      <c r="F23" s="518"/>
      <c r="G23" s="518"/>
      <c r="H23" s="518"/>
      <c r="I23" s="519"/>
      <c r="J23" s="526"/>
      <c r="K23" s="524"/>
      <c r="L23" s="24">
        <f>J21+M23</f>
        <v>2260784.9911679998</v>
      </c>
      <c r="M23" s="24">
        <f>(M11*0.43)</f>
        <v>550089.77116800006</v>
      </c>
      <c r="N23" s="24">
        <f>L23+O23</f>
        <v>2798301.2818521596</v>
      </c>
      <c r="O23" s="24">
        <f>(O11*0.43)</f>
        <v>537516.29068415996</v>
      </c>
      <c r="P23" s="24">
        <f>N23+Q23</f>
        <v>3299983.1531573758</v>
      </c>
      <c r="Q23" s="24">
        <f>(Q11*0.43)</f>
        <v>501681.87130521599</v>
      </c>
      <c r="R23" s="24">
        <f>P23+S23</f>
        <v>3741463.1999059659</v>
      </c>
      <c r="S23" s="24">
        <f>(S11*0.43)</f>
        <v>441480.04674859007</v>
      </c>
    </row>
    <row r="24" spans="2:19" ht="21" customHeight="1" x14ac:dyDescent="0.25">
      <c r="B24" s="508"/>
      <c r="C24" s="509"/>
      <c r="D24" s="510"/>
      <c r="E24" s="517"/>
      <c r="F24" s="518"/>
      <c r="G24" s="518"/>
      <c r="H24" s="518"/>
      <c r="I24" s="519"/>
      <c r="J24" s="526"/>
      <c r="K24" s="525" t="s">
        <v>82</v>
      </c>
      <c r="L24" s="20">
        <f>M25/J21</f>
        <v>0.22968513650257352</v>
      </c>
      <c r="M24" s="28"/>
      <c r="N24" s="56">
        <f>O25/L25</f>
        <v>0.16436965376123475</v>
      </c>
      <c r="O24" s="28"/>
      <c r="P24" s="56">
        <f>Q25/N25</f>
        <v>0.11434463197879052</v>
      </c>
      <c r="Q24" s="28"/>
      <c r="R24" s="56">
        <f>S25/P25</f>
        <v>7.2512163304625302E-2</v>
      </c>
      <c r="S24" s="28"/>
    </row>
    <row r="25" spans="2:19" ht="21" customHeight="1" x14ac:dyDescent="0.25">
      <c r="B25" s="511"/>
      <c r="C25" s="512"/>
      <c r="D25" s="513"/>
      <c r="E25" s="520"/>
      <c r="F25" s="521"/>
      <c r="G25" s="521"/>
      <c r="H25" s="521"/>
      <c r="I25" s="522"/>
      <c r="J25" s="526"/>
      <c r="K25" s="525"/>
      <c r="L25" s="24">
        <f>M25+J21</f>
        <v>2103616.4851199999</v>
      </c>
      <c r="M25" s="24">
        <f>(M13*0.43)</f>
        <v>392921.26512000005</v>
      </c>
      <c r="N25" s="24">
        <f>L25+O25</f>
        <v>2449387.1984255998</v>
      </c>
      <c r="O25" s="24">
        <f>(O13*0.43)</f>
        <v>345770.71330559999</v>
      </c>
      <c r="P25" s="24">
        <f>N25+Q25</f>
        <v>2729461.4762031357</v>
      </c>
      <c r="Q25" s="24">
        <f>(Q13*0.43)</f>
        <v>280074.27777753596</v>
      </c>
      <c r="R25" s="24">
        <f>P25+S25</f>
        <v>2927380.6324992613</v>
      </c>
      <c r="S25" s="24">
        <f>(S13*0.43)</f>
        <v>197919.15629612541</v>
      </c>
    </row>
    <row r="26" spans="2:19" ht="32.25" customHeight="1" x14ac:dyDescent="0.25">
      <c r="B26" s="347" t="s">
        <v>32</v>
      </c>
      <c r="C26" s="552"/>
      <c r="D26" s="553"/>
      <c r="E26" s="514" t="s">
        <v>41</v>
      </c>
      <c r="F26" s="515"/>
      <c r="G26" s="515"/>
      <c r="H26" s="515"/>
      <c r="I26" s="516"/>
      <c r="J26" s="47">
        <v>44166</v>
      </c>
      <c r="K26" s="38" t="s">
        <v>80</v>
      </c>
      <c r="L26" s="54">
        <f>(9000000*2.5%+J27)/(J28+M9*2%)</f>
        <v>0.13126792404559073</v>
      </c>
      <c r="M26" s="41"/>
      <c r="N26" s="54">
        <f>+L26+1.5%</f>
        <v>0.14626792404559075</v>
      </c>
      <c r="O26" s="41"/>
      <c r="P26" s="54">
        <f>+N26+1.5%</f>
        <v>0.16126792404559076</v>
      </c>
      <c r="Q26" s="41"/>
      <c r="R26" s="54">
        <f>+P26+1.5%</f>
        <v>0.17626792404559077</v>
      </c>
      <c r="S26" s="15"/>
    </row>
    <row r="27" spans="2:19" ht="32.25" customHeight="1" x14ac:dyDescent="0.25">
      <c r="B27" s="554"/>
      <c r="C27" s="555"/>
      <c r="D27" s="556"/>
      <c r="E27" s="517"/>
      <c r="F27" s="518"/>
      <c r="G27" s="518"/>
      <c r="H27" s="518"/>
      <c r="I27" s="519"/>
      <c r="J27" s="48">
        <v>1282765.1399999999</v>
      </c>
      <c r="K27" s="39" t="s">
        <v>81</v>
      </c>
      <c r="L27" s="54">
        <f>+(L26+L28)/2</f>
        <v>0.12318396202279536</v>
      </c>
      <c r="M27" s="41"/>
      <c r="N27" s="54">
        <f>+L27+1.25%</f>
        <v>0.13568396202279537</v>
      </c>
      <c r="O27" s="41"/>
      <c r="P27" s="54">
        <f>+N27+1.25%</f>
        <v>0.14818396202279538</v>
      </c>
      <c r="Q27" s="41"/>
      <c r="R27" s="54">
        <f>+P27+1.25%</f>
        <v>0.16068396202279539</v>
      </c>
      <c r="S27" s="15"/>
    </row>
    <row r="28" spans="2:19" ht="32.25" customHeight="1" x14ac:dyDescent="0.25">
      <c r="B28" s="557"/>
      <c r="C28" s="558"/>
      <c r="D28" s="559"/>
      <c r="E28" s="549">
        <v>0.11509999999999999</v>
      </c>
      <c r="F28" s="550"/>
      <c r="G28" s="550"/>
      <c r="H28" s="550"/>
      <c r="I28" s="551"/>
      <c r="J28" s="49">
        <v>11448445.359999999</v>
      </c>
      <c r="K28" s="40" t="s">
        <v>82</v>
      </c>
      <c r="L28" s="55">
        <f>+E28</f>
        <v>0.11509999999999999</v>
      </c>
      <c r="M28" s="41"/>
      <c r="N28" s="54">
        <f>+L28+1%</f>
        <v>0.12509999999999999</v>
      </c>
      <c r="O28" s="41"/>
      <c r="P28" s="54">
        <f>+N28+1%</f>
        <v>0.1351</v>
      </c>
      <c r="Q28" s="41"/>
      <c r="R28" s="54">
        <f>+P28+1%</f>
        <v>0.14510000000000001</v>
      </c>
      <c r="S28" s="15"/>
    </row>
    <row r="29" spans="2:19" ht="32.25" customHeight="1" x14ac:dyDescent="0.25">
      <c r="B29" s="347" t="s">
        <v>33</v>
      </c>
      <c r="C29" s="552"/>
      <c r="D29" s="553"/>
      <c r="E29" s="541" t="s">
        <v>42</v>
      </c>
      <c r="F29" s="542"/>
      <c r="G29" s="542"/>
      <c r="H29" s="542"/>
      <c r="I29" s="543"/>
      <c r="J29" s="50"/>
      <c r="K29" s="38" t="s">
        <v>80</v>
      </c>
      <c r="L29" s="54">
        <v>0.2051</v>
      </c>
      <c r="M29" s="41"/>
      <c r="N29" s="54">
        <v>0.2051</v>
      </c>
      <c r="O29" s="33"/>
      <c r="P29" s="54">
        <v>0.2051</v>
      </c>
      <c r="Q29" s="33"/>
      <c r="R29" s="54">
        <v>0.2051</v>
      </c>
      <c r="S29" s="15"/>
    </row>
    <row r="30" spans="2:19" ht="32.25" customHeight="1" x14ac:dyDescent="0.25">
      <c r="B30" s="554"/>
      <c r="C30" s="555"/>
      <c r="D30" s="556"/>
      <c r="E30" s="544"/>
      <c r="F30" s="485"/>
      <c r="G30" s="485"/>
      <c r="H30" s="485"/>
      <c r="I30" s="545"/>
      <c r="J30" s="51"/>
      <c r="K30" s="39" t="s">
        <v>81</v>
      </c>
      <c r="L30" s="54">
        <v>0.159</v>
      </c>
      <c r="M30" s="41"/>
      <c r="N30" s="54">
        <v>0.159</v>
      </c>
      <c r="O30" s="33"/>
      <c r="P30" s="54">
        <v>0.159</v>
      </c>
      <c r="Q30" s="33"/>
      <c r="R30" s="54">
        <v>0.159</v>
      </c>
      <c r="S30" s="15"/>
    </row>
    <row r="31" spans="2:19" ht="32.25" customHeight="1" x14ac:dyDescent="0.25">
      <c r="B31" s="554"/>
      <c r="C31" s="555"/>
      <c r="D31" s="556"/>
      <c r="E31" s="546"/>
      <c r="F31" s="547"/>
      <c r="G31" s="547"/>
      <c r="H31" s="547"/>
      <c r="I31" s="548"/>
      <c r="J31" s="52"/>
      <c r="K31" s="40" t="s">
        <v>82</v>
      </c>
      <c r="L31" s="54">
        <v>0.1082</v>
      </c>
      <c r="M31" s="41"/>
      <c r="N31" s="54">
        <v>0.1082</v>
      </c>
      <c r="O31" s="33"/>
      <c r="P31" s="54">
        <v>0.1082</v>
      </c>
      <c r="Q31" s="33"/>
      <c r="R31" s="54">
        <v>0.1082</v>
      </c>
      <c r="S31" s="15"/>
    </row>
    <row r="32" spans="2:19" ht="32.25" customHeight="1" x14ac:dyDescent="0.25">
      <c r="B32" s="554"/>
      <c r="C32" s="555"/>
      <c r="D32" s="556"/>
      <c r="E32" s="541" t="s">
        <v>43</v>
      </c>
      <c r="F32" s="542"/>
      <c r="G32" s="542"/>
      <c r="H32" s="542"/>
      <c r="I32" s="543"/>
      <c r="J32" s="50"/>
      <c r="K32" s="38" t="s">
        <v>80</v>
      </c>
      <c r="L32" s="54">
        <v>0.14499999999999999</v>
      </c>
      <c r="M32" s="41"/>
      <c r="N32" s="54">
        <v>0.14499999999999999</v>
      </c>
      <c r="O32" s="33"/>
      <c r="P32" s="54">
        <v>0.14499999999999999</v>
      </c>
      <c r="Q32" s="33"/>
      <c r="R32" s="54">
        <v>0.14499999999999999</v>
      </c>
      <c r="S32" s="15"/>
    </row>
    <row r="33" spans="2:19" ht="32.25" customHeight="1" x14ac:dyDescent="0.25">
      <c r="B33" s="554"/>
      <c r="C33" s="555"/>
      <c r="D33" s="556"/>
      <c r="E33" s="544"/>
      <c r="F33" s="485"/>
      <c r="G33" s="485"/>
      <c r="H33" s="485"/>
      <c r="I33" s="545"/>
      <c r="J33" s="51"/>
      <c r="K33" s="39" t="s">
        <v>81</v>
      </c>
      <c r="L33" s="54">
        <v>0.12740000000000001</v>
      </c>
      <c r="M33" s="41"/>
      <c r="N33" s="54">
        <v>0.12740000000000001</v>
      </c>
      <c r="O33" s="33"/>
      <c r="P33" s="54">
        <v>0.12740000000000001</v>
      </c>
      <c r="Q33" s="33"/>
      <c r="R33" s="54">
        <v>0.12740000000000001</v>
      </c>
      <c r="S33" s="15"/>
    </row>
    <row r="34" spans="2:19" ht="32.25" customHeight="1" x14ac:dyDescent="0.25">
      <c r="B34" s="557"/>
      <c r="C34" s="558"/>
      <c r="D34" s="559"/>
      <c r="E34" s="546"/>
      <c r="F34" s="547"/>
      <c r="G34" s="547"/>
      <c r="H34" s="547"/>
      <c r="I34" s="548"/>
      <c r="J34" s="52"/>
      <c r="K34" s="40" t="s">
        <v>82</v>
      </c>
      <c r="L34" s="54">
        <v>0.1187</v>
      </c>
      <c r="M34" s="41"/>
      <c r="N34" s="54">
        <v>0.1187</v>
      </c>
      <c r="O34" s="33"/>
      <c r="P34" s="54">
        <v>0.1187</v>
      </c>
      <c r="Q34" s="33"/>
      <c r="R34" s="54">
        <v>0.1187</v>
      </c>
      <c r="S34" s="15"/>
    </row>
    <row r="35" spans="2:19" ht="32.25" customHeight="1" x14ac:dyDescent="0.25">
      <c r="B35" s="505" t="s">
        <v>34</v>
      </c>
      <c r="C35" s="506"/>
      <c r="D35" s="507"/>
      <c r="E35" s="541" t="s">
        <v>44</v>
      </c>
      <c r="F35" s="542"/>
      <c r="G35" s="542"/>
      <c r="H35" s="542"/>
      <c r="I35" s="543"/>
      <c r="J35" s="47">
        <v>44075</v>
      </c>
      <c r="K35" s="38" t="s">
        <v>80</v>
      </c>
      <c r="L35" s="54">
        <v>0.04</v>
      </c>
      <c r="M35" s="41"/>
      <c r="N35" s="54">
        <f>+L35-0.2%</f>
        <v>3.7999999999999999E-2</v>
      </c>
      <c r="O35" s="33"/>
      <c r="P35" s="54">
        <f>+N35-0.2%</f>
        <v>3.5999999999999997E-2</v>
      </c>
      <c r="Q35" s="33"/>
      <c r="R35" s="54">
        <f>+P35-0.2%</f>
        <v>3.3999999999999996E-2</v>
      </c>
      <c r="S35" s="15"/>
    </row>
    <row r="36" spans="2:19" ht="32.25" customHeight="1" x14ac:dyDescent="0.25">
      <c r="B36" s="508"/>
      <c r="C36" s="509"/>
      <c r="D36" s="510"/>
      <c r="E36" s="544"/>
      <c r="F36" s="485"/>
      <c r="G36" s="485"/>
      <c r="H36" s="485"/>
      <c r="I36" s="545"/>
      <c r="J36" s="562">
        <v>5.1900000000000002E-2</v>
      </c>
      <c r="K36" s="39" t="s">
        <v>81</v>
      </c>
      <c r="L36" s="54">
        <v>4.4999999999999998E-2</v>
      </c>
      <c r="M36" s="41"/>
      <c r="N36" s="54">
        <f t="shared" ref="N36:R37" si="0">+L36-0.2%</f>
        <v>4.2999999999999997E-2</v>
      </c>
      <c r="O36" s="33"/>
      <c r="P36" s="54">
        <f t="shared" si="0"/>
        <v>4.0999999999999995E-2</v>
      </c>
      <c r="Q36" s="33"/>
      <c r="R36" s="54">
        <f t="shared" si="0"/>
        <v>3.8999999999999993E-2</v>
      </c>
      <c r="S36" s="15"/>
    </row>
    <row r="37" spans="2:19" ht="32.25" customHeight="1" x14ac:dyDescent="0.25">
      <c r="B37" s="508"/>
      <c r="C37" s="509"/>
      <c r="D37" s="510"/>
      <c r="E37" s="546"/>
      <c r="F37" s="547"/>
      <c r="G37" s="547"/>
      <c r="H37" s="547"/>
      <c r="I37" s="548"/>
      <c r="J37" s="563"/>
      <c r="K37" s="40" t="s">
        <v>82</v>
      </c>
      <c r="L37" s="54">
        <v>0.05</v>
      </c>
      <c r="M37" s="41"/>
      <c r="N37" s="54">
        <f t="shared" si="0"/>
        <v>4.8000000000000001E-2</v>
      </c>
      <c r="O37" s="33"/>
      <c r="P37" s="54">
        <f t="shared" si="0"/>
        <v>4.5999999999999999E-2</v>
      </c>
      <c r="Q37" s="33"/>
      <c r="R37" s="54">
        <f t="shared" si="0"/>
        <v>4.3999999999999997E-2</v>
      </c>
      <c r="S37" s="15"/>
    </row>
    <row r="38" spans="2:19" ht="32.25" customHeight="1" x14ac:dyDescent="0.25">
      <c r="B38" s="508"/>
      <c r="C38" s="509"/>
      <c r="D38" s="510"/>
      <c r="E38" s="514" t="s">
        <v>88</v>
      </c>
      <c r="F38" s="515"/>
      <c r="G38" s="515"/>
      <c r="H38" s="515"/>
      <c r="I38" s="516"/>
      <c r="J38" s="47">
        <v>44075</v>
      </c>
      <c r="K38" s="38" t="s">
        <v>80</v>
      </c>
      <c r="L38" s="54">
        <v>0.99690000000000001</v>
      </c>
      <c r="M38" s="41"/>
      <c r="N38" s="54">
        <f>+L38-1%</f>
        <v>0.9869</v>
      </c>
      <c r="O38" s="33"/>
      <c r="P38" s="54">
        <f>+N38-1%</f>
        <v>0.97689999999999999</v>
      </c>
      <c r="Q38" s="33"/>
      <c r="R38" s="54">
        <f>+P38-1%</f>
        <v>0.96689999999999998</v>
      </c>
      <c r="S38" s="15"/>
    </row>
    <row r="39" spans="2:19" ht="32.25" customHeight="1" x14ac:dyDescent="0.25">
      <c r="B39" s="508"/>
      <c r="C39" s="509"/>
      <c r="D39" s="510"/>
      <c r="E39" s="517"/>
      <c r="F39" s="518"/>
      <c r="G39" s="518"/>
      <c r="H39" s="518"/>
      <c r="I39" s="519"/>
      <c r="J39" s="562">
        <v>1.0908</v>
      </c>
      <c r="K39" s="39" t="s">
        <v>81</v>
      </c>
      <c r="L39" s="54">
        <v>1</v>
      </c>
      <c r="M39" s="41"/>
      <c r="N39" s="54">
        <f t="shared" ref="N39:R40" si="1">+L39-1%</f>
        <v>0.99</v>
      </c>
      <c r="O39" s="33"/>
      <c r="P39" s="54">
        <f t="shared" si="1"/>
        <v>0.98</v>
      </c>
      <c r="Q39" s="33"/>
      <c r="R39" s="54">
        <f t="shared" si="1"/>
        <v>0.97</v>
      </c>
      <c r="S39" s="15"/>
    </row>
    <row r="40" spans="2:19" ht="32.25" customHeight="1" x14ac:dyDescent="0.25">
      <c r="B40" s="508"/>
      <c r="C40" s="509"/>
      <c r="D40" s="510"/>
      <c r="E40" s="520"/>
      <c r="F40" s="521"/>
      <c r="G40" s="521"/>
      <c r="H40" s="521"/>
      <c r="I40" s="522"/>
      <c r="J40" s="563"/>
      <c r="K40" s="40" t="s">
        <v>82</v>
      </c>
      <c r="L40" s="54">
        <v>1.05</v>
      </c>
      <c r="M40" s="41"/>
      <c r="N40" s="54">
        <f t="shared" si="1"/>
        <v>1.04</v>
      </c>
      <c r="O40" s="33"/>
      <c r="P40" s="54">
        <f t="shared" si="1"/>
        <v>1.03</v>
      </c>
      <c r="Q40" s="33"/>
      <c r="R40" s="54">
        <f t="shared" si="1"/>
        <v>1.02</v>
      </c>
      <c r="S40" s="15"/>
    </row>
    <row r="41" spans="2:19" ht="32.25" customHeight="1" x14ac:dyDescent="0.25">
      <c r="B41" s="508"/>
      <c r="C41" s="509"/>
      <c r="D41" s="510"/>
      <c r="E41" s="541" t="s">
        <v>45</v>
      </c>
      <c r="F41" s="542"/>
      <c r="G41" s="542"/>
      <c r="H41" s="542"/>
      <c r="I41" s="543"/>
      <c r="J41" s="47">
        <v>44075</v>
      </c>
      <c r="K41" s="38" t="s">
        <v>80</v>
      </c>
      <c r="L41" s="54">
        <v>0.12</v>
      </c>
      <c r="M41" s="41"/>
      <c r="N41" s="54">
        <v>0.12</v>
      </c>
      <c r="O41" s="33"/>
      <c r="P41" s="54">
        <v>0.12</v>
      </c>
      <c r="Q41" s="33"/>
      <c r="R41" s="54">
        <v>0.12</v>
      </c>
      <c r="S41" s="15"/>
    </row>
    <row r="42" spans="2:19" ht="32.25" customHeight="1" x14ac:dyDescent="0.25">
      <c r="B42" s="508"/>
      <c r="C42" s="509"/>
      <c r="D42" s="510"/>
      <c r="E42" s="544"/>
      <c r="F42" s="485"/>
      <c r="G42" s="485"/>
      <c r="H42" s="485"/>
      <c r="I42" s="545"/>
      <c r="J42" s="562">
        <v>0.10340000000000001</v>
      </c>
      <c r="K42" s="39" t="s">
        <v>81</v>
      </c>
      <c r="L42" s="54">
        <v>0.1119</v>
      </c>
      <c r="M42" s="41"/>
      <c r="N42" s="54">
        <f>+L42+0.1%</f>
        <v>0.1129</v>
      </c>
      <c r="O42" s="33"/>
      <c r="P42" s="54">
        <f>+N42+0.1%</f>
        <v>0.1139</v>
      </c>
      <c r="Q42" s="33"/>
      <c r="R42" s="54">
        <f>+P42+0.1%</f>
        <v>0.1149</v>
      </c>
      <c r="S42" s="15"/>
    </row>
    <row r="43" spans="2:19" ht="32.25" customHeight="1" x14ac:dyDescent="0.25">
      <c r="B43" s="511"/>
      <c r="C43" s="512"/>
      <c r="D43" s="513"/>
      <c r="E43" s="546"/>
      <c r="F43" s="547"/>
      <c r="G43" s="547"/>
      <c r="H43" s="547"/>
      <c r="I43" s="548"/>
      <c r="J43" s="563"/>
      <c r="K43" s="40" t="s">
        <v>82</v>
      </c>
      <c r="L43" s="54">
        <v>0.10340000000000001</v>
      </c>
      <c r="M43" s="41"/>
      <c r="N43" s="54">
        <f>+L43+0.1%</f>
        <v>0.10440000000000001</v>
      </c>
      <c r="O43" s="33"/>
      <c r="P43" s="54">
        <f>+N43+0.1%</f>
        <v>0.10540000000000001</v>
      </c>
      <c r="Q43" s="33"/>
      <c r="R43" s="54">
        <f>+P43+0.1%</f>
        <v>0.10640000000000001</v>
      </c>
      <c r="S43" s="15"/>
    </row>
    <row r="44" spans="2:19" ht="32.25" customHeight="1" x14ac:dyDescent="0.25">
      <c r="B44" s="535" t="s">
        <v>35</v>
      </c>
      <c r="C44" s="536"/>
      <c r="D44" s="536"/>
      <c r="E44" s="541" t="s">
        <v>46</v>
      </c>
      <c r="F44" s="542"/>
      <c r="G44" s="542"/>
      <c r="H44" s="542"/>
      <c r="I44" s="543"/>
      <c r="J44" s="47">
        <v>44075</v>
      </c>
      <c r="K44" s="38" t="s">
        <v>80</v>
      </c>
      <c r="L44" s="54">
        <v>0.115</v>
      </c>
      <c r="M44" s="41"/>
      <c r="N44" s="54">
        <f>+L44-0.25%</f>
        <v>0.1125</v>
      </c>
      <c r="O44" s="33"/>
      <c r="P44" s="54">
        <f>+N44-0.25%</f>
        <v>0.11</v>
      </c>
      <c r="Q44" s="33"/>
      <c r="R44" s="54">
        <f>+P44-0.25%</f>
        <v>0.1075</v>
      </c>
      <c r="S44" s="15"/>
    </row>
    <row r="45" spans="2:19" ht="32.25" customHeight="1" x14ac:dyDescent="0.25">
      <c r="B45" s="537"/>
      <c r="C45" s="538"/>
      <c r="D45" s="538"/>
      <c r="E45" s="544"/>
      <c r="F45" s="485"/>
      <c r="G45" s="485"/>
      <c r="H45" s="485"/>
      <c r="I45" s="545"/>
      <c r="J45" s="562">
        <v>0.14779999999999999</v>
      </c>
      <c r="K45" s="39" t="s">
        <v>81</v>
      </c>
      <c r="L45" s="54">
        <f>+L46-1.5%</f>
        <v>0.13</v>
      </c>
      <c r="M45" s="41"/>
      <c r="N45" s="54">
        <f t="shared" ref="N45:R46" si="2">+L45-0.25%</f>
        <v>0.1275</v>
      </c>
      <c r="O45" s="33"/>
      <c r="P45" s="54">
        <f t="shared" si="2"/>
        <v>0.125</v>
      </c>
      <c r="Q45" s="33"/>
      <c r="R45" s="54">
        <f t="shared" si="2"/>
        <v>0.1225</v>
      </c>
      <c r="S45" s="15"/>
    </row>
    <row r="46" spans="2:19" ht="32.25" customHeight="1" x14ac:dyDescent="0.25">
      <c r="B46" s="537"/>
      <c r="C46" s="538"/>
      <c r="D46" s="538"/>
      <c r="E46" s="546"/>
      <c r="F46" s="547"/>
      <c r="G46" s="547"/>
      <c r="H46" s="547"/>
      <c r="I46" s="548"/>
      <c r="J46" s="563"/>
      <c r="K46" s="40" t="s">
        <v>82</v>
      </c>
      <c r="L46" s="54">
        <v>0.14499999999999999</v>
      </c>
      <c r="M46" s="41"/>
      <c r="N46" s="54">
        <f t="shared" si="2"/>
        <v>0.14249999999999999</v>
      </c>
      <c r="O46" s="33"/>
      <c r="P46" s="54">
        <f t="shared" si="2"/>
        <v>0.13999999999999999</v>
      </c>
      <c r="Q46" s="33"/>
      <c r="R46" s="54">
        <f t="shared" si="2"/>
        <v>0.13749999999999998</v>
      </c>
      <c r="S46" s="15"/>
    </row>
    <row r="47" spans="2:19" ht="32.25" customHeight="1" x14ac:dyDescent="0.25">
      <c r="B47" s="537"/>
      <c r="C47" s="538"/>
      <c r="D47" s="538"/>
      <c r="E47" s="541" t="s">
        <v>47</v>
      </c>
      <c r="F47" s="542"/>
      <c r="G47" s="542"/>
      <c r="H47" s="542"/>
      <c r="I47" s="543"/>
      <c r="J47" s="47">
        <v>44075</v>
      </c>
      <c r="K47" s="38" t="s">
        <v>80</v>
      </c>
      <c r="L47" s="54">
        <v>7.7799999999999994E-2</v>
      </c>
      <c r="M47" s="41"/>
      <c r="N47" s="54">
        <f>+L47-0.25%</f>
        <v>7.5299999999999992E-2</v>
      </c>
      <c r="O47" s="33"/>
      <c r="P47" s="54">
        <f>+N47-0.25%</f>
        <v>7.279999999999999E-2</v>
      </c>
      <c r="Q47" s="33"/>
      <c r="R47" s="54">
        <f>+P47-0.25%</f>
        <v>7.0299999999999987E-2</v>
      </c>
      <c r="S47" s="15"/>
    </row>
    <row r="48" spans="2:19" ht="32.25" customHeight="1" x14ac:dyDescent="0.25">
      <c r="B48" s="537"/>
      <c r="C48" s="538"/>
      <c r="D48" s="538"/>
      <c r="E48" s="544"/>
      <c r="F48" s="485"/>
      <c r="G48" s="485"/>
      <c r="H48" s="485"/>
      <c r="I48" s="545"/>
      <c r="J48" s="562">
        <v>7.4999999999999997E-2</v>
      </c>
      <c r="K48" s="39" t="s">
        <v>81</v>
      </c>
      <c r="L48" s="54">
        <v>8.5000000000000006E-2</v>
      </c>
      <c r="M48" s="41"/>
      <c r="N48" s="54">
        <f>+L48-0.25%</f>
        <v>8.2500000000000004E-2</v>
      </c>
      <c r="O48" s="33"/>
      <c r="P48" s="54">
        <f t="shared" ref="P48:R49" si="3">+N48-0.25%</f>
        <v>0.08</v>
      </c>
      <c r="Q48" s="33"/>
      <c r="R48" s="54">
        <f t="shared" si="3"/>
        <v>7.7499999999999999E-2</v>
      </c>
      <c r="S48" s="15"/>
    </row>
    <row r="49" spans="2:19" ht="32.25" customHeight="1" x14ac:dyDescent="0.25">
      <c r="B49" s="537"/>
      <c r="C49" s="538"/>
      <c r="D49" s="538"/>
      <c r="E49" s="546"/>
      <c r="F49" s="547"/>
      <c r="G49" s="547"/>
      <c r="H49" s="547"/>
      <c r="I49" s="548"/>
      <c r="J49" s="563"/>
      <c r="K49" s="40" t="s">
        <v>82</v>
      </c>
      <c r="L49" s="54">
        <v>9.5000000000000001E-2</v>
      </c>
      <c r="M49" s="41"/>
      <c r="N49" s="54">
        <f>+L49-0.25%</f>
        <v>9.2499999999999999E-2</v>
      </c>
      <c r="O49" s="33"/>
      <c r="P49" s="54">
        <f t="shared" si="3"/>
        <v>0.09</v>
      </c>
      <c r="Q49" s="33"/>
      <c r="R49" s="54">
        <f t="shared" si="3"/>
        <v>8.7499999999999994E-2</v>
      </c>
      <c r="S49" s="15"/>
    </row>
    <row r="50" spans="2:19" ht="32.25" customHeight="1" x14ac:dyDescent="0.25">
      <c r="B50" s="537"/>
      <c r="C50" s="538"/>
      <c r="D50" s="538"/>
      <c r="E50" s="514" t="s">
        <v>48</v>
      </c>
      <c r="F50" s="515"/>
      <c r="G50" s="515"/>
      <c r="H50" s="515"/>
      <c r="I50" s="516"/>
      <c r="J50" s="47">
        <v>44075</v>
      </c>
      <c r="K50" s="38" t="s">
        <v>80</v>
      </c>
      <c r="L50" s="56" t="s">
        <v>89</v>
      </c>
      <c r="M50" s="31"/>
      <c r="N50" s="56" t="s">
        <v>90</v>
      </c>
      <c r="O50" s="32"/>
      <c r="P50" s="56" t="s">
        <v>91</v>
      </c>
      <c r="Q50" s="32"/>
      <c r="R50" s="56" t="s">
        <v>92</v>
      </c>
      <c r="S50" s="14"/>
    </row>
    <row r="51" spans="2:19" ht="32.25" customHeight="1" x14ac:dyDescent="0.25">
      <c r="B51" s="537"/>
      <c r="C51" s="538"/>
      <c r="D51" s="538"/>
      <c r="E51" s="517"/>
      <c r="F51" s="518"/>
      <c r="G51" s="518"/>
      <c r="H51" s="518"/>
      <c r="I51" s="519"/>
      <c r="J51" s="562">
        <v>0.60389999999999999</v>
      </c>
      <c r="K51" s="39" t="s">
        <v>81</v>
      </c>
      <c r="L51" s="60">
        <v>1.01</v>
      </c>
      <c r="M51" s="61"/>
      <c r="N51" s="60">
        <f>+L51+1%</f>
        <v>1.02</v>
      </c>
      <c r="O51" s="62"/>
      <c r="P51" s="60">
        <f>+N51+1%</f>
        <v>1.03</v>
      </c>
      <c r="Q51" s="62"/>
      <c r="R51" s="60">
        <f>+P51+1%</f>
        <v>1.04</v>
      </c>
      <c r="S51" s="14"/>
    </row>
    <row r="52" spans="2:19" ht="32.25" customHeight="1" x14ac:dyDescent="0.25">
      <c r="B52" s="537"/>
      <c r="C52" s="538"/>
      <c r="D52" s="538"/>
      <c r="E52" s="520"/>
      <c r="F52" s="521"/>
      <c r="G52" s="521"/>
      <c r="H52" s="521"/>
      <c r="I52" s="522"/>
      <c r="J52" s="563"/>
      <c r="K52" s="40" t="s">
        <v>82</v>
      </c>
      <c r="L52" s="60">
        <v>1</v>
      </c>
      <c r="M52" s="61"/>
      <c r="N52" s="60">
        <v>1</v>
      </c>
      <c r="O52" s="62"/>
      <c r="P52" s="60">
        <v>1</v>
      </c>
      <c r="Q52" s="62"/>
      <c r="R52" s="60">
        <v>1</v>
      </c>
      <c r="S52" s="14"/>
    </row>
    <row r="53" spans="2:19" ht="32.25" customHeight="1" x14ac:dyDescent="0.25">
      <c r="B53" s="537"/>
      <c r="C53" s="538"/>
      <c r="D53" s="538"/>
      <c r="E53" s="514" t="s">
        <v>49</v>
      </c>
      <c r="F53" s="515"/>
      <c r="G53" s="515"/>
      <c r="H53" s="515"/>
      <c r="I53" s="516"/>
      <c r="J53" s="47">
        <v>44044</v>
      </c>
      <c r="K53" s="38" t="s">
        <v>80</v>
      </c>
      <c r="L53" s="56">
        <f>+L54-6%</f>
        <v>0.81030000000000002</v>
      </c>
      <c r="M53" s="31"/>
      <c r="N53" s="56">
        <f>+L53-1%</f>
        <v>0.80030000000000001</v>
      </c>
      <c r="O53" s="56">
        <f t="shared" ref="O53:Q55" si="4">+M53-1%</f>
        <v>-0.01</v>
      </c>
      <c r="P53" s="56">
        <f>+N53-1%</f>
        <v>0.7903</v>
      </c>
      <c r="Q53" s="56">
        <f t="shared" si="4"/>
        <v>-0.02</v>
      </c>
      <c r="R53" s="56">
        <f>+P53-1%</f>
        <v>0.78029999999999999</v>
      </c>
      <c r="S53" s="14"/>
    </row>
    <row r="54" spans="2:19" ht="32.25" customHeight="1" x14ac:dyDescent="0.25">
      <c r="B54" s="537"/>
      <c r="C54" s="538"/>
      <c r="D54" s="538"/>
      <c r="E54" s="517"/>
      <c r="F54" s="518"/>
      <c r="G54" s="518"/>
      <c r="H54" s="518"/>
      <c r="I54" s="519"/>
      <c r="J54" s="562">
        <v>0.93320000000000003</v>
      </c>
      <c r="K54" s="39" t="s">
        <v>81</v>
      </c>
      <c r="L54" s="56">
        <f>+L55-6%</f>
        <v>0.87030000000000007</v>
      </c>
      <c r="M54" s="31"/>
      <c r="N54" s="56">
        <f t="shared" ref="N54:R55" si="5">+L54-1%</f>
        <v>0.86030000000000006</v>
      </c>
      <c r="O54" s="56">
        <f t="shared" si="4"/>
        <v>-0.01</v>
      </c>
      <c r="P54" s="56">
        <f t="shared" si="5"/>
        <v>0.85030000000000006</v>
      </c>
      <c r="Q54" s="56">
        <f t="shared" si="4"/>
        <v>-0.02</v>
      </c>
      <c r="R54" s="56">
        <f t="shared" si="5"/>
        <v>0.84030000000000005</v>
      </c>
      <c r="S54" s="14"/>
    </row>
    <row r="55" spans="2:19" ht="32.25" customHeight="1" x14ac:dyDescent="0.25">
      <c r="B55" s="539"/>
      <c r="C55" s="540"/>
      <c r="D55" s="540"/>
      <c r="E55" s="520"/>
      <c r="F55" s="521"/>
      <c r="G55" s="521"/>
      <c r="H55" s="521"/>
      <c r="I55" s="522"/>
      <c r="J55" s="563"/>
      <c r="K55" s="40" t="s">
        <v>82</v>
      </c>
      <c r="L55" s="54">
        <v>0.93030000000000002</v>
      </c>
      <c r="M55" s="41"/>
      <c r="N55" s="56">
        <f t="shared" si="5"/>
        <v>0.92030000000000001</v>
      </c>
      <c r="O55" s="56">
        <f t="shared" si="4"/>
        <v>-0.01</v>
      </c>
      <c r="P55" s="56">
        <f t="shared" si="5"/>
        <v>0.9103</v>
      </c>
      <c r="Q55" s="56">
        <f t="shared" si="4"/>
        <v>-0.02</v>
      </c>
      <c r="R55" s="56">
        <f t="shared" si="5"/>
        <v>0.90029999999999999</v>
      </c>
      <c r="S55" s="15"/>
    </row>
  </sheetData>
  <mergeCells count="46">
    <mergeCell ref="B8:D13"/>
    <mergeCell ref="L6:S6"/>
    <mergeCell ref="J54:J55"/>
    <mergeCell ref="J51:J52"/>
    <mergeCell ref="J48:J49"/>
    <mergeCell ref="K14:K15"/>
    <mergeCell ref="K16:K17"/>
    <mergeCell ref="K18:K19"/>
    <mergeCell ref="J45:J46"/>
    <mergeCell ref="J36:J37"/>
    <mergeCell ref="J39:J40"/>
    <mergeCell ref="J42:J43"/>
    <mergeCell ref="J9:J13"/>
    <mergeCell ref="J15:J19"/>
    <mergeCell ref="K10:K11"/>
    <mergeCell ref="B26:D28"/>
    <mergeCell ref="E26:I27"/>
    <mergeCell ref="E28:I28"/>
    <mergeCell ref="E29:I31"/>
    <mergeCell ref="B29:D34"/>
    <mergeCell ref="E32:I34"/>
    <mergeCell ref="B44:D55"/>
    <mergeCell ref="E35:I37"/>
    <mergeCell ref="E44:I46"/>
    <mergeCell ref="E47:I49"/>
    <mergeCell ref="E50:I52"/>
    <mergeCell ref="E53:I55"/>
    <mergeCell ref="E38:I40"/>
    <mergeCell ref="B35:D43"/>
    <mergeCell ref="E41:I43"/>
    <mergeCell ref="E4:R4"/>
    <mergeCell ref="B14:D25"/>
    <mergeCell ref="E20:I25"/>
    <mergeCell ref="K20:K21"/>
    <mergeCell ref="K22:K23"/>
    <mergeCell ref="K24:K25"/>
    <mergeCell ref="J21:J25"/>
    <mergeCell ref="B4:D4"/>
    <mergeCell ref="E14:I19"/>
    <mergeCell ref="B6:D7"/>
    <mergeCell ref="E6:I7"/>
    <mergeCell ref="J6:J7"/>
    <mergeCell ref="K6:K7"/>
    <mergeCell ref="K12:K13"/>
    <mergeCell ref="E8:I13"/>
    <mergeCell ref="K8:K9"/>
  </mergeCells>
  <pageMargins left="0.7" right="0.7" top="0.75" bottom="0.75" header="0.3" footer="0.3"/>
  <pageSetup paperSize="9" orientation="portrait"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2">
    <tabColor rgb="FF00B050"/>
  </sheetPr>
  <dimension ref="A1:S46"/>
  <sheetViews>
    <sheetView showGridLines="0" workbookViewId="0">
      <pane ySplit="7" topLeftCell="A20" activePane="bottomLeft" state="frozen"/>
      <selection pane="bottomLeft"/>
    </sheetView>
  </sheetViews>
  <sheetFormatPr baseColWidth="10" defaultRowHeight="15.75" x14ac:dyDescent="0.25"/>
  <cols>
    <col min="1" max="1" width="2.7109375" customWidth="1"/>
    <col min="2" max="2" width="13.28515625" customWidth="1"/>
    <col min="3" max="3" width="11.85546875" customWidth="1"/>
    <col min="4" max="4" width="14.140625" customWidth="1"/>
    <col min="8" max="8" width="5.42578125" customWidth="1"/>
    <col min="10" max="10" width="16.42578125" style="44" customWidth="1"/>
    <col min="11" max="11" width="16.42578125" customWidth="1"/>
    <col min="12" max="12" width="16.42578125" style="44" customWidth="1"/>
    <col min="13" max="13" width="16.42578125" style="16" hidden="1" customWidth="1"/>
    <col min="14" max="14" width="16.42578125" style="7" customWidth="1"/>
    <col min="15" max="15" width="16.42578125" hidden="1" customWidth="1"/>
    <col min="16" max="16" width="16.42578125" style="7" customWidth="1"/>
    <col min="17" max="17" width="16.42578125" hidden="1" customWidth="1"/>
    <col min="18" max="18" width="16.42578125" style="7" customWidth="1"/>
    <col min="19" max="19" width="13.5703125" bestFit="1" customWidth="1"/>
  </cols>
  <sheetData>
    <row r="1" spans="1:19" s="2" customFormat="1" ht="39" customHeight="1" x14ac:dyDescent="0.25">
      <c r="A1" s="10"/>
      <c r="J1" s="42"/>
      <c r="L1" s="42"/>
      <c r="M1" s="18"/>
      <c r="N1" s="57"/>
      <c r="P1" s="57"/>
      <c r="R1" s="57"/>
    </row>
    <row r="2" spans="1:19" s="1" customFormat="1" ht="30.75" customHeight="1" x14ac:dyDescent="0.25">
      <c r="J2" s="43"/>
      <c r="L2" s="43"/>
      <c r="M2" s="19"/>
      <c r="N2" s="58"/>
      <c r="P2" s="58"/>
      <c r="R2" s="58"/>
    </row>
    <row r="3" spans="1:19" ht="7.5" customHeight="1" x14ac:dyDescent="0.25"/>
    <row r="4" spans="1:19" ht="24.75" customHeight="1" x14ac:dyDescent="0.25">
      <c r="B4" s="450" t="s">
        <v>50</v>
      </c>
      <c r="C4" s="450"/>
      <c r="D4" s="450"/>
      <c r="E4" s="576" t="s">
        <v>96</v>
      </c>
      <c r="F4" s="576"/>
      <c r="G4" s="576"/>
      <c r="H4" s="576"/>
      <c r="I4" s="576"/>
      <c r="J4" s="576"/>
      <c r="K4" s="576"/>
      <c r="L4" s="576"/>
      <c r="M4" s="576"/>
      <c r="N4" s="576"/>
      <c r="O4" s="576"/>
      <c r="P4" s="576"/>
      <c r="Q4" s="576"/>
      <c r="R4" s="576"/>
      <c r="S4" s="11"/>
    </row>
    <row r="5" spans="1:19" ht="6" customHeight="1" x14ac:dyDescent="0.25">
      <c r="B5" s="7"/>
      <c r="C5" s="7"/>
      <c r="D5" s="7"/>
      <c r="F5" s="7"/>
      <c r="G5" s="7"/>
      <c r="H5" s="7"/>
      <c r="K5" s="12"/>
      <c r="L5" s="53"/>
      <c r="M5" s="17"/>
      <c r="N5" s="59"/>
      <c r="O5" s="12"/>
      <c r="P5" s="59"/>
      <c r="Q5" s="12"/>
      <c r="R5" s="59"/>
      <c r="S5" s="12"/>
    </row>
    <row r="6" spans="1:19" ht="30" customHeight="1" x14ac:dyDescent="0.25">
      <c r="B6" s="527" t="s">
        <v>36</v>
      </c>
      <c r="C6" s="527"/>
      <c r="D6" s="527"/>
      <c r="E6" s="527" t="s">
        <v>37</v>
      </c>
      <c r="F6" s="527"/>
      <c r="G6" s="527"/>
      <c r="H6" s="527"/>
      <c r="I6" s="527"/>
      <c r="J6" s="528" t="s">
        <v>87</v>
      </c>
      <c r="K6" s="528" t="s">
        <v>78</v>
      </c>
      <c r="L6" s="527" t="s">
        <v>86</v>
      </c>
      <c r="M6" s="527"/>
      <c r="N6" s="527"/>
      <c r="O6" s="527"/>
      <c r="P6" s="527"/>
      <c r="Q6" s="527"/>
      <c r="R6" s="527"/>
      <c r="S6" s="13"/>
    </row>
    <row r="7" spans="1:19" ht="30" customHeight="1" x14ac:dyDescent="0.25">
      <c r="B7" s="527"/>
      <c r="C7" s="527"/>
      <c r="D7" s="527"/>
      <c r="E7" s="527"/>
      <c r="F7" s="527"/>
      <c r="G7" s="527"/>
      <c r="H7" s="527"/>
      <c r="I7" s="527"/>
      <c r="J7" s="577"/>
      <c r="K7" s="528"/>
      <c r="L7" s="29" t="s">
        <v>79</v>
      </c>
      <c r="M7" s="30"/>
      <c r="N7" s="29" t="s">
        <v>83</v>
      </c>
      <c r="O7" s="30"/>
      <c r="P7" s="29" t="s">
        <v>84</v>
      </c>
      <c r="Q7" s="30"/>
      <c r="R7" s="29" t="s">
        <v>85</v>
      </c>
      <c r="S7" s="13"/>
    </row>
    <row r="8" spans="1:19" ht="19.5" customHeight="1" x14ac:dyDescent="0.25">
      <c r="B8" s="535" t="s">
        <v>51</v>
      </c>
      <c r="C8" s="536"/>
      <c r="D8" s="536"/>
      <c r="E8" s="541" t="s">
        <v>55</v>
      </c>
      <c r="F8" s="542"/>
      <c r="G8" s="542"/>
      <c r="H8" s="542"/>
      <c r="I8" s="542"/>
      <c r="J8" s="68">
        <v>0.61619999999999997</v>
      </c>
      <c r="K8" s="65" t="s">
        <v>80</v>
      </c>
      <c r="L8" s="54">
        <f>+J8+3%</f>
        <v>0.6462</v>
      </c>
      <c r="M8" s="41"/>
      <c r="N8" s="54">
        <f>+L8+3%</f>
        <v>0.67620000000000002</v>
      </c>
      <c r="O8" s="33"/>
      <c r="P8" s="54">
        <f>+N8+3%</f>
        <v>0.70620000000000005</v>
      </c>
      <c r="Q8" s="33"/>
      <c r="R8" s="54">
        <f>+P8+3%</f>
        <v>0.73620000000000008</v>
      </c>
      <c r="S8" s="15"/>
    </row>
    <row r="9" spans="1:19" ht="19.5" customHeight="1" x14ac:dyDescent="0.25">
      <c r="B9" s="537"/>
      <c r="C9" s="538"/>
      <c r="D9" s="538"/>
      <c r="E9" s="544"/>
      <c r="F9" s="485"/>
      <c r="G9" s="485"/>
      <c r="H9" s="485"/>
      <c r="I9" s="485"/>
      <c r="J9" s="68">
        <v>0.35220000000000001</v>
      </c>
      <c r="K9" s="66" t="s">
        <v>81</v>
      </c>
      <c r="L9" s="54">
        <f>+J9-2%</f>
        <v>0.3322</v>
      </c>
      <c r="M9" s="41"/>
      <c r="N9" s="54">
        <f>+L9-2%</f>
        <v>0.31219999999999998</v>
      </c>
      <c r="O9" s="33"/>
      <c r="P9" s="54">
        <f>+N9-2.5%</f>
        <v>0.28719999999999996</v>
      </c>
      <c r="Q9" s="33"/>
      <c r="R9" s="54">
        <f>+P9-3%</f>
        <v>0.25719999999999998</v>
      </c>
      <c r="S9" s="15"/>
    </row>
    <row r="10" spans="1:19" ht="19.5" customHeight="1" x14ac:dyDescent="0.25">
      <c r="B10" s="537"/>
      <c r="C10" s="538"/>
      <c r="D10" s="538"/>
      <c r="E10" s="546"/>
      <c r="F10" s="547"/>
      <c r="G10" s="547"/>
      <c r="H10" s="547"/>
      <c r="I10" s="547"/>
      <c r="J10" s="68">
        <v>3.1600000000000003E-2</v>
      </c>
      <c r="K10" s="67" t="s">
        <v>82</v>
      </c>
      <c r="L10" s="54">
        <f>+J10-1%</f>
        <v>2.1600000000000001E-2</v>
      </c>
      <c r="M10" s="41"/>
      <c r="N10" s="54">
        <f>+L10-1%</f>
        <v>1.1600000000000001E-2</v>
      </c>
      <c r="O10" s="33"/>
      <c r="P10" s="54">
        <f>+N10-0.5%</f>
        <v>6.6000000000000008E-3</v>
      </c>
      <c r="Q10" s="33"/>
      <c r="R10" s="54">
        <f>+P10</f>
        <v>6.6000000000000008E-3</v>
      </c>
      <c r="S10" s="15"/>
    </row>
    <row r="11" spans="1:19" ht="19.5" customHeight="1" x14ac:dyDescent="0.25">
      <c r="B11" s="537"/>
      <c r="C11" s="538"/>
      <c r="D11" s="538"/>
      <c r="E11" s="541" t="s">
        <v>93</v>
      </c>
      <c r="F11" s="542"/>
      <c r="G11" s="542"/>
      <c r="H11" s="542"/>
      <c r="I11" s="542"/>
      <c r="J11" s="68">
        <v>0.4466</v>
      </c>
      <c r="K11" s="65" t="s">
        <v>80</v>
      </c>
      <c r="L11" s="54">
        <f>+J11+7%</f>
        <v>0.51659999999999995</v>
      </c>
      <c r="M11" s="41"/>
      <c r="N11" s="54">
        <f>+L11+8%</f>
        <v>0.59659999999999991</v>
      </c>
      <c r="O11" s="33"/>
      <c r="P11" s="54">
        <f>+N11+9%</f>
        <v>0.68659999999999988</v>
      </c>
      <c r="Q11" s="33"/>
      <c r="R11" s="54">
        <f>+P11+10%</f>
        <v>0.78659999999999985</v>
      </c>
      <c r="S11" s="15"/>
    </row>
    <row r="12" spans="1:19" ht="19.5" customHeight="1" x14ac:dyDescent="0.25">
      <c r="B12" s="537"/>
      <c r="C12" s="538"/>
      <c r="D12" s="538"/>
      <c r="E12" s="544"/>
      <c r="F12" s="485"/>
      <c r="G12" s="485"/>
      <c r="H12" s="485"/>
      <c r="I12" s="485"/>
      <c r="J12" s="68">
        <v>0.39889999999999998</v>
      </c>
      <c r="K12" s="66" t="s">
        <v>81</v>
      </c>
      <c r="L12" s="54">
        <f>+J12-4%</f>
        <v>0.3589</v>
      </c>
      <c r="M12" s="41"/>
      <c r="N12" s="54">
        <f>+L12-5%</f>
        <v>0.30890000000000001</v>
      </c>
      <c r="O12" s="33"/>
      <c r="P12" s="54">
        <f>+N12-6%</f>
        <v>0.24890000000000001</v>
      </c>
      <c r="Q12" s="54">
        <f>+O12-5%</f>
        <v>-0.05</v>
      </c>
      <c r="R12" s="54">
        <f>+P12-7%</f>
        <v>0.1789</v>
      </c>
      <c r="S12" s="15"/>
    </row>
    <row r="13" spans="1:19" ht="19.5" customHeight="1" x14ac:dyDescent="0.25">
      <c r="B13" s="537"/>
      <c r="C13" s="538"/>
      <c r="D13" s="538"/>
      <c r="E13" s="546"/>
      <c r="F13" s="547"/>
      <c r="G13" s="547"/>
      <c r="H13" s="547"/>
      <c r="I13" s="547"/>
      <c r="J13" s="68">
        <v>0.1545</v>
      </c>
      <c r="K13" s="67" t="s">
        <v>82</v>
      </c>
      <c r="L13" s="54">
        <f>+J13-3%</f>
        <v>0.1245</v>
      </c>
      <c r="M13" s="41"/>
      <c r="N13" s="54">
        <f>+L13-3%</f>
        <v>9.4500000000000001E-2</v>
      </c>
      <c r="O13" s="33"/>
      <c r="P13" s="54">
        <f>+N13-3%</f>
        <v>6.4500000000000002E-2</v>
      </c>
      <c r="Q13" s="54">
        <f>+O13-5%</f>
        <v>-0.05</v>
      </c>
      <c r="R13" s="54">
        <f>+P13-3%</f>
        <v>3.4500000000000003E-2</v>
      </c>
      <c r="S13" s="15"/>
    </row>
    <row r="14" spans="1:19" ht="19.5" customHeight="1" x14ac:dyDescent="0.25">
      <c r="B14" s="537"/>
      <c r="C14" s="538"/>
      <c r="D14" s="538"/>
      <c r="E14" s="514" t="s">
        <v>94</v>
      </c>
      <c r="F14" s="515"/>
      <c r="G14" s="515"/>
      <c r="H14" s="515"/>
      <c r="I14" s="515"/>
      <c r="J14" s="68">
        <v>0.33360000000000001</v>
      </c>
      <c r="K14" s="65" t="s">
        <v>80</v>
      </c>
      <c r="L14" s="56">
        <f>+J14+6%</f>
        <v>0.39360000000000001</v>
      </c>
      <c r="M14" s="31"/>
      <c r="N14" s="56">
        <f>+L14+7%</f>
        <v>0.46360000000000001</v>
      </c>
      <c r="O14" s="32"/>
      <c r="P14" s="56">
        <f>+N14+8%</f>
        <v>0.54359999999999997</v>
      </c>
      <c r="Q14" s="56">
        <f>+O14+7%</f>
        <v>7.0000000000000007E-2</v>
      </c>
      <c r="R14" s="56">
        <f>+P14+9%</f>
        <v>0.63359999999999994</v>
      </c>
      <c r="S14" s="14"/>
    </row>
    <row r="15" spans="1:19" ht="19.5" customHeight="1" x14ac:dyDescent="0.25">
      <c r="B15" s="537"/>
      <c r="C15" s="538"/>
      <c r="D15" s="538"/>
      <c r="E15" s="517"/>
      <c r="F15" s="518"/>
      <c r="G15" s="518"/>
      <c r="H15" s="518"/>
      <c r="I15" s="518"/>
      <c r="J15" s="68">
        <v>0.54179999999999995</v>
      </c>
      <c r="K15" s="66" t="s">
        <v>81</v>
      </c>
      <c r="L15" s="56">
        <f>+J15-4%</f>
        <v>0.50179999999999991</v>
      </c>
      <c r="M15" s="61"/>
      <c r="N15" s="56">
        <f>+L15-5%</f>
        <v>0.45179999999999992</v>
      </c>
      <c r="O15" s="62"/>
      <c r="P15" s="56">
        <f>+N15-6%</f>
        <v>0.39179999999999993</v>
      </c>
      <c r="Q15" s="62"/>
      <c r="R15" s="56">
        <f>+P15-7%</f>
        <v>0.32179999999999992</v>
      </c>
      <c r="S15" s="14"/>
    </row>
    <row r="16" spans="1:19" ht="19.5" customHeight="1" x14ac:dyDescent="0.25">
      <c r="B16" s="537"/>
      <c r="C16" s="538"/>
      <c r="D16" s="538"/>
      <c r="E16" s="520"/>
      <c r="F16" s="521"/>
      <c r="G16" s="521"/>
      <c r="H16" s="521"/>
      <c r="I16" s="521"/>
      <c r="J16" s="68">
        <v>0.1246</v>
      </c>
      <c r="K16" s="67" t="s">
        <v>82</v>
      </c>
      <c r="L16" s="56">
        <f>+J16-2%</f>
        <v>0.1046</v>
      </c>
      <c r="M16" s="61"/>
      <c r="N16" s="56">
        <f>+L16-2%</f>
        <v>8.4599999999999995E-2</v>
      </c>
      <c r="O16" s="56">
        <f>+M16-2%</f>
        <v>-0.02</v>
      </c>
      <c r="P16" s="56">
        <f>+N16-2%</f>
        <v>6.4599999999999991E-2</v>
      </c>
      <c r="Q16" s="56">
        <f>+O16-2%</f>
        <v>-0.04</v>
      </c>
      <c r="R16" s="56">
        <f>+P16-2%</f>
        <v>4.4599999999999987E-2</v>
      </c>
      <c r="S16" s="14"/>
    </row>
    <row r="17" spans="2:19" ht="19.5" customHeight="1" x14ac:dyDescent="0.25">
      <c r="B17" s="537"/>
      <c r="C17" s="538"/>
      <c r="D17" s="538"/>
      <c r="E17" s="514" t="s">
        <v>54</v>
      </c>
      <c r="F17" s="515"/>
      <c r="G17" s="515"/>
      <c r="H17" s="515"/>
      <c r="I17" s="515"/>
      <c r="J17" s="68">
        <v>0.33360000000000001</v>
      </c>
      <c r="K17" s="65" t="s">
        <v>80</v>
      </c>
      <c r="L17" s="56">
        <f>+J17+6%</f>
        <v>0.39360000000000001</v>
      </c>
      <c r="M17" s="31"/>
      <c r="N17" s="56">
        <f>+L17+7%</f>
        <v>0.46360000000000001</v>
      </c>
      <c r="O17" s="32"/>
      <c r="P17" s="56">
        <f>+N17+8%</f>
        <v>0.54359999999999997</v>
      </c>
      <c r="Q17" s="56">
        <f>+O17+7%</f>
        <v>7.0000000000000007E-2</v>
      </c>
      <c r="R17" s="56">
        <f>+P17+9%</f>
        <v>0.63359999999999994</v>
      </c>
      <c r="S17" s="14"/>
    </row>
    <row r="18" spans="2:19" ht="19.5" customHeight="1" x14ac:dyDescent="0.25">
      <c r="B18" s="537"/>
      <c r="C18" s="538"/>
      <c r="D18" s="538"/>
      <c r="E18" s="517"/>
      <c r="F18" s="518"/>
      <c r="G18" s="518"/>
      <c r="H18" s="518"/>
      <c r="I18" s="518"/>
      <c r="J18" s="68">
        <v>0.54179999999999995</v>
      </c>
      <c r="K18" s="66" t="s">
        <v>81</v>
      </c>
      <c r="L18" s="56">
        <f>+J18-4%</f>
        <v>0.50179999999999991</v>
      </c>
      <c r="M18" s="31"/>
      <c r="N18" s="56">
        <f>+L18-5%</f>
        <v>0.45179999999999992</v>
      </c>
      <c r="O18" s="62"/>
      <c r="P18" s="56">
        <f>+N18-6%</f>
        <v>0.39179999999999993</v>
      </c>
      <c r="Q18" s="62"/>
      <c r="R18" s="56">
        <f>+P18-7%</f>
        <v>0.32179999999999992</v>
      </c>
      <c r="S18" s="14"/>
    </row>
    <row r="19" spans="2:19" ht="19.5" customHeight="1" x14ac:dyDescent="0.25">
      <c r="B19" s="537"/>
      <c r="C19" s="538"/>
      <c r="D19" s="538"/>
      <c r="E19" s="520"/>
      <c r="F19" s="521"/>
      <c r="G19" s="521"/>
      <c r="H19" s="521"/>
      <c r="I19" s="521"/>
      <c r="J19" s="68">
        <v>0.1246</v>
      </c>
      <c r="K19" s="67" t="s">
        <v>82</v>
      </c>
      <c r="L19" s="54">
        <f>+J19-2%</f>
        <v>0.1046</v>
      </c>
      <c r="M19" s="41"/>
      <c r="N19" s="56">
        <f>+L19-2%</f>
        <v>8.4599999999999995E-2</v>
      </c>
      <c r="O19" s="56">
        <f>+M19-2%</f>
        <v>-0.02</v>
      </c>
      <c r="P19" s="56">
        <f>+N19-2%</f>
        <v>6.4599999999999991E-2</v>
      </c>
      <c r="Q19" s="56">
        <f>+O19-2%</f>
        <v>-0.04</v>
      </c>
      <c r="R19" s="56">
        <f>+P19-2%</f>
        <v>4.4599999999999987E-2</v>
      </c>
      <c r="S19" s="15"/>
    </row>
    <row r="20" spans="2:19" ht="18" customHeight="1" x14ac:dyDescent="0.25">
      <c r="B20" s="514" t="s">
        <v>56</v>
      </c>
      <c r="C20" s="515"/>
      <c r="D20" s="516"/>
      <c r="E20" s="578" t="s">
        <v>57</v>
      </c>
      <c r="F20" s="578"/>
      <c r="G20" s="578"/>
      <c r="H20" s="578"/>
      <c r="I20" s="578"/>
      <c r="J20" s="47">
        <v>44075</v>
      </c>
      <c r="K20" s="65" t="s">
        <v>80</v>
      </c>
      <c r="L20" s="75">
        <f>+L21+1.5%</f>
        <v>0.48170000000000002</v>
      </c>
      <c r="M20" s="70"/>
      <c r="N20" s="75">
        <f>+N21+1.5%</f>
        <v>0.51</v>
      </c>
      <c r="O20" s="72"/>
      <c r="P20" s="75">
        <f>+P21+1.5%</f>
        <v>0.54</v>
      </c>
      <c r="Q20" s="72"/>
      <c r="R20" s="75">
        <f>+R21+1.5%</f>
        <v>0.57000000000000006</v>
      </c>
    </row>
    <row r="21" spans="2:19" ht="18" customHeight="1" x14ac:dyDescent="0.25">
      <c r="B21" s="517"/>
      <c r="C21" s="518"/>
      <c r="D21" s="519"/>
      <c r="E21" s="578"/>
      <c r="F21" s="578"/>
      <c r="G21" s="578"/>
      <c r="H21" s="578"/>
      <c r="I21" s="578"/>
      <c r="J21" s="562">
        <v>0.45169999999999999</v>
      </c>
      <c r="K21" s="66" t="s">
        <v>81</v>
      </c>
      <c r="L21" s="75">
        <f>+L22+1.5%</f>
        <v>0.4667</v>
      </c>
      <c r="M21" s="70"/>
      <c r="N21" s="75">
        <f>+N22+1.5%</f>
        <v>0.495</v>
      </c>
      <c r="O21" s="72"/>
      <c r="P21" s="75">
        <f>+P22+1.5%</f>
        <v>0.52500000000000002</v>
      </c>
      <c r="Q21" s="72"/>
      <c r="R21" s="75">
        <f>+R22+1.5%</f>
        <v>0.55500000000000005</v>
      </c>
    </row>
    <row r="22" spans="2:19" ht="18" customHeight="1" x14ac:dyDescent="0.25">
      <c r="B22" s="517"/>
      <c r="C22" s="518"/>
      <c r="D22" s="519"/>
      <c r="E22" s="578"/>
      <c r="F22" s="578"/>
      <c r="G22" s="578"/>
      <c r="H22" s="578"/>
      <c r="I22" s="578"/>
      <c r="J22" s="563"/>
      <c r="K22" s="67" t="s">
        <v>82</v>
      </c>
      <c r="L22" s="73">
        <f>+J21</f>
        <v>0.45169999999999999</v>
      </c>
      <c r="M22" s="70"/>
      <c r="N22" s="75">
        <v>0.48</v>
      </c>
      <c r="O22" s="72"/>
      <c r="P22" s="75">
        <f>N22+3%</f>
        <v>0.51</v>
      </c>
      <c r="Q22" s="72"/>
      <c r="R22" s="75">
        <f>P22+3%</f>
        <v>0.54</v>
      </c>
    </row>
    <row r="23" spans="2:19" ht="18" customHeight="1" x14ac:dyDescent="0.25">
      <c r="B23" s="517"/>
      <c r="C23" s="518"/>
      <c r="D23" s="519"/>
      <c r="E23" s="578" t="s">
        <v>58</v>
      </c>
      <c r="F23" s="578"/>
      <c r="G23" s="578"/>
      <c r="H23" s="578"/>
      <c r="I23" s="578"/>
      <c r="J23" s="47">
        <v>44075</v>
      </c>
      <c r="K23" s="65" t="s">
        <v>80</v>
      </c>
      <c r="L23" s="76">
        <f>+J24+10</f>
        <v>130.98000000000002</v>
      </c>
      <c r="M23" s="70"/>
      <c r="N23" s="77">
        <f>+L23+10</f>
        <v>140.98000000000002</v>
      </c>
      <c r="O23" s="72"/>
      <c r="P23" s="77">
        <f>+N23+10</f>
        <v>150.98000000000002</v>
      </c>
      <c r="Q23" s="72"/>
      <c r="R23" s="77">
        <f>+P23+10</f>
        <v>160.98000000000002</v>
      </c>
    </row>
    <row r="24" spans="2:19" ht="18" customHeight="1" x14ac:dyDescent="0.25">
      <c r="B24" s="517"/>
      <c r="C24" s="518"/>
      <c r="D24" s="519"/>
      <c r="E24" s="578"/>
      <c r="F24" s="578"/>
      <c r="G24" s="578"/>
      <c r="H24" s="578"/>
      <c r="I24" s="578"/>
      <c r="J24" s="565">
        <v>120.98</v>
      </c>
      <c r="K24" s="66" t="s">
        <v>81</v>
      </c>
      <c r="L24" s="76">
        <f>+J24+5</f>
        <v>125.98</v>
      </c>
      <c r="M24" s="70"/>
      <c r="N24" s="77">
        <f>+L24+5</f>
        <v>130.98000000000002</v>
      </c>
      <c r="O24" s="72"/>
      <c r="P24" s="77">
        <f>+N24+5</f>
        <v>135.98000000000002</v>
      </c>
      <c r="Q24" s="72"/>
      <c r="R24" s="77">
        <f>+P24+5</f>
        <v>140.98000000000002</v>
      </c>
    </row>
    <row r="25" spans="2:19" ht="18" customHeight="1" x14ac:dyDescent="0.25">
      <c r="B25" s="520"/>
      <c r="C25" s="521"/>
      <c r="D25" s="522"/>
      <c r="E25" s="578"/>
      <c r="F25" s="578"/>
      <c r="G25" s="578"/>
      <c r="H25" s="578"/>
      <c r="I25" s="578"/>
      <c r="J25" s="566"/>
      <c r="K25" s="67" t="s">
        <v>82</v>
      </c>
      <c r="L25" s="76">
        <f>+J24+3</f>
        <v>123.98</v>
      </c>
      <c r="M25" s="70"/>
      <c r="N25" s="77">
        <f>+L25+3</f>
        <v>126.98</v>
      </c>
      <c r="O25" s="72"/>
      <c r="P25" s="77">
        <f>+N25+3</f>
        <v>129.98000000000002</v>
      </c>
      <c r="Q25" s="72"/>
      <c r="R25" s="77">
        <f>+P25+3</f>
        <v>132.98000000000002</v>
      </c>
    </row>
    <row r="26" spans="2:19" ht="18" customHeight="1" x14ac:dyDescent="0.25">
      <c r="B26" s="514" t="s">
        <v>59</v>
      </c>
      <c r="C26" s="515"/>
      <c r="D26" s="516"/>
      <c r="E26" s="579" t="s">
        <v>192</v>
      </c>
      <c r="F26" s="579"/>
      <c r="G26" s="579"/>
      <c r="H26" s="579"/>
      <c r="I26" s="579"/>
      <c r="J26" s="47">
        <v>44075</v>
      </c>
      <c r="K26" s="568" t="s">
        <v>80</v>
      </c>
      <c r="L26" s="75">
        <v>0.1226</v>
      </c>
      <c r="M26" s="70"/>
      <c r="N26" s="145">
        <v>0.1176</v>
      </c>
      <c r="O26" s="146"/>
      <c r="P26" s="145">
        <v>0.109</v>
      </c>
      <c r="Q26" s="146"/>
      <c r="R26" s="145">
        <v>0.1022</v>
      </c>
    </row>
    <row r="27" spans="2:19" ht="18" customHeight="1" x14ac:dyDescent="0.25">
      <c r="B27" s="517"/>
      <c r="C27" s="518"/>
      <c r="D27" s="519"/>
      <c r="E27" s="579"/>
      <c r="F27" s="579"/>
      <c r="G27" s="579"/>
      <c r="H27" s="579"/>
      <c r="I27" s="579"/>
      <c r="J27" s="143"/>
      <c r="K27" s="569"/>
      <c r="L27" s="148">
        <v>4285</v>
      </c>
      <c r="M27" s="70"/>
      <c r="N27" s="144">
        <v>4789</v>
      </c>
      <c r="O27" s="127"/>
      <c r="P27" s="144">
        <f>+N27+522</f>
        <v>5311</v>
      </c>
      <c r="Q27" s="127"/>
      <c r="R27" s="144">
        <v>5854</v>
      </c>
    </row>
    <row r="28" spans="2:19" ht="18" customHeight="1" x14ac:dyDescent="0.25">
      <c r="B28" s="517"/>
      <c r="C28" s="518"/>
      <c r="D28" s="519"/>
      <c r="E28" s="579"/>
      <c r="F28" s="579"/>
      <c r="G28" s="579"/>
      <c r="H28" s="579"/>
      <c r="I28" s="579"/>
      <c r="J28" s="574">
        <v>3817</v>
      </c>
      <c r="K28" s="570" t="s">
        <v>81</v>
      </c>
      <c r="L28" s="145">
        <v>0.1048</v>
      </c>
      <c r="M28" s="71"/>
      <c r="N28" s="145">
        <v>0.1067</v>
      </c>
      <c r="O28" s="146"/>
      <c r="P28" s="145">
        <v>0.10489999999999999</v>
      </c>
      <c r="Q28" s="146"/>
      <c r="R28" s="145">
        <v>9.69E-2</v>
      </c>
    </row>
    <row r="29" spans="2:19" ht="18" customHeight="1" x14ac:dyDescent="0.25">
      <c r="B29" s="517"/>
      <c r="C29" s="518"/>
      <c r="D29" s="519"/>
      <c r="E29" s="579"/>
      <c r="F29" s="579"/>
      <c r="G29" s="579"/>
      <c r="H29" s="579"/>
      <c r="I29" s="579"/>
      <c r="J29" s="574"/>
      <c r="K29" s="571"/>
      <c r="L29" s="147">
        <v>4217</v>
      </c>
      <c r="M29" s="71"/>
      <c r="N29" s="144">
        <v>4667</v>
      </c>
      <c r="O29" s="127"/>
      <c r="P29" s="144">
        <v>5157</v>
      </c>
      <c r="Q29" s="127"/>
      <c r="R29" s="144">
        <v>5657</v>
      </c>
    </row>
    <row r="30" spans="2:19" ht="18" customHeight="1" x14ac:dyDescent="0.25">
      <c r="B30" s="517"/>
      <c r="C30" s="518"/>
      <c r="D30" s="519"/>
      <c r="E30" s="579"/>
      <c r="F30" s="579"/>
      <c r="G30" s="579"/>
      <c r="H30" s="579"/>
      <c r="I30" s="579"/>
      <c r="J30" s="574"/>
      <c r="K30" s="572" t="s">
        <v>82</v>
      </c>
      <c r="L30" s="75">
        <v>8.7999999999999995E-2</v>
      </c>
      <c r="M30" s="70"/>
      <c r="N30" s="145">
        <v>9.6699999999999994E-2</v>
      </c>
      <c r="O30" s="146"/>
      <c r="P30" s="145">
        <v>9.9000000000000005E-2</v>
      </c>
      <c r="Q30" s="146"/>
      <c r="R30" s="145">
        <v>9.4299999999999995E-2</v>
      </c>
    </row>
    <row r="31" spans="2:19" ht="18" customHeight="1" x14ac:dyDescent="0.25">
      <c r="B31" s="517"/>
      <c r="C31" s="518"/>
      <c r="D31" s="519"/>
      <c r="E31" s="579"/>
      <c r="F31" s="579"/>
      <c r="G31" s="579"/>
      <c r="H31" s="579"/>
      <c r="I31" s="579"/>
      <c r="J31" s="575"/>
      <c r="K31" s="573"/>
      <c r="L31" s="148">
        <v>4133</v>
      </c>
      <c r="M31" s="70"/>
      <c r="N31" s="144">
        <v>4533</v>
      </c>
      <c r="O31" s="127"/>
      <c r="P31" s="144">
        <v>4983</v>
      </c>
      <c r="Q31" s="127"/>
      <c r="R31" s="144">
        <v>5453</v>
      </c>
    </row>
    <row r="32" spans="2:19" ht="18" customHeight="1" x14ac:dyDescent="0.25">
      <c r="B32" s="517"/>
      <c r="C32" s="518"/>
      <c r="D32" s="519"/>
      <c r="E32" s="581" t="s">
        <v>193</v>
      </c>
      <c r="F32" s="582"/>
      <c r="G32" s="582"/>
      <c r="H32" s="582"/>
      <c r="I32" s="583"/>
      <c r="J32" s="590">
        <v>44075</v>
      </c>
      <c r="K32" s="568" t="s">
        <v>80</v>
      </c>
      <c r="L32" s="75">
        <v>0.22600000000000001</v>
      </c>
      <c r="M32" s="149"/>
      <c r="N32" s="145">
        <v>0.18429999999999999</v>
      </c>
      <c r="O32" s="146"/>
      <c r="P32" s="145">
        <v>0.15559999999999999</v>
      </c>
      <c r="Q32" s="146"/>
      <c r="R32" s="145">
        <v>0.1346</v>
      </c>
    </row>
    <row r="33" spans="2:19" ht="18" customHeight="1" x14ac:dyDescent="0.25">
      <c r="B33" s="517"/>
      <c r="C33" s="518"/>
      <c r="D33" s="519"/>
      <c r="E33" s="584"/>
      <c r="F33" s="585"/>
      <c r="G33" s="585"/>
      <c r="H33" s="585"/>
      <c r="I33" s="586"/>
      <c r="J33" s="591"/>
      <c r="K33" s="569"/>
      <c r="L33" s="69">
        <v>651</v>
      </c>
      <c r="M33" s="70"/>
      <c r="N33" s="144">
        <f>+L33+120</f>
        <v>771</v>
      </c>
      <c r="O33" s="144">
        <f>+M33+120</f>
        <v>120</v>
      </c>
      <c r="P33" s="144">
        <f>+N33+120</f>
        <v>891</v>
      </c>
      <c r="Q33" s="144">
        <f>+O33+120</f>
        <v>240</v>
      </c>
      <c r="R33" s="144">
        <f>+P33+120</f>
        <v>1011</v>
      </c>
    </row>
    <row r="34" spans="2:19" ht="18" customHeight="1" x14ac:dyDescent="0.25">
      <c r="B34" s="517"/>
      <c r="C34" s="518"/>
      <c r="D34" s="519"/>
      <c r="E34" s="584"/>
      <c r="F34" s="585"/>
      <c r="G34" s="585"/>
      <c r="H34" s="585"/>
      <c r="I34" s="586"/>
      <c r="J34" s="574">
        <v>531</v>
      </c>
      <c r="K34" s="570" t="s">
        <v>81</v>
      </c>
      <c r="L34" s="75">
        <v>0.1883</v>
      </c>
      <c r="M34" s="149"/>
      <c r="N34" s="145">
        <v>0.15840000000000001</v>
      </c>
      <c r="O34" s="146"/>
      <c r="P34" s="145">
        <v>0.13669999999999999</v>
      </c>
      <c r="Q34" s="146"/>
      <c r="R34" s="145">
        <v>0.1203</v>
      </c>
    </row>
    <row r="35" spans="2:19" ht="18" customHeight="1" x14ac:dyDescent="0.25">
      <c r="B35" s="517"/>
      <c r="C35" s="518"/>
      <c r="D35" s="519"/>
      <c r="E35" s="584"/>
      <c r="F35" s="585"/>
      <c r="G35" s="585"/>
      <c r="H35" s="585"/>
      <c r="I35" s="586"/>
      <c r="J35" s="574"/>
      <c r="K35" s="571"/>
      <c r="L35" s="69">
        <v>631</v>
      </c>
      <c r="M35" s="70"/>
      <c r="N35" s="144">
        <f>+L35+100</f>
        <v>731</v>
      </c>
      <c r="O35" s="144">
        <f>+M35+100</f>
        <v>100</v>
      </c>
      <c r="P35" s="144">
        <f>+N35+100</f>
        <v>831</v>
      </c>
      <c r="Q35" s="144">
        <f>+O35+100</f>
        <v>200</v>
      </c>
      <c r="R35" s="144">
        <f>+P35+100</f>
        <v>931</v>
      </c>
    </row>
    <row r="36" spans="2:19" ht="18" customHeight="1" x14ac:dyDescent="0.25">
      <c r="B36" s="517"/>
      <c r="C36" s="518"/>
      <c r="D36" s="519"/>
      <c r="E36" s="584"/>
      <c r="F36" s="585"/>
      <c r="G36" s="585"/>
      <c r="H36" s="585"/>
      <c r="I36" s="586"/>
      <c r="J36" s="574"/>
      <c r="K36" s="572" t="s">
        <v>82</v>
      </c>
      <c r="L36" s="75">
        <v>0.15060000000000001</v>
      </c>
      <c r="M36" s="149"/>
      <c r="N36" s="145">
        <v>0.13089999999999999</v>
      </c>
      <c r="O36" s="146"/>
      <c r="P36" s="145">
        <v>0.1157</v>
      </c>
      <c r="Q36" s="146"/>
      <c r="R36" s="145">
        <v>0.1037</v>
      </c>
    </row>
    <row r="37" spans="2:19" ht="18" customHeight="1" x14ac:dyDescent="0.25">
      <c r="B37" s="517"/>
      <c r="C37" s="518"/>
      <c r="D37" s="519"/>
      <c r="E37" s="587"/>
      <c r="F37" s="588"/>
      <c r="G37" s="588"/>
      <c r="H37" s="588"/>
      <c r="I37" s="589"/>
      <c r="J37" s="574"/>
      <c r="K37" s="592"/>
      <c r="L37" s="69">
        <v>611</v>
      </c>
      <c r="M37" s="70"/>
      <c r="N37" s="144">
        <f>+L37+80</f>
        <v>691</v>
      </c>
      <c r="O37" s="144">
        <f>+M37+80</f>
        <v>80</v>
      </c>
      <c r="P37" s="144">
        <f>+N37+80</f>
        <v>771</v>
      </c>
      <c r="Q37" s="144">
        <f>+O37+80</f>
        <v>160</v>
      </c>
      <c r="R37" s="144">
        <f>+P37+80</f>
        <v>851</v>
      </c>
    </row>
    <row r="38" spans="2:19" ht="18" customHeight="1" x14ac:dyDescent="0.25">
      <c r="B38" s="517"/>
      <c r="C38" s="518"/>
      <c r="D38" s="519"/>
      <c r="E38" s="593" t="s">
        <v>216</v>
      </c>
      <c r="F38" s="594"/>
      <c r="G38" s="594"/>
      <c r="H38" s="594"/>
      <c r="I38" s="595"/>
      <c r="J38" s="596">
        <v>44075</v>
      </c>
      <c r="K38" s="568" t="s">
        <v>80</v>
      </c>
      <c r="L38" s="74">
        <v>0.09</v>
      </c>
      <c r="M38" s="152"/>
      <c r="N38" s="74">
        <v>0.09</v>
      </c>
      <c r="O38" s="74">
        <v>0.14000000000000001</v>
      </c>
      <c r="P38" s="74">
        <v>0.09</v>
      </c>
      <c r="Q38" s="74">
        <v>0.14000000000000001</v>
      </c>
      <c r="R38" s="74">
        <v>0.09</v>
      </c>
    </row>
    <row r="39" spans="2:19" ht="18" customHeight="1" x14ac:dyDescent="0.25">
      <c r="B39" s="517"/>
      <c r="C39" s="518"/>
      <c r="D39" s="519"/>
      <c r="E39" s="517"/>
      <c r="F39" s="518"/>
      <c r="G39" s="518"/>
      <c r="H39" s="518"/>
      <c r="I39" s="519"/>
      <c r="J39" s="574"/>
      <c r="K39" s="569"/>
      <c r="L39" s="153">
        <f>+($J$40*L38)+$J$40</f>
        <v>2842638.6315000001</v>
      </c>
      <c r="M39" s="154"/>
      <c r="N39" s="155">
        <f>+($L$39*N38)+$L$39</f>
        <v>3098476.108335</v>
      </c>
      <c r="O39" s="156"/>
      <c r="P39" s="155">
        <f>+($N$39*P38)+$N$39</f>
        <v>3377338.95808515</v>
      </c>
      <c r="Q39" s="156"/>
      <c r="R39" s="155">
        <f>+($P$39*R38)+$P$39</f>
        <v>3681299.4643128132</v>
      </c>
    </row>
    <row r="40" spans="2:19" ht="18" customHeight="1" x14ac:dyDescent="0.25">
      <c r="B40" s="517"/>
      <c r="C40" s="518"/>
      <c r="D40" s="519"/>
      <c r="E40" s="517"/>
      <c r="F40" s="518"/>
      <c r="G40" s="518"/>
      <c r="H40" s="518"/>
      <c r="I40" s="519"/>
      <c r="J40" s="565">
        <v>2607925.35</v>
      </c>
      <c r="K40" s="570" t="s">
        <v>81</v>
      </c>
      <c r="L40" s="74">
        <v>7.0000000000000007E-2</v>
      </c>
      <c r="M40" s="152"/>
      <c r="N40" s="74">
        <v>7.0000000000000007E-2</v>
      </c>
      <c r="O40" s="74">
        <v>0.12</v>
      </c>
      <c r="P40" s="74">
        <v>7.0000000000000007E-2</v>
      </c>
      <c r="Q40" s="74">
        <v>0.12</v>
      </c>
      <c r="R40" s="74">
        <v>7.0000000000000007E-2</v>
      </c>
    </row>
    <row r="41" spans="2:19" ht="18" customHeight="1" x14ac:dyDescent="0.25">
      <c r="B41" s="517"/>
      <c r="C41" s="518"/>
      <c r="D41" s="519"/>
      <c r="E41" s="517"/>
      <c r="F41" s="518"/>
      <c r="G41" s="518"/>
      <c r="H41" s="518"/>
      <c r="I41" s="519"/>
      <c r="J41" s="565"/>
      <c r="K41" s="571"/>
      <c r="L41" s="153">
        <f>+($J$40*L40)+$J$40</f>
        <v>2790480.1244999999</v>
      </c>
      <c r="M41" s="154"/>
      <c r="N41" s="155">
        <f>+($L$39*N40)+$L$39</f>
        <v>3041623.335705</v>
      </c>
      <c r="O41" s="156"/>
      <c r="P41" s="155">
        <f>+($N$39*P40)+$N$39</f>
        <v>3315369.4359184499</v>
      </c>
      <c r="Q41" s="156"/>
      <c r="R41" s="155">
        <f>+($P$39*R40)+$P$39</f>
        <v>3613752.6851511104</v>
      </c>
      <c r="S41" s="157"/>
    </row>
    <row r="42" spans="2:19" ht="18" customHeight="1" x14ac:dyDescent="0.25">
      <c r="B42" s="517"/>
      <c r="C42" s="518"/>
      <c r="D42" s="519"/>
      <c r="E42" s="517"/>
      <c r="F42" s="518"/>
      <c r="G42" s="518"/>
      <c r="H42" s="518"/>
      <c r="I42" s="519"/>
      <c r="J42" s="565"/>
      <c r="K42" s="572" t="s">
        <v>82</v>
      </c>
      <c r="L42" s="74">
        <v>0.05</v>
      </c>
      <c r="M42" s="152"/>
      <c r="N42" s="74">
        <v>0.05</v>
      </c>
      <c r="O42" s="74">
        <v>0.1</v>
      </c>
      <c r="P42" s="74">
        <v>0.05</v>
      </c>
      <c r="Q42" s="74">
        <v>0.1</v>
      </c>
      <c r="R42" s="74">
        <v>0.05</v>
      </c>
    </row>
    <row r="43" spans="2:19" ht="18" customHeight="1" x14ac:dyDescent="0.25">
      <c r="B43" s="520"/>
      <c r="C43" s="521"/>
      <c r="D43" s="522"/>
      <c r="E43" s="520"/>
      <c r="F43" s="521"/>
      <c r="G43" s="521"/>
      <c r="H43" s="521"/>
      <c r="I43" s="522"/>
      <c r="J43" s="566"/>
      <c r="K43" s="592"/>
      <c r="L43" s="153">
        <f>+($J$40*L42)+$J$40</f>
        <v>2738321.6175000002</v>
      </c>
      <c r="M43" s="154"/>
      <c r="N43" s="155">
        <f>+($L$39*N42)+$L$39</f>
        <v>2984770.563075</v>
      </c>
      <c r="O43" s="156"/>
      <c r="P43" s="155">
        <f>+($N$39*P42)+$N$39</f>
        <v>3253399.9137517498</v>
      </c>
      <c r="Q43" s="156"/>
      <c r="R43" s="155">
        <f>+($P$39*R42)+$P$39</f>
        <v>3546205.9059894076</v>
      </c>
    </row>
    <row r="44" spans="2:19" x14ac:dyDescent="0.25">
      <c r="B44" s="580" t="s">
        <v>60</v>
      </c>
      <c r="C44" s="580"/>
      <c r="D44" s="580"/>
      <c r="E44" s="580" t="s">
        <v>61</v>
      </c>
      <c r="F44" s="580"/>
      <c r="G44" s="580"/>
      <c r="H44" s="580"/>
      <c r="I44" s="580"/>
      <c r="J44" s="78">
        <v>0.73970000000000002</v>
      </c>
      <c r="K44" s="65" t="s">
        <v>80</v>
      </c>
      <c r="L44" s="73">
        <f>+J44+4%</f>
        <v>0.77970000000000006</v>
      </c>
      <c r="M44" s="70"/>
      <c r="N44" s="73">
        <f>+L44+4%</f>
        <v>0.8197000000000001</v>
      </c>
      <c r="O44" s="72"/>
      <c r="P44" s="73">
        <f>+N44+4%</f>
        <v>0.85970000000000013</v>
      </c>
      <c r="Q44" s="72"/>
      <c r="R44" s="74">
        <v>0.9</v>
      </c>
    </row>
    <row r="45" spans="2:19" x14ac:dyDescent="0.25">
      <c r="B45" s="580"/>
      <c r="C45" s="580"/>
      <c r="D45" s="580"/>
      <c r="E45" s="580"/>
      <c r="F45" s="580"/>
      <c r="G45" s="580"/>
      <c r="H45" s="580"/>
      <c r="I45" s="580"/>
      <c r="J45" s="63">
        <v>0.16439999999999999</v>
      </c>
      <c r="K45" s="66" t="s">
        <v>81</v>
      </c>
      <c r="L45" s="73">
        <f>+J45-2%</f>
        <v>0.1444</v>
      </c>
      <c r="M45" s="70"/>
      <c r="N45" s="73">
        <f>+L45-2%</f>
        <v>0.1244</v>
      </c>
      <c r="O45" s="72"/>
      <c r="P45" s="73">
        <f>+N45-2%</f>
        <v>0.10439999999999999</v>
      </c>
      <c r="Q45" s="72"/>
      <c r="R45" s="74">
        <v>0.08</v>
      </c>
    </row>
    <row r="46" spans="2:19" x14ac:dyDescent="0.25">
      <c r="B46" s="580"/>
      <c r="C46" s="580"/>
      <c r="D46" s="580"/>
      <c r="E46" s="580"/>
      <c r="F46" s="580"/>
      <c r="G46" s="580"/>
      <c r="H46" s="580"/>
      <c r="I46" s="580"/>
      <c r="J46" s="64">
        <v>9.5899999999999999E-2</v>
      </c>
      <c r="K46" s="67" t="s">
        <v>82</v>
      </c>
      <c r="L46" s="73">
        <f>+J46-2%</f>
        <v>7.5899999999999995E-2</v>
      </c>
      <c r="M46" s="70"/>
      <c r="N46" s="73">
        <f>+L46-2%</f>
        <v>5.5899999999999991E-2</v>
      </c>
      <c r="O46" s="72"/>
      <c r="P46" s="73">
        <f>+N46-2%</f>
        <v>3.5899999999999987E-2</v>
      </c>
      <c r="Q46" s="72"/>
      <c r="R46" s="74">
        <v>0.02</v>
      </c>
    </row>
  </sheetData>
  <mergeCells count="37">
    <mergeCell ref="J32:J33"/>
    <mergeCell ref="K36:K37"/>
    <mergeCell ref="K38:K39"/>
    <mergeCell ref="J34:J37"/>
    <mergeCell ref="E38:I43"/>
    <mergeCell ref="J38:J39"/>
    <mergeCell ref="J40:J43"/>
    <mergeCell ref="K40:K41"/>
    <mergeCell ref="K42:K43"/>
    <mergeCell ref="B44:D46"/>
    <mergeCell ref="E44:I46"/>
    <mergeCell ref="E8:I10"/>
    <mergeCell ref="E11:I13"/>
    <mergeCell ref="E14:I16"/>
    <mergeCell ref="E17:I19"/>
    <mergeCell ref="E32:I37"/>
    <mergeCell ref="J24:J25"/>
    <mergeCell ref="J28:J31"/>
    <mergeCell ref="B4:D4"/>
    <mergeCell ref="E4:R4"/>
    <mergeCell ref="B6:D7"/>
    <mergeCell ref="E6:I7"/>
    <mergeCell ref="J6:J7"/>
    <mergeCell ref="K6:K7"/>
    <mergeCell ref="L6:R6"/>
    <mergeCell ref="B20:D25"/>
    <mergeCell ref="E20:I22"/>
    <mergeCell ref="E23:I25"/>
    <mergeCell ref="E26:I31"/>
    <mergeCell ref="J21:J22"/>
    <mergeCell ref="B26:D43"/>
    <mergeCell ref="B8:D19"/>
    <mergeCell ref="K26:K27"/>
    <mergeCell ref="K28:K29"/>
    <mergeCell ref="K30:K31"/>
    <mergeCell ref="K32:K33"/>
    <mergeCell ref="K34:K35"/>
  </mergeCells>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3">
    <tabColor rgb="FF00B050"/>
  </sheetPr>
  <dimension ref="A1:O23"/>
  <sheetViews>
    <sheetView showGridLines="0" workbookViewId="0">
      <pane ySplit="7" topLeftCell="A14" activePane="bottomLeft" state="frozen"/>
      <selection pane="bottomLeft"/>
    </sheetView>
  </sheetViews>
  <sheetFormatPr baseColWidth="10" defaultRowHeight="15.75" x14ac:dyDescent="0.25"/>
  <cols>
    <col min="1" max="1" width="2.7109375" customWidth="1"/>
    <col min="2" max="2" width="13.28515625" customWidth="1"/>
    <col min="3" max="3" width="11.85546875" customWidth="1"/>
    <col min="4" max="4" width="14.140625" customWidth="1"/>
    <col min="8" max="8" width="5.42578125" customWidth="1"/>
    <col min="10" max="10" width="16.42578125" style="44" customWidth="1"/>
    <col min="11" max="11" width="16.42578125" customWidth="1"/>
    <col min="12" max="12" width="16.42578125" style="44" customWidth="1"/>
    <col min="13" max="15" width="16.42578125" style="7" customWidth="1"/>
  </cols>
  <sheetData>
    <row r="1" spans="1:15" s="2" customFormat="1" ht="39" customHeight="1" x14ac:dyDescent="0.25">
      <c r="A1" s="10"/>
      <c r="J1" s="42"/>
      <c r="L1" s="42"/>
      <c r="M1" s="57"/>
      <c r="N1" s="57"/>
      <c r="O1" s="57"/>
    </row>
    <row r="2" spans="1:15" s="1" customFormat="1" ht="30.75" customHeight="1" x14ac:dyDescent="0.25">
      <c r="J2" s="43"/>
      <c r="L2" s="43"/>
      <c r="M2" s="58"/>
      <c r="N2" s="58"/>
      <c r="O2" s="58"/>
    </row>
    <row r="3" spans="1:15" ht="7.5" customHeight="1" x14ac:dyDescent="0.25"/>
    <row r="4" spans="1:15" ht="24.75" customHeight="1" x14ac:dyDescent="0.25">
      <c r="B4" s="450" t="s">
        <v>77</v>
      </c>
      <c r="C4" s="450"/>
      <c r="D4" s="450"/>
      <c r="E4" s="576" t="s">
        <v>95</v>
      </c>
      <c r="F4" s="576"/>
      <c r="G4" s="576"/>
      <c r="H4" s="576"/>
      <c r="I4" s="576"/>
      <c r="J4" s="576"/>
      <c r="K4" s="576"/>
      <c r="L4" s="576"/>
      <c r="M4" s="576"/>
      <c r="N4" s="576"/>
      <c r="O4" s="576"/>
    </row>
    <row r="5" spans="1:15" ht="6" customHeight="1" x14ac:dyDescent="0.25">
      <c r="B5" s="7"/>
      <c r="C5" s="7"/>
      <c r="D5" s="7"/>
      <c r="F5" s="7"/>
      <c r="G5" s="7"/>
      <c r="H5" s="7"/>
      <c r="K5" s="12"/>
      <c r="L5" s="53"/>
      <c r="M5" s="59"/>
      <c r="N5" s="59"/>
      <c r="O5" s="59"/>
    </row>
    <row r="6" spans="1:15" ht="30" customHeight="1" x14ac:dyDescent="0.25">
      <c r="B6" s="527" t="s">
        <v>36</v>
      </c>
      <c r="C6" s="527"/>
      <c r="D6" s="527"/>
      <c r="E6" s="527" t="s">
        <v>37</v>
      </c>
      <c r="F6" s="527"/>
      <c r="G6" s="527"/>
      <c r="H6" s="527"/>
      <c r="I6" s="527"/>
      <c r="J6" s="528" t="s">
        <v>87</v>
      </c>
      <c r="K6" s="528" t="s">
        <v>78</v>
      </c>
      <c r="L6" s="527" t="s">
        <v>86</v>
      </c>
      <c r="M6" s="527"/>
      <c r="N6" s="527"/>
      <c r="O6" s="527"/>
    </row>
    <row r="7" spans="1:15" ht="30" customHeight="1" x14ac:dyDescent="0.25">
      <c r="B7" s="527"/>
      <c r="C7" s="527"/>
      <c r="D7" s="527"/>
      <c r="E7" s="527"/>
      <c r="F7" s="527"/>
      <c r="G7" s="527"/>
      <c r="H7" s="527"/>
      <c r="I7" s="527"/>
      <c r="J7" s="577"/>
      <c r="K7" s="528"/>
      <c r="L7" s="29" t="s">
        <v>79</v>
      </c>
      <c r="M7" s="29" t="s">
        <v>83</v>
      </c>
      <c r="N7" s="29" t="s">
        <v>84</v>
      </c>
      <c r="O7" s="29" t="s">
        <v>85</v>
      </c>
    </row>
    <row r="8" spans="1:15" s="80" customFormat="1" ht="30" customHeight="1" x14ac:dyDescent="0.25">
      <c r="B8" s="609" t="s">
        <v>62</v>
      </c>
      <c r="C8" s="609"/>
      <c r="D8" s="609"/>
      <c r="E8" s="610" t="s">
        <v>63</v>
      </c>
      <c r="F8" s="611"/>
      <c r="G8" s="611"/>
      <c r="H8" s="611"/>
      <c r="I8" s="612"/>
      <c r="J8" s="79" t="s">
        <v>97</v>
      </c>
      <c r="K8" s="81">
        <v>0.68</v>
      </c>
      <c r="L8" s="83">
        <v>0.75</v>
      </c>
      <c r="M8" s="83">
        <v>0.85</v>
      </c>
      <c r="N8" s="83">
        <v>0.95</v>
      </c>
      <c r="O8" s="84">
        <v>1</v>
      </c>
    </row>
    <row r="9" spans="1:15" s="80" customFormat="1" ht="30" customHeight="1" x14ac:dyDescent="0.25">
      <c r="B9" s="609"/>
      <c r="C9" s="609"/>
      <c r="D9" s="609"/>
      <c r="E9" s="613"/>
      <c r="F9" s="496"/>
      <c r="G9" s="496"/>
      <c r="H9" s="496"/>
      <c r="I9" s="614"/>
      <c r="J9" s="79" t="s">
        <v>98</v>
      </c>
      <c r="K9" s="81">
        <v>0.49</v>
      </c>
      <c r="L9" s="83">
        <v>0.745</v>
      </c>
      <c r="M9" s="84">
        <v>1</v>
      </c>
      <c r="N9" s="84">
        <v>1</v>
      </c>
      <c r="O9" s="84">
        <v>1</v>
      </c>
    </row>
    <row r="10" spans="1:15" s="80" customFormat="1" ht="30" customHeight="1" x14ac:dyDescent="0.25">
      <c r="B10" s="609"/>
      <c r="C10" s="609"/>
      <c r="D10" s="609"/>
      <c r="E10" s="615"/>
      <c r="F10" s="616"/>
      <c r="G10" s="616"/>
      <c r="H10" s="616"/>
      <c r="I10" s="617"/>
      <c r="J10" s="79" t="s">
        <v>99</v>
      </c>
      <c r="K10" s="81">
        <v>0.83</v>
      </c>
      <c r="L10" s="84">
        <v>0.85</v>
      </c>
      <c r="M10" s="84">
        <v>0.9</v>
      </c>
      <c r="N10" s="84">
        <v>0.95</v>
      </c>
      <c r="O10" s="84">
        <v>1</v>
      </c>
    </row>
    <row r="11" spans="1:15" s="80" customFormat="1" ht="30" customHeight="1" x14ac:dyDescent="0.25">
      <c r="B11" s="609"/>
      <c r="C11" s="609"/>
      <c r="D11" s="609"/>
      <c r="E11" s="610" t="s">
        <v>64</v>
      </c>
      <c r="F11" s="611"/>
      <c r="G11" s="611"/>
      <c r="H11" s="611"/>
      <c r="I11" s="612"/>
      <c r="J11" s="79" t="s">
        <v>101</v>
      </c>
      <c r="K11" s="81">
        <v>0.5</v>
      </c>
      <c r="L11" s="84">
        <v>0.75</v>
      </c>
      <c r="M11" s="84">
        <v>0.85</v>
      </c>
      <c r="N11" s="84">
        <v>0.95</v>
      </c>
      <c r="O11" s="84">
        <v>1</v>
      </c>
    </row>
    <row r="12" spans="1:15" s="80" customFormat="1" ht="30" customHeight="1" x14ac:dyDescent="0.25">
      <c r="B12" s="609"/>
      <c r="C12" s="609"/>
      <c r="D12" s="609"/>
      <c r="E12" s="615"/>
      <c r="F12" s="616"/>
      <c r="G12" s="616"/>
      <c r="H12" s="616"/>
      <c r="I12" s="617"/>
      <c r="J12" s="79" t="s">
        <v>100</v>
      </c>
      <c r="K12" s="81">
        <v>0.25</v>
      </c>
      <c r="L12" s="84">
        <v>0.5</v>
      </c>
      <c r="M12" s="84">
        <v>0.75</v>
      </c>
      <c r="N12" s="84">
        <v>0.85</v>
      </c>
      <c r="O12" s="84">
        <v>1</v>
      </c>
    </row>
    <row r="13" spans="1:15" s="80" customFormat="1" ht="30" customHeight="1" x14ac:dyDescent="0.25">
      <c r="B13" s="609"/>
      <c r="C13" s="609"/>
      <c r="D13" s="609"/>
      <c r="E13" s="610" t="s">
        <v>482</v>
      </c>
      <c r="F13" s="611"/>
      <c r="G13" s="611"/>
      <c r="H13" s="611"/>
      <c r="I13" s="612"/>
      <c r="J13" s="79" t="s">
        <v>101</v>
      </c>
      <c r="K13" s="81">
        <v>0.9</v>
      </c>
      <c r="L13" s="84">
        <v>1</v>
      </c>
      <c r="M13" s="84">
        <v>1</v>
      </c>
      <c r="N13" s="84">
        <v>1</v>
      </c>
      <c r="O13" s="84">
        <v>1</v>
      </c>
    </row>
    <row r="14" spans="1:15" s="80" customFormat="1" ht="30" customHeight="1" x14ac:dyDescent="0.25">
      <c r="B14" s="609"/>
      <c r="C14" s="609"/>
      <c r="D14" s="609"/>
      <c r="E14" s="615"/>
      <c r="F14" s="616"/>
      <c r="G14" s="616"/>
      <c r="H14" s="616"/>
      <c r="I14" s="617"/>
      <c r="J14" s="79" t="s">
        <v>100</v>
      </c>
      <c r="K14" s="81">
        <v>0.05</v>
      </c>
      <c r="L14" s="84">
        <v>0.5</v>
      </c>
      <c r="M14" s="84">
        <v>0.75</v>
      </c>
      <c r="N14" s="84">
        <v>0.85</v>
      </c>
      <c r="O14" s="84">
        <v>1</v>
      </c>
    </row>
    <row r="15" spans="1:15" s="80" customFormat="1" ht="30" customHeight="1" x14ac:dyDescent="0.25">
      <c r="B15" s="618" t="s">
        <v>66</v>
      </c>
      <c r="C15" s="618"/>
      <c r="D15" s="618"/>
      <c r="E15" s="610" t="s">
        <v>65</v>
      </c>
      <c r="F15" s="611"/>
      <c r="G15" s="611"/>
      <c r="H15" s="611"/>
      <c r="I15" s="612"/>
      <c r="J15" s="619"/>
      <c r="K15" s="85" t="s">
        <v>80</v>
      </c>
      <c r="L15" s="82">
        <v>0.6</v>
      </c>
      <c r="M15" s="82">
        <f t="shared" ref="M15:O17" si="0">+L15+15%</f>
        <v>0.75</v>
      </c>
      <c r="N15" s="82">
        <f t="shared" si="0"/>
        <v>0.9</v>
      </c>
      <c r="O15" s="82">
        <f t="shared" si="0"/>
        <v>1.05</v>
      </c>
    </row>
    <row r="16" spans="1:15" s="80" customFormat="1" ht="30" customHeight="1" x14ac:dyDescent="0.25">
      <c r="B16" s="618"/>
      <c r="C16" s="618"/>
      <c r="D16" s="618"/>
      <c r="E16" s="613"/>
      <c r="F16" s="496"/>
      <c r="G16" s="496"/>
      <c r="H16" s="496"/>
      <c r="I16" s="614"/>
      <c r="J16" s="619"/>
      <c r="K16" s="86" t="s">
        <v>102</v>
      </c>
      <c r="L16" s="82">
        <v>0.5</v>
      </c>
      <c r="M16" s="82">
        <f t="shared" si="0"/>
        <v>0.65</v>
      </c>
      <c r="N16" s="82">
        <f t="shared" si="0"/>
        <v>0.8</v>
      </c>
      <c r="O16" s="82">
        <f t="shared" si="0"/>
        <v>0.95000000000000007</v>
      </c>
    </row>
    <row r="17" spans="2:15" s="80" customFormat="1" ht="30" customHeight="1" x14ac:dyDescent="0.25">
      <c r="B17" s="618"/>
      <c r="C17" s="618"/>
      <c r="D17" s="618"/>
      <c r="E17" s="615"/>
      <c r="F17" s="616"/>
      <c r="G17" s="616"/>
      <c r="H17" s="616"/>
      <c r="I17" s="617"/>
      <c r="J17" s="619"/>
      <c r="K17" s="87" t="s">
        <v>82</v>
      </c>
      <c r="L17" s="82">
        <v>0.4</v>
      </c>
      <c r="M17" s="82">
        <f t="shared" si="0"/>
        <v>0.55000000000000004</v>
      </c>
      <c r="N17" s="82">
        <f t="shared" si="0"/>
        <v>0.70000000000000007</v>
      </c>
      <c r="O17" s="82">
        <f t="shared" si="0"/>
        <v>0.85000000000000009</v>
      </c>
    </row>
    <row r="18" spans="2:15" ht="19.5" customHeight="1" x14ac:dyDescent="0.25">
      <c r="B18" s="597" t="s">
        <v>67</v>
      </c>
      <c r="C18" s="598"/>
      <c r="D18" s="599"/>
      <c r="E18" s="514" t="s">
        <v>68</v>
      </c>
      <c r="F18" s="515"/>
      <c r="G18" s="515"/>
      <c r="H18" s="515"/>
      <c r="I18" s="515"/>
      <c r="J18" s="89">
        <v>44075</v>
      </c>
      <c r="K18" s="65" t="s">
        <v>80</v>
      </c>
      <c r="L18" s="90">
        <v>0.89</v>
      </c>
      <c r="M18" s="90">
        <f>+L18+3%</f>
        <v>0.92</v>
      </c>
      <c r="N18" s="90">
        <f>+M18+3%</f>
        <v>0.95000000000000007</v>
      </c>
      <c r="O18" s="90">
        <f>+N18+3%</f>
        <v>0.98000000000000009</v>
      </c>
    </row>
    <row r="19" spans="2:15" ht="19.5" customHeight="1" x14ac:dyDescent="0.25">
      <c r="B19" s="600"/>
      <c r="C19" s="555"/>
      <c r="D19" s="556"/>
      <c r="E19" s="517"/>
      <c r="F19" s="518"/>
      <c r="G19" s="518"/>
      <c r="H19" s="518"/>
      <c r="I19" s="518"/>
      <c r="J19" s="604">
        <v>0.83</v>
      </c>
      <c r="K19" s="66" t="s">
        <v>81</v>
      </c>
      <c r="L19" s="90">
        <v>0.85</v>
      </c>
      <c r="M19" s="90">
        <f t="shared" ref="M19:O20" si="1">+L19+3%</f>
        <v>0.88</v>
      </c>
      <c r="N19" s="90">
        <f t="shared" si="1"/>
        <v>0.91</v>
      </c>
      <c r="O19" s="90">
        <f t="shared" si="1"/>
        <v>0.94000000000000006</v>
      </c>
    </row>
    <row r="20" spans="2:15" ht="19.5" customHeight="1" x14ac:dyDescent="0.25">
      <c r="B20" s="600"/>
      <c r="C20" s="555"/>
      <c r="D20" s="556"/>
      <c r="E20" s="520"/>
      <c r="F20" s="521"/>
      <c r="G20" s="521"/>
      <c r="H20" s="521"/>
      <c r="I20" s="521"/>
      <c r="J20" s="605"/>
      <c r="K20" s="67" t="s">
        <v>82</v>
      </c>
      <c r="L20" s="90">
        <f>+J19</f>
        <v>0.83</v>
      </c>
      <c r="M20" s="90">
        <f t="shared" si="1"/>
        <v>0.86</v>
      </c>
      <c r="N20" s="90">
        <f t="shared" si="1"/>
        <v>0.89</v>
      </c>
      <c r="O20" s="90">
        <f t="shared" si="1"/>
        <v>0.92</v>
      </c>
    </row>
    <row r="21" spans="2:15" ht="19.5" customHeight="1" x14ac:dyDescent="0.25">
      <c r="B21" s="600"/>
      <c r="C21" s="555"/>
      <c r="D21" s="556"/>
      <c r="E21" s="514" t="s">
        <v>69</v>
      </c>
      <c r="F21" s="515"/>
      <c r="G21" s="515"/>
      <c r="H21" s="515"/>
      <c r="I21" s="515"/>
      <c r="J21" s="606"/>
      <c r="K21" s="65" t="s">
        <v>80</v>
      </c>
      <c r="L21" s="90">
        <v>0.89</v>
      </c>
      <c r="M21" s="90">
        <f>+L21+3%</f>
        <v>0.92</v>
      </c>
      <c r="N21" s="90">
        <f>+M21+3%</f>
        <v>0.95000000000000007</v>
      </c>
      <c r="O21" s="90">
        <f>+N21+3%</f>
        <v>0.98000000000000009</v>
      </c>
    </row>
    <row r="22" spans="2:15" ht="19.5" customHeight="1" x14ac:dyDescent="0.25">
      <c r="B22" s="600"/>
      <c r="C22" s="555"/>
      <c r="D22" s="556"/>
      <c r="E22" s="517"/>
      <c r="F22" s="518"/>
      <c r="G22" s="518"/>
      <c r="H22" s="518"/>
      <c r="I22" s="518"/>
      <c r="J22" s="607"/>
      <c r="K22" s="66" t="s">
        <v>81</v>
      </c>
      <c r="L22" s="90">
        <v>0.85</v>
      </c>
      <c r="M22" s="90">
        <f t="shared" ref="M22:O23" si="2">+L22+3%</f>
        <v>0.88</v>
      </c>
      <c r="N22" s="90">
        <f t="shared" si="2"/>
        <v>0.91</v>
      </c>
      <c r="O22" s="90">
        <f t="shared" si="2"/>
        <v>0.94000000000000006</v>
      </c>
    </row>
    <row r="23" spans="2:15" ht="19.5" customHeight="1" x14ac:dyDescent="0.25">
      <c r="B23" s="601"/>
      <c r="C23" s="602"/>
      <c r="D23" s="603"/>
      <c r="E23" s="520"/>
      <c r="F23" s="521"/>
      <c r="G23" s="521"/>
      <c r="H23" s="521"/>
      <c r="I23" s="521"/>
      <c r="J23" s="608"/>
      <c r="K23" s="67" t="s">
        <v>82</v>
      </c>
      <c r="L23" s="90">
        <f>+J19</f>
        <v>0.83</v>
      </c>
      <c r="M23" s="90">
        <f t="shared" si="2"/>
        <v>0.86</v>
      </c>
      <c r="N23" s="90">
        <f t="shared" si="2"/>
        <v>0.89</v>
      </c>
      <c r="O23" s="90">
        <f t="shared" si="2"/>
        <v>0.92</v>
      </c>
    </row>
  </sheetData>
  <mergeCells count="19">
    <mergeCell ref="B18:D23"/>
    <mergeCell ref="J19:J20"/>
    <mergeCell ref="J21:J23"/>
    <mergeCell ref="B8:D14"/>
    <mergeCell ref="E8:I10"/>
    <mergeCell ref="E18:I20"/>
    <mergeCell ref="E21:I23"/>
    <mergeCell ref="E11:I12"/>
    <mergeCell ref="E13:I14"/>
    <mergeCell ref="B15:D17"/>
    <mergeCell ref="E15:I17"/>
    <mergeCell ref="J15:J17"/>
    <mergeCell ref="B4:D4"/>
    <mergeCell ref="E4:O4"/>
    <mergeCell ref="B6:D7"/>
    <mergeCell ref="E6:I7"/>
    <mergeCell ref="J6:J7"/>
    <mergeCell ref="K6:K7"/>
    <mergeCell ref="L6:O6"/>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4">
    <tabColor rgb="FF00B050"/>
  </sheetPr>
  <dimension ref="A1:O16"/>
  <sheetViews>
    <sheetView showGridLines="0" topLeftCell="C1" workbookViewId="0">
      <pane ySplit="7" topLeftCell="A8" activePane="bottomLeft" state="frozen"/>
      <selection pane="bottomLeft" activeCell="E1" sqref="E1"/>
    </sheetView>
  </sheetViews>
  <sheetFormatPr baseColWidth="10" defaultRowHeight="15.75" x14ac:dyDescent="0.25"/>
  <cols>
    <col min="1" max="1" width="2.7109375" customWidth="1"/>
    <col min="2" max="2" width="13.28515625" customWidth="1"/>
    <col min="3" max="3" width="11.85546875" customWidth="1"/>
    <col min="4" max="4" width="14.140625" customWidth="1"/>
    <col min="8" max="8" width="5.42578125" customWidth="1"/>
    <col min="10" max="10" width="16.42578125" style="44" customWidth="1"/>
    <col min="11" max="11" width="16.42578125" customWidth="1"/>
    <col min="12" max="12" width="16.42578125" style="44" customWidth="1"/>
    <col min="13" max="15" width="16.42578125" style="7" customWidth="1"/>
  </cols>
  <sheetData>
    <row r="1" spans="1:15" s="2" customFormat="1" ht="39" customHeight="1" x14ac:dyDescent="0.25">
      <c r="A1" s="10"/>
      <c r="J1" s="42"/>
      <c r="L1" s="42"/>
      <c r="M1" s="57"/>
      <c r="N1" s="57"/>
      <c r="O1" s="57"/>
    </row>
    <row r="2" spans="1:15" s="1" customFormat="1" ht="30.75" customHeight="1" x14ac:dyDescent="0.25">
      <c r="J2" s="43"/>
      <c r="L2" s="43"/>
      <c r="M2" s="58"/>
      <c r="N2" s="58"/>
      <c r="O2" s="58"/>
    </row>
    <row r="3" spans="1:15" ht="7.5" customHeight="1" x14ac:dyDescent="0.25"/>
    <row r="4" spans="1:15" ht="24.75" customHeight="1" x14ac:dyDescent="0.25">
      <c r="B4" s="450" t="s">
        <v>103</v>
      </c>
      <c r="C4" s="450"/>
      <c r="D4" s="450"/>
      <c r="E4" s="576" t="s">
        <v>104</v>
      </c>
      <c r="F4" s="576"/>
      <c r="G4" s="576"/>
      <c r="H4" s="576"/>
      <c r="I4" s="576"/>
      <c r="J4" s="576"/>
      <c r="K4" s="576"/>
      <c r="L4" s="576"/>
      <c r="M4" s="576"/>
      <c r="N4" s="576"/>
      <c r="O4" s="576"/>
    </row>
    <row r="5" spans="1:15" ht="6" customHeight="1" x14ac:dyDescent="0.25">
      <c r="B5" s="7"/>
      <c r="C5" s="7"/>
      <c r="D5" s="7"/>
      <c r="F5" s="7"/>
      <c r="G5" s="7"/>
      <c r="H5" s="7"/>
      <c r="K5" s="12"/>
      <c r="L5" s="53"/>
      <c r="M5" s="59"/>
      <c r="N5" s="59"/>
      <c r="O5" s="59"/>
    </row>
    <row r="6" spans="1:15" ht="30" customHeight="1" x14ac:dyDescent="0.25">
      <c r="B6" s="527" t="s">
        <v>36</v>
      </c>
      <c r="C6" s="527"/>
      <c r="D6" s="527"/>
      <c r="E6" s="527" t="s">
        <v>37</v>
      </c>
      <c r="F6" s="527"/>
      <c r="G6" s="527"/>
      <c r="H6" s="527"/>
      <c r="I6" s="527"/>
      <c r="J6" s="528" t="s">
        <v>87</v>
      </c>
      <c r="K6" s="528" t="s">
        <v>78</v>
      </c>
      <c r="L6" s="527" t="s">
        <v>86</v>
      </c>
      <c r="M6" s="527"/>
      <c r="N6" s="527"/>
      <c r="O6" s="527"/>
    </row>
    <row r="7" spans="1:15" ht="30" customHeight="1" x14ac:dyDescent="0.25">
      <c r="B7" s="527"/>
      <c r="C7" s="527"/>
      <c r="D7" s="527"/>
      <c r="E7" s="527"/>
      <c r="F7" s="527"/>
      <c r="G7" s="527"/>
      <c r="H7" s="527"/>
      <c r="I7" s="527"/>
      <c r="J7" s="577"/>
      <c r="K7" s="528"/>
      <c r="L7" s="29" t="s">
        <v>79</v>
      </c>
      <c r="M7" s="29" t="s">
        <v>83</v>
      </c>
      <c r="N7" s="29" t="s">
        <v>84</v>
      </c>
      <c r="O7" s="29" t="s">
        <v>85</v>
      </c>
    </row>
    <row r="8" spans="1:15" s="80" customFormat="1" ht="21" customHeight="1" x14ac:dyDescent="0.25">
      <c r="B8" s="609" t="s">
        <v>105</v>
      </c>
      <c r="C8" s="609"/>
      <c r="D8" s="609"/>
      <c r="E8" s="610" t="s">
        <v>72</v>
      </c>
      <c r="F8" s="611"/>
      <c r="G8" s="611"/>
      <c r="H8" s="611"/>
      <c r="I8" s="612"/>
      <c r="J8" s="621">
        <v>0</v>
      </c>
      <c r="K8" s="85" t="s">
        <v>80</v>
      </c>
      <c r="L8" s="82">
        <v>0.3</v>
      </c>
      <c r="M8" s="82">
        <v>0.6</v>
      </c>
      <c r="N8" s="82">
        <v>0.9</v>
      </c>
      <c r="O8" s="82">
        <v>1</v>
      </c>
    </row>
    <row r="9" spans="1:15" s="80" customFormat="1" ht="21" customHeight="1" x14ac:dyDescent="0.25">
      <c r="B9" s="609"/>
      <c r="C9" s="609"/>
      <c r="D9" s="609"/>
      <c r="E9" s="613"/>
      <c r="F9" s="496"/>
      <c r="G9" s="496"/>
      <c r="H9" s="496"/>
      <c r="I9" s="614"/>
      <c r="J9" s="622"/>
      <c r="K9" s="86" t="s">
        <v>102</v>
      </c>
      <c r="L9" s="82">
        <v>0.25</v>
      </c>
      <c r="M9" s="82">
        <v>0.5</v>
      </c>
      <c r="N9" s="82">
        <v>0.75</v>
      </c>
      <c r="O9" s="82">
        <v>1</v>
      </c>
    </row>
    <row r="10" spans="1:15" s="80" customFormat="1" ht="21" customHeight="1" x14ac:dyDescent="0.25">
      <c r="B10" s="609"/>
      <c r="C10" s="609"/>
      <c r="D10" s="609"/>
      <c r="E10" s="615"/>
      <c r="F10" s="616"/>
      <c r="G10" s="616"/>
      <c r="H10" s="616"/>
      <c r="I10" s="617"/>
      <c r="J10" s="623"/>
      <c r="K10" s="87" t="s">
        <v>82</v>
      </c>
      <c r="L10" s="82">
        <v>0.2</v>
      </c>
      <c r="M10" s="82">
        <v>0.4</v>
      </c>
      <c r="N10" s="82">
        <v>0.6</v>
      </c>
      <c r="O10" s="82">
        <v>0.85</v>
      </c>
    </row>
    <row r="11" spans="1:15" ht="21" customHeight="1" x14ac:dyDescent="0.25">
      <c r="B11" s="620" t="s">
        <v>75</v>
      </c>
      <c r="C11" s="620"/>
      <c r="D11" s="620"/>
      <c r="E11" s="514" t="s">
        <v>73</v>
      </c>
      <c r="F11" s="515"/>
      <c r="G11" s="515"/>
      <c r="H11" s="515"/>
      <c r="I11" s="515"/>
      <c r="J11" s="89">
        <v>43739</v>
      </c>
      <c r="K11" s="65" t="s">
        <v>80</v>
      </c>
      <c r="L11" s="90">
        <v>0.8</v>
      </c>
      <c r="M11" s="90">
        <v>0.85</v>
      </c>
      <c r="N11" s="90">
        <v>0.9</v>
      </c>
      <c r="O11" s="90">
        <v>0.98</v>
      </c>
    </row>
    <row r="12" spans="1:15" ht="21" customHeight="1" x14ac:dyDescent="0.25">
      <c r="B12" s="620"/>
      <c r="C12" s="620"/>
      <c r="D12" s="620"/>
      <c r="E12" s="517"/>
      <c r="F12" s="518"/>
      <c r="G12" s="518"/>
      <c r="H12" s="518"/>
      <c r="I12" s="518"/>
      <c r="J12" s="604">
        <v>0.7</v>
      </c>
      <c r="K12" s="66" t="s">
        <v>81</v>
      </c>
      <c r="L12" s="90">
        <v>0.75</v>
      </c>
      <c r="M12" s="90">
        <v>0.8</v>
      </c>
      <c r="N12" s="90">
        <v>0.85</v>
      </c>
      <c r="O12" s="90">
        <v>0.9</v>
      </c>
    </row>
    <row r="13" spans="1:15" ht="21" customHeight="1" x14ac:dyDescent="0.25">
      <c r="B13" s="620"/>
      <c r="C13" s="620"/>
      <c r="D13" s="620"/>
      <c r="E13" s="520"/>
      <c r="F13" s="521"/>
      <c r="G13" s="521"/>
      <c r="H13" s="521"/>
      <c r="I13" s="521"/>
      <c r="J13" s="605"/>
      <c r="K13" s="67" t="s">
        <v>82</v>
      </c>
      <c r="L13" s="90">
        <v>0.7</v>
      </c>
      <c r="M13" s="90">
        <v>0.75</v>
      </c>
      <c r="N13" s="90">
        <v>0.8</v>
      </c>
      <c r="O13" s="90">
        <v>0.85</v>
      </c>
    </row>
    <row r="14" spans="1:15" ht="21" customHeight="1" x14ac:dyDescent="0.25">
      <c r="B14" s="600" t="s">
        <v>76</v>
      </c>
      <c r="C14" s="555"/>
      <c r="D14" s="556"/>
      <c r="E14" s="514" t="s">
        <v>74</v>
      </c>
      <c r="F14" s="515"/>
      <c r="G14" s="515"/>
      <c r="H14" s="515"/>
      <c r="I14" s="515"/>
      <c r="J14" s="89">
        <v>44013</v>
      </c>
      <c r="K14" s="65" t="s">
        <v>80</v>
      </c>
      <c r="L14" s="92">
        <v>0.9</v>
      </c>
      <c r="M14" s="54">
        <f>+L14+1.5%</f>
        <v>0.91500000000000004</v>
      </c>
      <c r="N14" s="54">
        <f t="shared" ref="N14:O16" si="0">+M14+3%</f>
        <v>0.94500000000000006</v>
      </c>
      <c r="O14" s="54">
        <f t="shared" si="0"/>
        <v>0.97500000000000009</v>
      </c>
    </row>
    <row r="15" spans="1:15" ht="21" customHeight="1" x14ac:dyDescent="0.25">
      <c r="B15" s="600"/>
      <c r="C15" s="555"/>
      <c r="D15" s="556"/>
      <c r="E15" s="517"/>
      <c r="F15" s="518"/>
      <c r="G15" s="518"/>
      <c r="H15" s="518"/>
      <c r="I15" s="518"/>
      <c r="J15" s="91">
        <v>0.83930000000000005</v>
      </c>
      <c r="K15" s="66" t="s">
        <v>81</v>
      </c>
      <c r="L15" s="90">
        <v>0.85</v>
      </c>
      <c r="M15" s="90">
        <f>+L15+3%</f>
        <v>0.88</v>
      </c>
      <c r="N15" s="90">
        <f t="shared" si="0"/>
        <v>0.91</v>
      </c>
      <c r="O15" s="90">
        <f t="shared" si="0"/>
        <v>0.94000000000000006</v>
      </c>
    </row>
    <row r="16" spans="1:15" ht="21" customHeight="1" x14ac:dyDescent="0.25">
      <c r="B16" s="601"/>
      <c r="C16" s="602"/>
      <c r="D16" s="603"/>
      <c r="E16" s="520"/>
      <c r="F16" s="521"/>
      <c r="G16" s="521"/>
      <c r="H16" s="521"/>
      <c r="I16" s="521"/>
      <c r="J16" s="88">
        <v>0.80269999999999997</v>
      </c>
      <c r="K16" s="67" t="s">
        <v>82</v>
      </c>
      <c r="L16" s="90">
        <v>0.7</v>
      </c>
      <c r="M16" s="90">
        <f>+L16+3%</f>
        <v>0.73</v>
      </c>
      <c r="N16" s="90">
        <f t="shared" si="0"/>
        <v>0.76</v>
      </c>
      <c r="O16" s="90">
        <f t="shared" si="0"/>
        <v>0.79</v>
      </c>
    </row>
  </sheetData>
  <mergeCells count="15">
    <mergeCell ref="B11:D13"/>
    <mergeCell ref="B14:D16"/>
    <mergeCell ref="J8:J10"/>
    <mergeCell ref="E11:I13"/>
    <mergeCell ref="J12:J13"/>
    <mergeCell ref="E14:I16"/>
    <mergeCell ref="B8:D10"/>
    <mergeCell ref="E8:I10"/>
    <mergeCell ref="B4:D4"/>
    <mergeCell ref="E4:O4"/>
    <mergeCell ref="B6:D7"/>
    <mergeCell ref="E6:I7"/>
    <mergeCell ref="J6:J7"/>
    <mergeCell ref="K6:K7"/>
    <mergeCell ref="L6:O6"/>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5">
    <tabColor rgb="FFFFFF00"/>
  </sheetPr>
  <dimension ref="A1:BG237"/>
  <sheetViews>
    <sheetView showGridLines="0" topLeftCell="A88" workbookViewId="0"/>
  </sheetViews>
  <sheetFormatPr baseColWidth="10" defaultRowHeight="15.75" x14ac:dyDescent="0.25"/>
  <cols>
    <col min="1" max="1" width="2.7109375" customWidth="1"/>
    <col min="2" max="2" width="13.28515625" customWidth="1"/>
    <col min="3" max="3" width="11.85546875" customWidth="1"/>
    <col min="4" max="4" width="14.140625" customWidth="1"/>
    <col min="5" max="5" width="11.42578125" style="118"/>
    <col min="8" max="8" width="5.42578125" customWidth="1"/>
    <col min="10" max="10" width="16.42578125" style="104" customWidth="1"/>
    <col min="11" max="11" width="23.42578125" style="105" customWidth="1"/>
    <col min="12" max="12" width="4.140625" style="104" customWidth="1"/>
    <col min="13" max="13" width="16.42578125" style="106" customWidth="1"/>
    <col min="14" max="14" width="22.42578125" style="106" bestFit="1" customWidth="1"/>
    <col min="15" max="15" width="13.42578125" style="106" customWidth="1"/>
    <col min="16" max="16" width="24.140625" style="132" customWidth="1"/>
    <col min="17" max="18" width="23" customWidth="1"/>
    <col min="19" max="19" width="12.7109375" style="5" customWidth="1"/>
    <col min="20" max="20" width="8.140625" style="16" customWidth="1"/>
    <col min="21" max="21" width="1.42578125" customWidth="1"/>
    <col min="22" max="29" width="12.85546875" customWidth="1"/>
    <col min="30" max="30" width="13.140625" customWidth="1"/>
    <col min="31" max="32" width="12.85546875" customWidth="1"/>
    <col min="33" max="33" width="11.5703125" customWidth="1"/>
    <col min="34" max="35" width="11.42578125" style="135" customWidth="1"/>
    <col min="36" max="37" width="11.42578125" style="182" customWidth="1"/>
    <col min="38" max="38" width="4" style="182" hidden="1" customWidth="1"/>
    <col min="39" max="49" width="4" hidden="1" customWidth="1"/>
    <col min="50" max="50" width="6.28515625" hidden="1" customWidth="1"/>
    <col min="51" max="51" width="16.5703125" bestFit="1" customWidth="1"/>
    <col min="52" max="54" width="11.42578125" customWidth="1"/>
  </cols>
  <sheetData>
    <row r="1" spans="1:51" s="2" customFormat="1" ht="39" customHeight="1" x14ac:dyDescent="0.25">
      <c r="A1" s="10"/>
      <c r="E1" s="116"/>
      <c r="J1" s="98"/>
      <c r="K1" s="99"/>
      <c r="L1" s="98"/>
      <c r="M1" s="100"/>
      <c r="N1" s="100"/>
      <c r="O1" s="100"/>
      <c r="P1" s="130"/>
      <c r="S1" s="311"/>
      <c r="T1" s="18"/>
      <c r="AH1" s="162"/>
      <c r="AI1" s="162"/>
      <c r="AJ1" s="180"/>
      <c r="AK1" s="180"/>
      <c r="AL1" s="180"/>
    </row>
    <row r="2" spans="1:51" s="1" customFormat="1" ht="30.75" customHeight="1" x14ac:dyDescent="0.25">
      <c r="E2" s="117"/>
      <c r="J2" s="101"/>
      <c r="K2" s="102"/>
      <c r="L2" s="101"/>
      <c r="M2" s="103"/>
      <c r="N2" s="103"/>
      <c r="O2" s="103"/>
      <c r="P2" s="131"/>
      <c r="S2" s="312"/>
      <c r="T2" s="19"/>
      <c r="AH2" s="163"/>
      <c r="AI2" s="163"/>
      <c r="AJ2" s="181"/>
      <c r="AK2" s="181"/>
      <c r="AL2" s="181"/>
    </row>
    <row r="3" spans="1:51" ht="7.5" customHeight="1" x14ac:dyDescent="0.25"/>
    <row r="4" spans="1:51" ht="24" customHeight="1" x14ac:dyDescent="0.25">
      <c r="B4" s="754" t="str">
        <f>HYPERLINK("#J23","PERSPECTIVA 1")</f>
        <v>PERSPECTIVA 1</v>
      </c>
      <c r="C4" s="755"/>
      <c r="D4" s="754" t="str">
        <f>HYPERLINK("#A115","PERSPECTIVA 2")</f>
        <v>PERSPECTIVA 2</v>
      </c>
      <c r="E4" s="756"/>
      <c r="F4" s="754" t="str">
        <f>HYPERLINK("#J151","PERSPECTIVA 3")</f>
        <v>PERSPECTIVA 3</v>
      </c>
      <c r="G4" s="756"/>
      <c r="H4" s="754" t="str">
        <f>HYPERLINK("#J209","PERSPECTIVA 4")</f>
        <v>PERSPECTIVA 4</v>
      </c>
      <c r="I4" s="757"/>
      <c r="J4" s="758"/>
      <c r="K4" s="124"/>
    </row>
    <row r="5" spans="1:51" ht="5.25" customHeight="1" x14ac:dyDescent="0.25">
      <c r="B5" s="122"/>
      <c r="F5" s="123"/>
    </row>
    <row r="6" spans="1:51" ht="24.75" customHeight="1" x14ac:dyDescent="0.25">
      <c r="B6" s="450" t="s">
        <v>28</v>
      </c>
      <c r="C6" s="450"/>
      <c r="D6" s="450"/>
      <c r="E6" s="576" t="s">
        <v>29</v>
      </c>
      <c r="F6" s="576"/>
      <c r="G6" s="576"/>
      <c r="H6" s="576"/>
      <c r="I6" s="576"/>
      <c r="J6" s="576"/>
      <c r="K6" s="576"/>
      <c r="L6" s="576"/>
      <c r="M6" s="576"/>
      <c r="N6" s="576"/>
      <c r="O6" s="576"/>
      <c r="P6" s="576"/>
      <c r="Q6" s="576"/>
      <c r="R6" s="576"/>
      <c r="S6" s="576"/>
      <c r="T6" s="576"/>
      <c r="U6" s="576"/>
      <c r="V6" s="576"/>
      <c r="W6" s="11"/>
    </row>
    <row r="7" spans="1:51" ht="7.5" customHeight="1" x14ac:dyDescent="0.25">
      <c r="C7" s="121"/>
      <c r="U7" s="759"/>
    </row>
    <row r="8" spans="1:51" ht="22.5" customHeight="1" x14ac:dyDescent="0.25">
      <c r="B8" s="527" t="s">
        <v>36</v>
      </c>
      <c r="C8" s="527"/>
      <c r="D8" s="527"/>
      <c r="E8" s="527" t="s">
        <v>37</v>
      </c>
      <c r="F8" s="527"/>
      <c r="G8" s="527"/>
      <c r="H8" s="527"/>
      <c r="I8" s="527"/>
      <c r="J8" s="624" t="s">
        <v>106</v>
      </c>
      <c r="K8" s="686"/>
      <c r="L8" s="686"/>
      <c r="M8" s="686"/>
      <c r="N8" s="686"/>
      <c r="O8" s="625"/>
      <c r="P8" s="577" t="s">
        <v>139</v>
      </c>
      <c r="Q8" s="624" t="s">
        <v>107</v>
      </c>
      <c r="R8" s="625"/>
      <c r="S8" s="624" t="s">
        <v>179</v>
      </c>
      <c r="T8" s="625"/>
      <c r="U8" s="760"/>
      <c r="V8" s="527" t="s">
        <v>122</v>
      </c>
      <c r="W8" s="527"/>
      <c r="X8" s="527"/>
      <c r="Y8" s="527"/>
      <c r="Z8" s="527"/>
      <c r="AA8" s="527"/>
      <c r="AB8" s="527"/>
      <c r="AC8" s="527"/>
      <c r="AD8" s="527"/>
      <c r="AE8" s="527"/>
      <c r="AF8" s="527"/>
      <c r="AG8" s="527"/>
      <c r="AH8" s="639" t="s">
        <v>205</v>
      </c>
      <c r="AI8" s="640"/>
      <c r="AJ8" s="635" t="s">
        <v>217</v>
      </c>
      <c r="AK8" s="636"/>
      <c r="AL8" s="309"/>
      <c r="AM8" s="184"/>
      <c r="AY8" s="527" t="s">
        <v>179</v>
      </c>
    </row>
    <row r="9" spans="1:51" ht="22.5" customHeight="1" x14ac:dyDescent="0.25">
      <c r="B9" s="527"/>
      <c r="C9" s="527"/>
      <c r="D9" s="527"/>
      <c r="E9" s="527"/>
      <c r="F9" s="527"/>
      <c r="G9" s="527"/>
      <c r="H9" s="527"/>
      <c r="I9" s="527"/>
      <c r="J9" s="560"/>
      <c r="K9" s="561"/>
      <c r="L9" s="561"/>
      <c r="M9" s="561"/>
      <c r="N9" s="561"/>
      <c r="O9" s="626"/>
      <c r="P9" s="753"/>
      <c r="Q9" s="560"/>
      <c r="R9" s="626"/>
      <c r="S9" s="560"/>
      <c r="T9" s="626"/>
      <c r="U9" s="760"/>
      <c r="V9" s="93" t="s">
        <v>108</v>
      </c>
      <c r="W9" s="95" t="s">
        <v>109</v>
      </c>
      <c r="X9" s="95" t="s">
        <v>110</v>
      </c>
      <c r="Y9" s="95" t="s">
        <v>111</v>
      </c>
      <c r="Z9" s="95" t="s">
        <v>112</v>
      </c>
      <c r="AA9" s="95" t="s">
        <v>113</v>
      </c>
      <c r="AB9" s="95" t="s">
        <v>114</v>
      </c>
      <c r="AC9" s="94" t="s">
        <v>115</v>
      </c>
      <c r="AD9" s="94" t="s">
        <v>116</v>
      </c>
      <c r="AE9" s="94" t="s">
        <v>117</v>
      </c>
      <c r="AF9" s="94" t="s">
        <v>118</v>
      </c>
      <c r="AG9" s="94" t="s">
        <v>119</v>
      </c>
      <c r="AH9" s="641"/>
      <c r="AI9" s="642"/>
      <c r="AJ9" s="637"/>
      <c r="AK9" s="638"/>
      <c r="AL9" s="310" t="s">
        <v>506</v>
      </c>
      <c r="AM9" s="254" t="s">
        <v>507</v>
      </c>
      <c r="AN9" s="254" t="s">
        <v>508</v>
      </c>
      <c r="AO9" s="254" t="s">
        <v>509</v>
      </c>
      <c r="AP9" s="254" t="s">
        <v>508</v>
      </c>
      <c r="AQ9" s="254" t="s">
        <v>510</v>
      </c>
      <c r="AR9" s="254" t="s">
        <v>510</v>
      </c>
      <c r="AS9" s="254" t="s">
        <v>509</v>
      </c>
      <c r="AT9" s="254" t="s">
        <v>511</v>
      </c>
      <c r="AU9" s="254" t="s">
        <v>512</v>
      </c>
      <c r="AV9" s="254" t="s">
        <v>513</v>
      </c>
      <c r="AW9" s="254" t="s">
        <v>514</v>
      </c>
      <c r="AX9" s="278" t="s">
        <v>515</v>
      </c>
      <c r="AY9" s="527"/>
    </row>
    <row r="10" spans="1:51" ht="15" customHeight="1" x14ac:dyDescent="0.25">
      <c r="B10" s="732" t="s">
        <v>30</v>
      </c>
      <c r="C10" s="598"/>
      <c r="D10" s="599"/>
      <c r="E10" s="597" t="s">
        <v>38</v>
      </c>
      <c r="F10" s="598"/>
      <c r="G10" s="598"/>
      <c r="H10" s="598"/>
      <c r="I10" s="599"/>
      <c r="J10" s="741" t="s">
        <v>207</v>
      </c>
      <c r="K10" s="742"/>
      <c r="L10" s="742"/>
      <c r="M10" s="742"/>
      <c r="N10" s="742"/>
      <c r="O10" s="743"/>
      <c r="P10" s="736" t="s">
        <v>194</v>
      </c>
      <c r="Q10" s="660" t="s">
        <v>195</v>
      </c>
      <c r="R10" s="661"/>
      <c r="S10" s="633" t="s">
        <v>180</v>
      </c>
      <c r="T10" s="631">
        <v>2</v>
      </c>
      <c r="U10" s="760"/>
      <c r="V10" s="113"/>
      <c r="W10" s="112"/>
      <c r="X10" s="72"/>
      <c r="Y10" s="72"/>
      <c r="Z10" s="72"/>
      <c r="AA10" s="72"/>
      <c r="AB10" s="72"/>
      <c r="AC10" s="112"/>
      <c r="AD10" s="72"/>
      <c r="AE10" s="72"/>
      <c r="AF10" s="72"/>
      <c r="AG10" s="165"/>
      <c r="AH10" s="644" t="s">
        <v>450</v>
      </c>
      <c r="AI10" s="644"/>
      <c r="AJ10" s="761"/>
      <c r="AK10" s="765"/>
      <c r="AL10" s="627" t="str">
        <f>IF((V11="CUMPLIDO"),"1","0")</f>
        <v>0</v>
      </c>
      <c r="AM10" s="627" t="str">
        <f>IF((W11="CUMPLIDO"),"1","0")</f>
        <v>0</v>
      </c>
      <c r="AN10" s="627" t="str">
        <f t="shared" ref="AN10:AW10" si="0">IF((X11="CUMPLIDO"),"1","0")</f>
        <v>0</v>
      </c>
      <c r="AO10" s="627" t="str">
        <f t="shared" si="0"/>
        <v>0</v>
      </c>
      <c r="AP10" s="627" t="str">
        <f t="shared" si="0"/>
        <v>0</v>
      </c>
      <c r="AQ10" s="627" t="str">
        <f t="shared" si="0"/>
        <v>0</v>
      </c>
      <c r="AR10" s="627" t="str">
        <f t="shared" si="0"/>
        <v>0</v>
      </c>
      <c r="AS10" s="627" t="str">
        <f t="shared" si="0"/>
        <v>0</v>
      </c>
      <c r="AT10" s="627" t="str">
        <f t="shared" si="0"/>
        <v>0</v>
      </c>
      <c r="AU10" s="627" t="str">
        <f t="shared" si="0"/>
        <v>0</v>
      </c>
      <c r="AV10" s="627" t="str">
        <f t="shared" si="0"/>
        <v>0</v>
      </c>
      <c r="AW10" s="627" t="str">
        <f t="shared" si="0"/>
        <v>0</v>
      </c>
      <c r="AX10" s="628">
        <f>SUM(AL10+AM10+AN10+AO10+AP10+AQ10+AR10+AS10+AT10+AU10+AV10+AW10)</f>
        <v>0</v>
      </c>
      <c r="AY10" s="629">
        <f>AX10/2</f>
        <v>0</v>
      </c>
    </row>
    <row r="11" spans="1:51" ht="15" customHeight="1" x14ac:dyDescent="0.25">
      <c r="B11" s="554"/>
      <c r="C11" s="555"/>
      <c r="D11" s="556"/>
      <c r="E11" s="600"/>
      <c r="F11" s="555"/>
      <c r="G11" s="555"/>
      <c r="H11" s="555"/>
      <c r="I11" s="556"/>
      <c r="J11" s="744"/>
      <c r="K11" s="745"/>
      <c r="L11" s="745"/>
      <c r="M11" s="745"/>
      <c r="N11" s="745"/>
      <c r="O11" s="746"/>
      <c r="P11" s="737"/>
      <c r="Q11" s="662"/>
      <c r="R11" s="663"/>
      <c r="S11" s="634"/>
      <c r="T11" s="632"/>
      <c r="U11" s="760"/>
      <c r="V11" s="136"/>
      <c r="W11" s="136" t="s">
        <v>516</v>
      </c>
      <c r="X11" s="137"/>
      <c r="Y11" s="97"/>
      <c r="Z11" s="97"/>
      <c r="AA11" s="97"/>
      <c r="AB11" s="97"/>
      <c r="AC11" s="136" t="s">
        <v>516</v>
      </c>
      <c r="AD11" s="97"/>
      <c r="AE11" s="97"/>
      <c r="AF11" s="97"/>
      <c r="AG11" s="165"/>
      <c r="AH11" s="644"/>
      <c r="AI11" s="644"/>
      <c r="AJ11" s="763"/>
      <c r="AK11" s="766"/>
      <c r="AL11" s="627"/>
      <c r="AM11" s="627"/>
      <c r="AN11" s="627"/>
      <c r="AO11" s="627"/>
      <c r="AP11" s="627"/>
      <c r="AQ11" s="627"/>
      <c r="AR11" s="627"/>
      <c r="AS11" s="627"/>
      <c r="AT11" s="627"/>
      <c r="AU11" s="627"/>
      <c r="AV11" s="627"/>
      <c r="AW11" s="627"/>
      <c r="AX11" s="628"/>
      <c r="AY11" s="629"/>
    </row>
    <row r="12" spans="1:51" ht="15" customHeight="1" x14ac:dyDescent="0.25">
      <c r="B12" s="554"/>
      <c r="C12" s="555"/>
      <c r="D12" s="556"/>
      <c r="E12" s="600"/>
      <c r="F12" s="555"/>
      <c r="G12" s="555"/>
      <c r="H12" s="555"/>
      <c r="I12" s="556"/>
      <c r="J12" s="741" t="s">
        <v>203</v>
      </c>
      <c r="K12" s="742"/>
      <c r="L12" s="742"/>
      <c r="M12" s="742"/>
      <c r="N12" s="742"/>
      <c r="O12" s="743"/>
      <c r="P12" s="736" t="s">
        <v>194</v>
      </c>
      <c r="Q12" s="581" t="s">
        <v>204</v>
      </c>
      <c r="R12" s="583"/>
      <c r="S12" s="633" t="s">
        <v>180</v>
      </c>
      <c r="T12" s="631">
        <v>10</v>
      </c>
      <c r="U12" s="760"/>
      <c r="V12" s="136"/>
      <c r="W12" s="137"/>
      <c r="X12" s="112"/>
      <c r="Y12" s="112"/>
      <c r="Z12" s="112"/>
      <c r="AA12" s="112"/>
      <c r="AB12" s="112"/>
      <c r="AC12" s="112"/>
      <c r="AD12" s="112"/>
      <c r="AE12" s="112"/>
      <c r="AF12" s="112"/>
      <c r="AG12" s="161"/>
      <c r="AH12" s="645" t="s">
        <v>468</v>
      </c>
      <c r="AI12" s="646"/>
      <c r="AJ12" s="761"/>
      <c r="AK12" s="762"/>
      <c r="AL12" s="627" t="str">
        <f t="shared" ref="AL12:AW12" si="1">IF((V13="CUMPLIDO"),"1","0")</f>
        <v>0</v>
      </c>
      <c r="AM12" s="627" t="str">
        <f t="shared" si="1"/>
        <v>0</v>
      </c>
      <c r="AN12" s="627" t="str">
        <f t="shared" si="1"/>
        <v>1</v>
      </c>
      <c r="AO12" s="627" t="str">
        <f t="shared" si="1"/>
        <v>1</v>
      </c>
      <c r="AP12" s="627" t="str">
        <f t="shared" si="1"/>
        <v>1</v>
      </c>
      <c r="AQ12" s="627" t="str">
        <f t="shared" si="1"/>
        <v>0</v>
      </c>
      <c r="AR12" s="627" t="str">
        <f t="shared" si="1"/>
        <v>0</v>
      </c>
      <c r="AS12" s="627" t="str">
        <f t="shared" si="1"/>
        <v>0</v>
      </c>
      <c r="AT12" s="627" t="str">
        <f t="shared" si="1"/>
        <v>0</v>
      </c>
      <c r="AU12" s="627" t="str">
        <f t="shared" si="1"/>
        <v>0</v>
      </c>
      <c r="AV12" s="627" t="str">
        <f t="shared" si="1"/>
        <v>0</v>
      </c>
      <c r="AW12" s="627" t="str">
        <f t="shared" si="1"/>
        <v>0</v>
      </c>
      <c r="AX12" s="628">
        <f>SUM(AL12+AM12+AN12+AO12+AP12+AQ12+AR12+AS12+AT12+AU12+AV12+AW12)</f>
        <v>3</v>
      </c>
      <c r="AY12" s="629">
        <f>AX12/10</f>
        <v>0.3</v>
      </c>
    </row>
    <row r="13" spans="1:51" ht="15" customHeight="1" x14ac:dyDescent="0.25">
      <c r="B13" s="554"/>
      <c r="C13" s="555"/>
      <c r="D13" s="556"/>
      <c r="E13" s="600"/>
      <c r="F13" s="555"/>
      <c r="G13" s="555"/>
      <c r="H13" s="555"/>
      <c r="I13" s="556"/>
      <c r="J13" s="744"/>
      <c r="K13" s="745"/>
      <c r="L13" s="745"/>
      <c r="M13" s="745"/>
      <c r="N13" s="745"/>
      <c r="O13" s="746"/>
      <c r="P13" s="737"/>
      <c r="Q13" s="664"/>
      <c r="R13" s="665"/>
      <c r="S13" s="634"/>
      <c r="T13" s="632"/>
      <c r="U13" s="760"/>
      <c r="V13" s="136"/>
      <c r="W13" s="137"/>
      <c r="X13" s="136" t="s">
        <v>522</v>
      </c>
      <c r="Y13" s="136" t="s">
        <v>522</v>
      </c>
      <c r="Z13" s="136" t="s">
        <v>522</v>
      </c>
      <c r="AA13" s="136" t="s">
        <v>516</v>
      </c>
      <c r="AB13" s="136" t="s">
        <v>516</v>
      </c>
      <c r="AC13" s="136" t="s">
        <v>516</v>
      </c>
      <c r="AD13" s="136" t="s">
        <v>516</v>
      </c>
      <c r="AE13" s="136" t="s">
        <v>516</v>
      </c>
      <c r="AF13" s="136" t="s">
        <v>516</v>
      </c>
      <c r="AG13" s="136" t="s">
        <v>516</v>
      </c>
      <c r="AH13" s="647"/>
      <c r="AI13" s="648"/>
      <c r="AJ13" s="763"/>
      <c r="AK13" s="764"/>
      <c r="AL13" s="627"/>
      <c r="AM13" s="627"/>
      <c r="AN13" s="627"/>
      <c r="AO13" s="627"/>
      <c r="AP13" s="627"/>
      <c r="AQ13" s="627"/>
      <c r="AR13" s="627"/>
      <c r="AS13" s="627"/>
      <c r="AT13" s="627"/>
      <c r="AU13" s="627"/>
      <c r="AV13" s="627"/>
      <c r="AW13" s="627"/>
      <c r="AX13" s="628"/>
      <c r="AY13" s="629"/>
    </row>
    <row r="14" spans="1:51" ht="15" customHeight="1" x14ac:dyDescent="0.25">
      <c r="B14" s="554"/>
      <c r="C14" s="555"/>
      <c r="D14" s="556"/>
      <c r="E14" s="600"/>
      <c r="F14" s="555"/>
      <c r="G14" s="555"/>
      <c r="H14" s="555"/>
      <c r="I14" s="556"/>
      <c r="J14" s="741" t="s">
        <v>120</v>
      </c>
      <c r="K14" s="742"/>
      <c r="L14" s="742"/>
      <c r="M14" s="742"/>
      <c r="N14" s="742"/>
      <c r="O14" s="743"/>
      <c r="P14" s="736" t="s">
        <v>194</v>
      </c>
      <c r="Q14" s="660" t="s">
        <v>195</v>
      </c>
      <c r="R14" s="661"/>
      <c r="S14" s="633" t="s">
        <v>180</v>
      </c>
      <c r="T14" s="631">
        <v>3</v>
      </c>
      <c r="U14" s="760"/>
      <c r="V14" s="112"/>
      <c r="W14" s="112"/>
      <c r="X14" s="72"/>
      <c r="Y14" s="72"/>
      <c r="Z14" s="72"/>
      <c r="AA14" s="72"/>
      <c r="AB14" s="72"/>
      <c r="AC14" s="112"/>
      <c r="AD14" s="72"/>
      <c r="AE14" s="72"/>
      <c r="AF14" s="72"/>
      <c r="AG14" s="165"/>
      <c r="AH14" s="645" t="s">
        <v>469</v>
      </c>
      <c r="AI14" s="646"/>
      <c r="AJ14" s="761"/>
      <c r="AK14" s="762"/>
      <c r="AL14" s="627" t="str">
        <f t="shared" ref="AL14:AW14" si="2">IF((V15="CUMPLIDO"),"1","0")</f>
        <v>0</v>
      </c>
      <c r="AM14" s="627" t="str">
        <f t="shared" si="2"/>
        <v>0</v>
      </c>
      <c r="AN14" s="627" t="str">
        <f t="shared" si="2"/>
        <v>0</v>
      </c>
      <c r="AO14" s="627" t="str">
        <f t="shared" si="2"/>
        <v>0</v>
      </c>
      <c r="AP14" s="627" t="str">
        <f t="shared" si="2"/>
        <v>0</v>
      </c>
      <c r="AQ14" s="627" t="str">
        <f t="shared" si="2"/>
        <v>0</v>
      </c>
      <c r="AR14" s="627" t="str">
        <f t="shared" si="2"/>
        <v>0</v>
      </c>
      <c r="AS14" s="627" t="str">
        <f t="shared" si="2"/>
        <v>0</v>
      </c>
      <c r="AT14" s="627" t="str">
        <f t="shared" si="2"/>
        <v>0</v>
      </c>
      <c r="AU14" s="627" t="str">
        <f t="shared" si="2"/>
        <v>0</v>
      </c>
      <c r="AV14" s="627" t="str">
        <f t="shared" si="2"/>
        <v>0</v>
      </c>
      <c r="AW14" s="627" t="str">
        <f t="shared" si="2"/>
        <v>0</v>
      </c>
      <c r="AX14" s="628">
        <f>SUM(AL14+AM14+AN14+AO14+AP14+AQ14+AR14+AS14+AT14+AU14+AV14+AW14)</f>
        <v>0</v>
      </c>
      <c r="AY14" s="629">
        <f>AX14/3</f>
        <v>0</v>
      </c>
    </row>
    <row r="15" spans="1:51" ht="15" customHeight="1" x14ac:dyDescent="0.25">
      <c r="B15" s="554"/>
      <c r="C15" s="555"/>
      <c r="D15" s="556"/>
      <c r="E15" s="600"/>
      <c r="F15" s="555"/>
      <c r="G15" s="555"/>
      <c r="H15" s="555"/>
      <c r="I15" s="556"/>
      <c r="J15" s="744"/>
      <c r="K15" s="745"/>
      <c r="L15" s="745"/>
      <c r="M15" s="745"/>
      <c r="N15" s="745"/>
      <c r="O15" s="746"/>
      <c r="P15" s="737"/>
      <c r="Q15" s="662"/>
      <c r="R15" s="663"/>
      <c r="S15" s="634"/>
      <c r="T15" s="632"/>
      <c r="U15" s="760"/>
      <c r="V15" s="136" t="s">
        <v>516</v>
      </c>
      <c r="W15" s="136" t="s">
        <v>516</v>
      </c>
      <c r="X15" s="97"/>
      <c r="Y15" s="97"/>
      <c r="Z15" s="97"/>
      <c r="AA15" s="97"/>
      <c r="AB15" s="97"/>
      <c r="AC15" s="136" t="s">
        <v>516</v>
      </c>
      <c r="AD15" s="97"/>
      <c r="AE15" s="97"/>
      <c r="AF15" s="97"/>
      <c r="AG15" s="165"/>
      <c r="AH15" s="647"/>
      <c r="AI15" s="648"/>
      <c r="AJ15" s="763"/>
      <c r="AK15" s="764"/>
      <c r="AL15" s="627"/>
      <c r="AM15" s="627"/>
      <c r="AN15" s="627"/>
      <c r="AO15" s="627"/>
      <c r="AP15" s="627"/>
      <c r="AQ15" s="627"/>
      <c r="AR15" s="627"/>
      <c r="AS15" s="627"/>
      <c r="AT15" s="627"/>
      <c r="AU15" s="627"/>
      <c r="AV15" s="627"/>
      <c r="AW15" s="627"/>
      <c r="AX15" s="628"/>
      <c r="AY15" s="629"/>
    </row>
    <row r="16" spans="1:51" ht="15" customHeight="1" x14ac:dyDescent="0.25">
      <c r="B16" s="554"/>
      <c r="C16" s="555"/>
      <c r="D16" s="556"/>
      <c r="E16" s="600"/>
      <c r="F16" s="555"/>
      <c r="G16" s="555"/>
      <c r="H16" s="555"/>
      <c r="I16" s="556"/>
      <c r="J16" s="741" t="s">
        <v>206</v>
      </c>
      <c r="K16" s="742"/>
      <c r="L16" s="742"/>
      <c r="M16" s="742"/>
      <c r="N16" s="742"/>
      <c r="O16" s="743"/>
      <c r="P16" s="736" t="s">
        <v>194</v>
      </c>
      <c r="Q16" s="581" t="s">
        <v>200</v>
      </c>
      <c r="R16" s="583"/>
      <c r="S16" s="633" t="s">
        <v>180</v>
      </c>
      <c r="T16" s="631">
        <v>5</v>
      </c>
      <c r="U16" s="760"/>
      <c r="V16" s="112"/>
      <c r="W16" s="112"/>
      <c r="X16" s="72"/>
      <c r="Y16" s="72"/>
      <c r="Z16" s="112"/>
      <c r="AA16" s="72"/>
      <c r="AB16" s="72"/>
      <c r="AC16" s="112"/>
      <c r="AD16" s="72"/>
      <c r="AE16" s="72"/>
      <c r="AF16" s="112"/>
      <c r="AG16" s="165"/>
      <c r="AH16" s="645" t="s">
        <v>470</v>
      </c>
      <c r="AI16" s="646"/>
      <c r="AJ16" s="761"/>
      <c r="AK16" s="762"/>
      <c r="AL16" s="627" t="str">
        <f t="shared" ref="AL16:AW16" si="3">IF((V17="CUMPLIDO"),"1","0")</f>
        <v>1</v>
      </c>
      <c r="AM16" s="627" t="str">
        <f t="shared" si="3"/>
        <v>1</v>
      </c>
      <c r="AN16" s="627" t="str">
        <f t="shared" si="3"/>
        <v>0</v>
      </c>
      <c r="AO16" s="627" t="str">
        <f t="shared" si="3"/>
        <v>0</v>
      </c>
      <c r="AP16" s="627" t="str">
        <f t="shared" si="3"/>
        <v>1</v>
      </c>
      <c r="AQ16" s="627" t="str">
        <f t="shared" si="3"/>
        <v>0</v>
      </c>
      <c r="AR16" s="627" t="str">
        <f t="shared" si="3"/>
        <v>0</v>
      </c>
      <c r="AS16" s="627" t="str">
        <f t="shared" si="3"/>
        <v>0</v>
      </c>
      <c r="AT16" s="627" t="str">
        <f t="shared" si="3"/>
        <v>0</v>
      </c>
      <c r="AU16" s="627" t="str">
        <f t="shared" si="3"/>
        <v>0</v>
      </c>
      <c r="AV16" s="627" t="str">
        <f t="shared" si="3"/>
        <v>0</v>
      </c>
      <c r="AW16" s="627" t="str">
        <f t="shared" si="3"/>
        <v>0</v>
      </c>
      <c r="AX16" s="628">
        <f>SUM(AL16+AM16+AN16+AO16+AP16+AQ16+AR16+AS16+AT16+AU16+AV16+AW16)</f>
        <v>3</v>
      </c>
      <c r="AY16" s="629">
        <f>AX16/5</f>
        <v>0.6</v>
      </c>
    </row>
    <row r="17" spans="2:51" ht="15" customHeight="1" x14ac:dyDescent="0.25">
      <c r="B17" s="554"/>
      <c r="C17" s="555"/>
      <c r="D17" s="556"/>
      <c r="E17" s="600"/>
      <c r="F17" s="555"/>
      <c r="G17" s="555"/>
      <c r="H17" s="555"/>
      <c r="I17" s="556"/>
      <c r="J17" s="744"/>
      <c r="K17" s="745"/>
      <c r="L17" s="745"/>
      <c r="M17" s="745"/>
      <c r="N17" s="745"/>
      <c r="O17" s="746"/>
      <c r="P17" s="737"/>
      <c r="Q17" s="664"/>
      <c r="R17" s="665"/>
      <c r="S17" s="634"/>
      <c r="T17" s="632"/>
      <c r="U17" s="760"/>
      <c r="V17" s="136" t="s">
        <v>522</v>
      </c>
      <c r="W17" s="136" t="s">
        <v>522</v>
      </c>
      <c r="X17" s="97"/>
      <c r="Y17" s="97"/>
      <c r="Z17" s="136" t="s">
        <v>522</v>
      </c>
      <c r="AA17" s="97"/>
      <c r="AB17" s="97"/>
      <c r="AC17" s="136" t="s">
        <v>516</v>
      </c>
      <c r="AD17" s="97"/>
      <c r="AE17" s="97"/>
      <c r="AF17" s="136" t="s">
        <v>516</v>
      </c>
      <c r="AG17" s="165"/>
      <c r="AH17" s="647"/>
      <c r="AI17" s="648"/>
      <c r="AJ17" s="763"/>
      <c r="AK17" s="764"/>
      <c r="AL17" s="627"/>
      <c r="AM17" s="627"/>
      <c r="AN17" s="627"/>
      <c r="AO17" s="627"/>
      <c r="AP17" s="627"/>
      <c r="AQ17" s="627"/>
      <c r="AR17" s="627"/>
      <c r="AS17" s="627"/>
      <c r="AT17" s="627"/>
      <c r="AU17" s="627"/>
      <c r="AV17" s="627"/>
      <c r="AW17" s="627"/>
      <c r="AX17" s="628"/>
      <c r="AY17" s="629"/>
    </row>
    <row r="18" spans="2:51" ht="15" customHeight="1" x14ac:dyDescent="0.25">
      <c r="B18" s="554"/>
      <c r="C18" s="555"/>
      <c r="D18" s="556"/>
      <c r="E18" s="600"/>
      <c r="F18" s="555"/>
      <c r="G18" s="555"/>
      <c r="H18" s="555"/>
      <c r="I18" s="556"/>
      <c r="J18" s="741" t="s">
        <v>196</v>
      </c>
      <c r="K18" s="742"/>
      <c r="L18" s="742"/>
      <c r="M18" s="742"/>
      <c r="N18" s="742"/>
      <c r="O18" s="743"/>
      <c r="P18" s="736" t="s">
        <v>194</v>
      </c>
      <c r="Q18" s="660" t="s">
        <v>201</v>
      </c>
      <c r="R18" s="661"/>
      <c r="S18" s="633" t="s">
        <v>180</v>
      </c>
      <c r="T18" s="631">
        <v>4</v>
      </c>
      <c r="U18" s="760"/>
      <c r="V18" s="97"/>
      <c r="W18" s="97"/>
      <c r="X18" s="112"/>
      <c r="Y18" s="97"/>
      <c r="Z18" s="97"/>
      <c r="AA18" s="112"/>
      <c r="AB18" s="97"/>
      <c r="AC18" s="97"/>
      <c r="AD18" s="112"/>
      <c r="AE18" s="97"/>
      <c r="AF18" s="97"/>
      <c r="AG18" s="161"/>
      <c r="AH18" s="645" t="s">
        <v>471</v>
      </c>
      <c r="AI18" s="646"/>
      <c r="AJ18" s="761"/>
      <c r="AK18" s="762"/>
      <c r="AL18" s="627" t="str">
        <f t="shared" ref="AL18:AW18" si="4">IF((V19="CUMPLIDO"),"1","0")</f>
        <v>0</v>
      </c>
      <c r="AM18" s="627" t="str">
        <f t="shared" si="4"/>
        <v>0</v>
      </c>
      <c r="AN18" s="627" t="str">
        <f t="shared" si="4"/>
        <v>1</v>
      </c>
      <c r="AO18" s="627" t="str">
        <f t="shared" si="4"/>
        <v>0</v>
      </c>
      <c r="AP18" s="627" t="str">
        <f t="shared" si="4"/>
        <v>0</v>
      </c>
      <c r="AQ18" s="627" t="str">
        <f t="shared" si="4"/>
        <v>0</v>
      </c>
      <c r="AR18" s="627" t="str">
        <f t="shared" si="4"/>
        <v>0</v>
      </c>
      <c r="AS18" s="627" t="str">
        <f t="shared" si="4"/>
        <v>0</v>
      </c>
      <c r="AT18" s="627" t="str">
        <f t="shared" si="4"/>
        <v>0</v>
      </c>
      <c r="AU18" s="627" t="str">
        <f t="shared" si="4"/>
        <v>0</v>
      </c>
      <c r="AV18" s="627" t="str">
        <f t="shared" si="4"/>
        <v>0</v>
      </c>
      <c r="AW18" s="627" t="str">
        <f t="shared" si="4"/>
        <v>0</v>
      </c>
      <c r="AX18" s="628">
        <f>SUM(AL18+AM18+AN18+AO18+AP18+AQ18+AR18+AS18+AT18+AU18+AV18+AW18)</f>
        <v>1</v>
      </c>
      <c r="AY18" s="629">
        <f>AX18/4</f>
        <v>0.25</v>
      </c>
    </row>
    <row r="19" spans="2:51" ht="15" customHeight="1" x14ac:dyDescent="0.25">
      <c r="B19" s="554"/>
      <c r="C19" s="555"/>
      <c r="D19" s="556"/>
      <c r="E19" s="600"/>
      <c r="F19" s="555"/>
      <c r="G19" s="555"/>
      <c r="H19" s="555"/>
      <c r="I19" s="556"/>
      <c r="J19" s="744"/>
      <c r="K19" s="745"/>
      <c r="L19" s="745"/>
      <c r="M19" s="745"/>
      <c r="N19" s="745"/>
      <c r="O19" s="746"/>
      <c r="P19" s="737"/>
      <c r="Q19" s="662"/>
      <c r="R19" s="663"/>
      <c r="S19" s="634"/>
      <c r="T19" s="632"/>
      <c r="U19" s="760"/>
      <c r="V19" s="72"/>
      <c r="W19" s="72"/>
      <c r="X19" s="136" t="s">
        <v>522</v>
      </c>
      <c r="Y19" s="72"/>
      <c r="Z19" s="72"/>
      <c r="AA19" s="136" t="s">
        <v>516</v>
      </c>
      <c r="AB19" s="72"/>
      <c r="AC19" s="72"/>
      <c r="AD19" s="136" t="s">
        <v>516</v>
      </c>
      <c r="AE19" s="72"/>
      <c r="AF19" s="72"/>
      <c r="AG19" s="136" t="s">
        <v>516</v>
      </c>
      <c r="AH19" s="647"/>
      <c r="AI19" s="648"/>
      <c r="AJ19" s="763"/>
      <c r="AK19" s="764"/>
      <c r="AL19" s="627"/>
      <c r="AM19" s="627"/>
      <c r="AN19" s="627"/>
      <c r="AO19" s="627"/>
      <c r="AP19" s="627"/>
      <c r="AQ19" s="627"/>
      <c r="AR19" s="627"/>
      <c r="AS19" s="627"/>
      <c r="AT19" s="627"/>
      <c r="AU19" s="627"/>
      <c r="AV19" s="627"/>
      <c r="AW19" s="627"/>
      <c r="AX19" s="628"/>
      <c r="AY19" s="629"/>
    </row>
    <row r="20" spans="2:51" ht="15" customHeight="1" x14ac:dyDescent="0.25">
      <c r="B20" s="554"/>
      <c r="C20" s="555"/>
      <c r="D20" s="556"/>
      <c r="E20" s="600"/>
      <c r="F20" s="555"/>
      <c r="G20" s="555"/>
      <c r="H20" s="555"/>
      <c r="I20" s="556"/>
      <c r="J20" s="741" t="s">
        <v>197</v>
      </c>
      <c r="K20" s="742"/>
      <c r="L20" s="742"/>
      <c r="M20" s="742"/>
      <c r="N20" s="742"/>
      <c r="O20" s="743"/>
      <c r="P20" s="736" t="s">
        <v>194</v>
      </c>
      <c r="Q20" s="581" t="s">
        <v>202</v>
      </c>
      <c r="R20" s="583"/>
      <c r="S20" s="633" t="s">
        <v>180</v>
      </c>
      <c r="T20" s="631">
        <v>2</v>
      </c>
      <c r="U20" s="760"/>
      <c r="V20" s="128"/>
      <c r="W20" s="128"/>
      <c r="Y20" s="128"/>
      <c r="Z20" s="128"/>
      <c r="AA20" s="112"/>
      <c r="AB20" s="128"/>
      <c r="AC20" s="128"/>
      <c r="AD20" s="128"/>
      <c r="AE20" s="128"/>
      <c r="AF20" s="128"/>
      <c r="AG20" s="161"/>
      <c r="AH20" s="645" t="s">
        <v>472</v>
      </c>
      <c r="AI20" s="646"/>
      <c r="AJ20" s="761"/>
      <c r="AK20" s="762"/>
      <c r="AL20" s="627" t="str">
        <f t="shared" ref="AL20:AW20" si="5">IF((V21="CUMPLIDO"),"1","0")</f>
        <v>0</v>
      </c>
      <c r="AM20" s="627" t="str">
        <f t="shared" si="5"/>
        <v>0</v>
      </c>
      <c r="AN20" s="627" t="str">
        <f t="shared" si="5"/>
        <v>0</v>
      </c>
      <c r="AO20" s="627" t="str">
        <f t="shared" si="5"/>
        <v>0</v>
      </c>
      <c r="AP20" s="627" t="str">
        <f t="shared" si="5"/>
        <v>0</v>
      </c>
      <c r="AQ20" s="627" t="str">
        <f t="shared" si="5"/>
        <v>1</v>
      </c>
      <c r="AR20" s="627" t="str">
        <f t="shared" si="5"/>
        <v>0</v>
      </c>
      <c r="AS20" s="627" t="str">
        <f t="shared" si="5"/>
        <v>0</v>
      </c>
      <c r="AT20" s="627" t="str">
        <f t="shared" si="5"/>
        <v>0</v>
      </c>
      <c r="AU20" s="627" t="str">
        <f t="shared" si="5"/>
        <v>0</v>
      </c>
      <c r="AV20" s="627" t="str">
        <f t="shared" si="5"/>
        <v>0</v>
      </c>
      <c r="AW20" s="627" t="str">
        <f t="shared" si="5"/>
        <v>1</v>
      </c>
      <c r="AX20" s="628">
        <f>SUM(AL20+AM20+AN20+AO20+AP20+AQ20+AR20+AS20+AT20+AU20+AV20+AW20)</f>
        <v>2</v>
      </c>
      <c r="AY20" s="629">
        <f>AX20/2</f>
        <v>1</v>
      </c>
    </row>
    <row r="21" spans="2:51" ht="15" customHeight="1" x14ac:dyDescent="0.25">
      <c r="B21" s="554"/>
      <c r="C21" s="555"/>
      <c r="D21" s="556"/>
      <c r="E21" s="600"/>
      <c r="F21" s="555"/>
      <c r="G21" s="555"/>
      <c r="H21" s="555"/>
      <c r="I21" s="556"/>
      <c r="J21" s="744"/>
      <c r="K21" s="745"/>
      <c r="L21" s="745"/>
      <c r="M21" s="745"/>
      <c r="N21" s="745"/>
      <c r="O21" s="746"/>
      <c r="P21" s="737"/>
      <c r="Q21" s="664"/>
      <c r="R21" s="665"/>
      <c r="S21" s="634"/>
      <c r="T21" s="632"/>
      <c r="U21" s="760"/>
      <c r="V21" s="128"/>
      <c r="W21" s="128"/>
      <c r="X21" s="128"/>
      <c r="Y21" s="128"/>
      <c r="Z21" s="128"/>
      <c r="AA21" s="136" t="s">
        <v>522</v>
      </c>
      <c r="AB21" s="128"/>
      <c r="AC21" s="128"/>
      <c r="AD21" s="128"/>
      <c r="AE21" s="128"/>
      <c r="AF21" s="128"/>
      <c r="AG21" s="136" t="s">
        <v>522</v>
      </c>
      <c r="AH21" s="647"/>
      <c r="AI21" s="648"/>
      <c r="AJ21" s="763"/>
      <c r="AK21" s="764"/>
      <c r="AL21" s="627"/>
      <c r="AM21" s="627"/>
      <c r="AN21" s="627"/>
      <c r="AO21" s="627"/>
      <c r="AP21" s="627"/>
      <c r="AQ21" s="627"/>
      <c r="AR21" s="627"/>
      <c r="AS21" s="627"/>
      <c r="AT21" s="627"/>
      <c r="AU21" s="627"/>
      <c r="AV21" s="627"/>
      <c r="AW21" s="627"/>
      <c r="AX21" s="628"/>
      <c r="AY21" s="629"/>
    </row>
    <row r="22" spans="2:51" ht="15" customHeight="1" x14ac:dyDescent="0.25">
      <c r="B22" s="554"/>
      <c r="C22" s="555"/>
      <c r="D22" s="556"/>
      <c r="E22" s="600"/>
      <c r="F22" s="555"/>
      <c r="G22" s="555"/>
      <c r="H22" s="555"/>
      <c r="I22" s="556"/>
      <c r="J22" s="741" t="s">
        <v>198</v>
      </c>
      <c r="K22" s="742"/>
      <c r="L22" s="742"/>
      <c r="M22" s="742"/>
      <c r="N22" s="742"/>
      <c r="O22" s="743"/>
      <c r="P22" s="736" t="s">
        <v>194</v>
      </c>
      <c r="Q22" s="581" t="s">
        <v>199</v>
      </c>
      <c r="R22" s="583"/>
      <c r="S22" s="633" t="s">
        <v>180</v>
      </c>
      <c r="T22" s="631">
        <v>3</v>
      </c>
      <c r="U22" s="760"/>
      <c r="V22" s="128"/>
      <c r="W22" s="128"/>
      <c r="X22" s="128"/>
      <c r="Y22" s="112"/>
      <c r="Z22" s="128"/>
      <c r="AA22" s="128"/>
      <c r="AB22" s="112"/>
      <c r="AC22" s="128"/>
      <c r="AD22" s="128"/>
      <c r="AE22" s="112"/>
      <c r="AF22" s="128"/>
      <c r="AG22" s="165"/>
      <c r="AH22" s="645" t="s">
        <v>473</v>
      </c>
      <c r="AI22" s="646"/>
      <c r="AJ22" s="761"/>
      <c r="AK22" s="762"/>
      <c r="AL22" s="627" t="str">
        <f t="shared" ref="AL22:AW22" si="6">IF((V23="CUMPLIDO"),"1","0")</f>
        <v>0</v>
      </c>
      <c r="AM22" s="627" t="str">
        <f t="shared" si="6"/>
        <v>0</v>
      </c>
      <c r="AN22" s="627" t="str">
        <f t="shared" si="6"/>
        <v>0</v>
      </c>
      <c r="AO22" s="627" t="str">
        <f t="shared" si="6"/>
        <v>1</v>
      </c>
      <c r="AP22" s="627" t="str">
        <f t="shared" si="6"/>
        <v>0</v>
      </c>
      <c r="AQ22" s="627" t="str">
        <f t="shared" si="6"/>
        <v>0</v>
      </c>
      <c r="AR22" s="627" t="str">
        <f t="shared" si="6"/>
        <v>0</v>
      </c>
      <c r="AS22" s="627" t="str">
        <f t="shared" si="6"/>
        <v>0</v>
      </c>
      <c r="AT22" s="627" t="str">
        <f t="shared" si="6"/>
        <v>0</v>
      </c>
      <c r="AU22" s="627" t="str">
        <f t="shared" si="6"/>
        <v>0</v>
      </c>
      <c r="AV22" s="627" t="str">
        <f t="shared" si="6"/>
        <v>0</v>
      </c>
      <c r="AW22" s="627" t="str">
        <f t="shared" si="6"/>
        <v>0</v>
      </c>
      <c r="AX22" s="628">
        <f>SUM(AL22+AM22+AN22+AO22+AP22+AQ22+AR22+AS22+AT22+AU22+AV22+AW22)</f>
        <v>1</v>
      </c>
      <c r="AY22" s="629">
        <f>AX22/3</f>
        <v>0.33333333333333331</v>
      </c>
    </row>
    <row r="23" spans="2:51" ht="15" customHeight="1" x14ac:dyDescent="0.25">
      <c r="B23" s="557"/>
      <c r="C23" s="558"/>
      <c r="D23" s="559"/>
      <c r="E23" s="601"/>
      <c r="F23" s="602"/>
      <c r="G23" s="602"/>
      <c r="H23" s="602"/>
      <c r="I23" s="603"/>
      <c r="J23" s="744"/>
      <c r="K23" s="745"/>
      <c r="L23" s="745"/>
      <c r="M23" s="745"/>
      <c r="N23" s="745"/>
      <c r="O23" s="746"/>
      <c r="P23" s="737"/>
      <c r="Q23" s="664"/>
      <c r="R23" s="665"/>
      <c r="S23" s="634"/>
      <c r="T23" s="632"/>
      <c r="U23" s="760"/>
      <c r="V23" s="128"/>
      <c r="W23" s="128"/>
      <c r="X23" s="128"/>
      <c r="Y23" s="136" t="s">
        <v>522</v>
      </c>
      <c r="Z23" s="128"/>
      <c r="AA23" s="128"/>
      <c r="AB23" s="136" t="s">
        <v>516</v>
      </c>
      <c r="AC23" s="128"/>
      <c r="AD23" s="128"/>
      <c r="AE23" s="136" t="s">
        <v>516</v>
      </c>
      <c r="AF23" s="128"/>
      <c r="AG23" s="165"/>
      <c r="AH23" s="647"/>
      <c r="AI23" s="648"/>
      <c r="AJ23" s="763"/>
      <c r="AK23" s="764"/>
      <c r="AL23" s="627"/>
      <c r="AM23" s="627"/>
      <c r="AN23" s="627"/>
      <c r="AO23" s="627"/>
      <c r="AP23" s="627"/>
      <c r="AQ23" s="627"/>
      <c r="AR23" s="627"/>
      <c r="AS23" s="627"/>
      <c r="AT23" s="627"/>
      <c r="AU23" s="627"/>
      <c r="AV23" s="627"/>
      <c r="AW23" s="627"/>
      <c r="AX23" s="628"/>
      <c r="AY23" s="629"/>
    </row>
    <row r="24" spans="2:51" ht="15" customHeight="1" x14ac:dyDescent="0.25">
      <c r="B24" s="505" t="s">
        <v>31</v>
      </c>
      <c r="C24" s="506"/>
      <c r="D24" s="507"/>
      <c r="E24" s="517" t="s">
        <v>215</v>
      </c>
      <c r="F24" s="518"/>
      <c r="G24" s="518"/>
      <c r="H24" s="518"/>
      <c r="I24" s="519"/>
      <c r="J24" s="741" t="s">
        <v>208</v>
      </c>
      <c r="K24" s="742"/>
      <c r="L24" s="742"/>
      <c r="M24" s="742"/>
      <c r="N24" s="742"/>
      <c r="O24" s="743"/>
      <c r="P24" s="736" t="s">
        <v>140</v>
      </c>
      <c r="Q24" s="660" t="s">
        <v>211</v>
      </c>
      <c r="R24" s="661"/>
      <c r="S24" s="633" t="s">
        <v>180</v>
      </c>
      <c r="T24" s="631">
        <v>12</v>
      </c>
      <c r="U24" s="129"/>
      <c r="V24" s="112"/>
      <c r="W24" s="112"/>
      <c r="X24" s="112"/>
      <c r="Y24" s="112"/>
      <c r="Z24" s="112"/>
      <c r="AA24" s="112"/>
      <c r="AB24" s="112"/>
      <c r="AC24" s="112"/>
      <c r="AD24" s="112"/>
      <c r="AE24" s="112"/>
      <c r="AF24" s="112"/>
      <c r="AG24" s="161"/>
      <c r="AH24" s="644" t="s">
        <v>222</v>
      </c>
      <c r="AI24" s="644"/>
      <c r="AJ24" s="761"/>
      <c r="AK24" s="762"/>
      <c r="AL24" s="627" t="str">
        <f t="shared" ref="AL24:AW24" si="7">IF((V25="CUMPLIDO"),"1","0")</f>
        <v>1</v>
      </c>
      <c r="AM24" s="627" t="str">
        <f t="shared" si="7"/>
        <v>1</v>
      </c>
      <c r="AN24" s="627" t="str">
        <f t="shared" si="7"/>
        <v>1</v>
      </c>
      <c r="AO24" s="627" t="str">
        <f t="shared" si="7"/>
        <v>0</v>
      </c>
      <c r="AP24" s="627" t="str">
        <f t="shared" si="7"/>
        <v>0</v>
      </c>
      <c r="AQ24" s="627" t="str">
        <f t="shared" si="7"/>
        <v>0</v>
      </c>
      <c r="AR24" s="627" t="str">
        <f t="shared" si="7"/>
        <v>0</v>
      </c>
      <c r="AS24" s="627" t="str">
        <f t="shared" si="7"/>
        <v>0</v>
      </c>
      <c r="AT24" s="627" t="str">
        <f t="shared" si="7"/>
        <v>0</v>
      </c>
      <c r="AU24" s="627" t="str">
        <f t="shared" si="7"/>
        <v>0</v>
      </c>
      <c r="AV24" s="627" t="str">
        <f t="shared" si="7"/>
        <v>0</v>
      </c>
      <c r="AW24" s="627" t="str">
        <f t="shared" si="7"/>
        <v>0</v>
      </c>
      <c r="AX24" s="628">
        <f>SUM(AL24+AM24+AN24+AO24+AP24+AQ24+AR24+AS24+AT24+AU24+AV24+AW24)</f>
        <v>3</v>
      </c>
      <c r="AY24" s="629">
        <f>AX24/12</f>
        <v>0.25</v>
      </c>
    </row>
    <row r="25" spans="2:51" ht="15" customHeight="1" x14ac:dyDescent="0.25">
      <c r="B25" s="508"/>
      <c r="C25" s="509"/>
      <c r="D25" s="510"/>
      <c r="E25" s="517"/>
      <c r="F25" s="518"/>
      <c r="G25" s="518"/>
      <c r="H25" s="518"/>
      <c r="I25" s="519"/>
      <c r="J25" s="744"/>
      <c r="K25" s="745"/>
      <c r="L25" s="745"/>
      <c r="M25" s="745"/>
      <c r="N25" s="745"/>
      <c r="O25" s="746"/>
      <c r="P25" s="737"/>
      <c r="Q25" s="662"/>
      <c r="R25" s="663"/>
      <c r="S25" s="634"/>
      <c r="T25" s="632"/>
      <c r="U25" s="129"/>
      <c r="V25" s="136" t="s">
        <v>522</v>
      </c>
      <c r="W25" s="136" t="s">
        <v>522</v>
      </c>
      <c r="X25" s="136" t="s">
        <v>522</v>
      </c>
      <c r="Y25" s="136" t="s">
        <v>516</v>
      </c>
      <c r="Z25" s="136" t="s">
        <v>516</v>
      </c>
      <c r="AA25" s="136" t="s">
        <v>516</v>
      </c>
      <c r="AB25" s="136" t="s">
        <v>516</v>
      </c>
      <c r="AC25" s="136" t="s">
        <v>516</v>
      </c>
      <c r="AD25" s="136" t="s">
        <v>516</v>
      </c>
      <c r="AE25" s="136" t="s">
        <v>516</v>
      </c>
      <c r="AF25" s="136" t="s">
        <v>516</v>
      </c>
      <c r="AG25" s="136" t="s">
        <v>516</v>
      </c>
      <c r="AH25" s="644"/>
      <c r="AI25" s="644"/>
      <c r="AJ25" s="763"/>
      <c r="AK25" s="764"/>
      <c r="AL25" s="627"/>
      <c r="AM25" s="627"/>
      <c r="AN25" s="627"/>
      <c r="AO25" s="627"/>
      <c r="AP25" s="627"/>
      <c r="AQ25" s="627"/>
      <c r="AR25" s="627"/>
      <c r="AS25" s="627"/>
      <c r="AT25" s="627"/>
      <c r="AU25" s="627"/>
      <c r="AV25" s="627"/>
      <c r="AW25" s="627"/>
      <c r="AX25" s="628"/>
      <c r="AY25" s="629"/>
    </row>
    <row r="26" spans="2:51" ht="15" customHeight="1" x14ac:dyDescent="0.25">
      <c r="B26" s="508"/>
      <c r="C26" s="509"/>
      <c r="D26" s="510"/>
      <c r="E26" s="517"/>
      <c r="F26" s="518"/>
      <c r="G26" s="518"/>
      <c r="H26" s="518"/>
      <c r="I26" s="519"/>
      <c r="J26" s="741" t="s">
        <v>209</v>
      </c>
      <c r="K26" s="742"/>
      <c r="L26" s="742"/>
      <c r="M26" s="742"/>
      <c r="N26" s="742"/>
      <c r="O26" s="743"/>
      <c r="P26" s="736" t="s">
        <v>212</v>
      </c>
      <c r="Q26" s="660" t="s">
        <v>213</v>
      </c>
      <c r="R26" s="661"/>
      <c r="S26" s="633" t="s">
        <v>180</v>
      </c>
      <c r="T26" s="631">
        <v>1</v>
      </c>
      <c r="U26" s="129"/>
      <c r="V26" s="128"/>
      <c r="W26" s="128"/>
      <c r="X26" s="128"/>
      <c r="Y26" s="128"/>
      <c r="Z26" s="128"/>
      <c r="AA26" s="112"/>
      <c r="AB26" s="128"/>
      <c r="AC26" s="128"/>
      <c r="AD26" s="128"/>
      <c r="AE26" s="128"/>
      <c r="AF26" s="128"/>
      <c r="AG26" s="151"/>
      <c r="AH26" s="644" t="s">
        <v>223</v>
      </c>
      <c r="AI26" s="644"/>
      <c r="AJ26" s="761"/>
      <c r="AK26" s="762"/>
      <c r="AL26" s="627" t="str">
        <f t="shared" ref="AL26:AW26" si="8">IF((V27="CUMPLIDO"),"1","0")</f>
        <v>0</v>
      </c>
      <c r="AM26" s="627" t="str">
        <f t="shared" si="8"/>
        <v>0</v>
      </c>
      <c r="AN26" s="627" t="str">
        <f t="shared" si="8"/>
        <v>0</v>
      </c>
      <c r="AO26" s="627" t="str">
        <f t="shared" si="8"/>
        <v>0</v>
      </c>
      <c r="AP26" s="627" t="str">
        <f t="shared" si="8"/>
        <v>0</v>
      </c>
      <c r="AQ26" s="627" t="str">
        <f t="shared" si="8"/>
        <v>0</v>
      </c>
      <c r="AR26" s="627" t="str">
        <f t="shared" si="8"/>
        <v>0</v>
      </c>
      <c r="AS26" s="627" t="str">
        <f t="shared" si="8"/>
        <v>0</v>
      </c>
      <c r="AT26" s="627" t="str">
        <f t="shared" si="8"/>
        <v>0</v>
      </c>
      <c r="AU26" s="627" t="str">
        <f t="shared" si="8"/>
        <v>0</v>
      </c>
      <c r="AV26" s="627" t="str">
        <f t="shared" si="8"/>
        <v>0</v>
      </c>
      <c r="AW26" s="627" t="str">
        <f t="shared" si="8"/>
        <v>0</v>
      </c>
      <c r="AX26" s="628">
        <f>SUM(AL26+AM26+AN26+AO26+AP26+AQ26+AR26+AS26+AT26+AU26+AV26+AW26)</f>
        <v>0</v>
      </c>
      <c r="AY26" s="629">
        <f>AX26/1</f>
        <v>0</v>
      </c>
    </row>
    <row r="27" spans="2:51" ht="15" customHeight="1" x14ac:dyDescent="0.25">
      <c r="B27" s="508"/>
      <c r="C27" s="509"/>
      <c r="D27" s="510"/>
      <c r="E27" s="517"/>
      <c r="F27" s="518"/>
      <c r="G27" s="518"/>
      <c r="H27" s="518"/>
      <c r="I27" s="519"/>
      <c r="J27" s="744"/>
      <c r="K27" s="745"/>
      <c r="L27" s="745"/>
      <c r="M27" s="745"/>
      <c r="N27" s="745"/>
      <c r="O27" s="746"/>
      <c r="P27" s="737"/>
      <c r="Q27" s="662"/>
      <c r="R27" s="663"/>
      <c r="S27" s="634"/>
      <c r="T27" s="632"/>
      <c r="U27" s="129"/>
      <c r="V27" s="128"/>
      <c r="W27" s="128"/>
      <c r="X27" s="128"/>
      <c r="Y27" s="128"/>
      <c r="Z27" s="128"/>
      <c r="AA27" s="136" t="s">
        <v>516</v>
      </c>
      <c r="AB27" s="128"/>
      <c r="AC27" s="128"/>
      <c r="AD27" s="128"/>
      <c r="AE27" s="128"/>
      <c r="AF27" s="128"/>
      <c r="AG27" s="151"/>
      <c r="AH27" s="644"/>
      <c r="AI27" s="644"/>
      <c r="AJ27" s="763"/>
      <c r="AK27" s="764"/>
      <c r="AL27" s="627"/>
      <c r="AM27" s="627"/>
      <c r="AN27" s="627"/>
      <c r="AO27" s="627"/>
      <c r="AP27" s="627"/>
      <c r="AQ27" s="627"/>
      <c r="AR27" s="627"/>
      <c r="AS27" s="627"/>
      <c r="AT27" s="627"/>
      <c r="AU27" s="627"/>
      <c r="AV27" s="627"/>
      <c r="AW27" s="627"/>
      <c r="AX27" s="628"/>
      <c r="AY27" s="629"/>
    </row>
    <row r="28" spans="2:51" ht="15" customHeight="1" x14ac:dyDescent="0.25">
      <c r="B28" s="508"/>
      <c r="C28" s="509"/>
      <c r="D28" s="510"/>
      <c r="E28" s="517"/>
      <c r="F28" s="518"/>
      <c r="G28" s="518"/>
      <c r="H28" s="518"/>
      <c r="I28" s="519"/>
      <c r="J28" s="741" t="s">
        <v>224</v>
      </c>
      <c r="K28" s="742"/>
      <c r="L28" s="742"/>
      <c r="M28" s="742"/>
      <c r="N28" s="742"/>
      <c r="O28" s="743"/>
      <c r="P28" s="736" t="s">
        <v>194</v>
      </c>
      <c r="Q28" s="654" t="s">
        <v>225</v>
      </c>
      <c r="R28" s="655"/>
      <c r="S28" s="633" t="s">
        <v>180</v>
      </c>
      <c r="T28" s="631">
        <v>12</v>
      </c>
      <c r="V28" s="112"/>
      <c r="W28" s="112"/>
      <c r="X28" s="112"/>
      <c r="Y28" s="112"/>
      <c r="Z28" s="112"/>
      <c r="AA28" s="112"/>
      <c r="AB28" s="112"/>
      <c r="AC28" s="112"/>
      <c r="AD28" s="112"/>
      <c r="AE28" s="112"/>
      <c r="AF28" s="112"/>
      <c r="AG28" s="161"/>
      <c r="AH28" s="644" t="s">
        <v>226</v>
      </c>
      <c r="AI28" s="644"/>
      <c r="AJ28" s="761"/>
      <c r="AK28" s="762"/>
      <c r="AL28" s="627" t="str">
        <f t="shared" ref="AL28:AW28" si="9">IF((V29="CUMPLIDO"),"1","0")</f>
        <v>0</v>
      </c>
      <c r="AM28" s="627" t="str">
        <f t="shared" si="9"/>
        <v>0</v>
      </c>
      <c r="AN28" s="627" t="str">
        <f t="shared" si="9"/>
        <v>1</v>
      </c>
      <c r="AO28" s="627" t="str">
        <f t="shared" si="9"/>
        <v>1</v>
      </c>
      <c r="AP28" s="627" t="str">
        <f t="shared" si="9"/>
        <v>1</v>
      </c>
      <c r="AQ28" s="627" t="str">
        <f t="shared" si="9"/>
        <v>0</v>
      </c>
      <c r="AR28" s="627" t="str">
        <f t="shared" si="9"/>
        <v>0</v>
      </c>
      <c r="AS28" s="627" t="str">
        <f t="shared" si="9"/>
        <v>0</v>
      </c>
      <c r="AT28" s="627" t="str">
        <f t="shared" si="9"/>
        <v>0</v>
      </c>
      <c r="AU28" s="627" t="str">
        <f t="shared" si="9"/>
        <v>0</v>
      </c>
      <c r="AV28" s="627" t="str">
        <f t="shared" si="9"/>
        <v>0</v>
      </c>
      <c r="AW28" s="627" t="str">
        <f t="shared" si="9"/>
        <v>0</v>
      </c>
      <c r="AX28" s="628">
        <f>SUM(AL28+AM28+AN28+AO28+AP28+AQ28+AR28+AS28+AT28+AU28+AV28+AW28)</f>
        <v>3</v>
      </c>
      <c r="AY28" s="629">
        <f>AX28/12</f>
        <v>0.25</v>
      </c>
    </row>
    <row r="29" spans="2:51" ht="15" customHeight="1" x14ac:dyDescent="0.25">
      <c r="B29" s="508"/>
      <c r="C29" s="509"/>
      <c r="D29" s="510"/>
      <c r="E29" s="517"/>
      <c r="F29" s="518"/>
      <c r="G29" s="518"/>
      <c r="H29" s="518"/>
      <c r="I29" s="519"/>
      <c r="J29" s="744"/>
      <c r="K29" s="745"/>
      <c r="L29" s="745"/>
      <c r="M29" s="745"/>
      <c r="N29" s="745"/>
      <c r="O29" s="746"/>
      <c r="P29" s="737"/>
      <c r="Q29" s="656"/>
      <c r="R29" s="657"/>
      <c r="S29" s="634"/>
      <c r="T29" s="632"/>
      <c r="V29" s="136" t="s">
        <v>523</v>
      </c>
      <c r="W29" s="136" t="s">
        <v>523</v>
      </c>
      <c r="X29" s="136" t="s">
        <v>522</v>
      </c>
      <c r="Y29" s="136" t="s">
        <v>522</v>
      </c>
      <c r="Z29" s="136" t="s">
        <v>522</v>
      </c>
      <c r="AA29" s="136" t="s">
        <v>516</v>
      </c>
      <c r="AB29" s="136" t="s">
        <v>516</v>
      </c>
      <c r="AC29" s="136" t="s">
        <v>516</v>
      </c>
      <c r="AD29" s="136" t="s">
        <v>516</v>
      </c>
      <c r="AE29" s="136" t="s">
        <v>516</v>
      </c>
      <c r="AF29" s="136" t="s">
        <v>516</v>
      </c>
      <c r="AG29" s="136" t="s">
        <v>516</v>
      </c>
      <c r="AH29" s="644"/>
      <c r="AI29" s="644"/>
      <c r="AJ29" s="763"/>
      <c r="AK29" s="764"/>
      <c r="AL29" s="627"/>
      <c r="AM29" s="627"/>
      <c r="AN29" s="627"/>
      <c r="AO29" s="627"/>
      <c r="AP29" s="627"/>
      <c r="AQ29" s="627"/>
      <c r="AR29" s="627"/>
      <c r="AS29" s="627"/>
      <c r="AT29" s="627"/>
      <c r="AU29" s="627"/>
      <c r="AV29" s="627"/>
      <c r="AW29" s="627"/>
      <c r="AX29" s="628"/>
      <c r="AY29" s="629"/>
    </row>
    <row r="30" spans="2:51" ht="15" customHeight="1" x14ac:dyDescent="0.25">
      <c r="B30" s="508"/>
      <c r="C30" s="509"/>
      <c r="D30" s="510"/>
      <c r="E30" s="517"/>
      <c r="F30" s="518"/>
      <c r="G30" s="518"/>
      <c r="H30" s="518"/>
      <c r="I30" s="519"/>
      <c r="J30" s="741" t="s">
        <v>227</v>
      </c>
      <c r="K30" s="742"/>
      <c r="L30" s="742"/>
      <c r="M30" s="742"/>
      <c r="N30" s="742"/>
      <c r="O30" s="743"/>
      <c r="P30" s="736" t="s">
        <v>194</v>
      </c>
      <c r="Q30" s="654" t="s">
        <v>225</v>
      </c>
      <c r="R30" s="655"/>
      <c r="S30" s="633" t="s">
        <v>180</v>
      </c>
      <c r="T30" s="631">
        <v>12</v>
      </c>
      <c r="V30" s="112"/>
      <c r="W30" s="112"/>
      <c r="X30" s="112"/>
      <c r="Y30" s="112"/>
      <c r="Z30" s="112"/>
      <c r="AA30" s="112"/>
      <c r="AB30" s="112"/>
      <c r="AC30" s="112"/>
      <c r="AD30" s="112"/>
      <c r="AE30" s="112"/>
      <c r="AF30" s="112"/>
      <c r="AG30" s="112"/>
      <c r="AH30" s="644" t="s">
        <v>226</v>
      </c>
      <c r="AI30" s="644"/>
      <c r="AJ30" s="761"/>
      <c r="AK30" s="762"/>
      <c r="AL30" s="627" t="str">
        <f t="shared" ref="AL30:AW30" si="10">IF((V31="CUMPLIDO"),"1","0")</f>
        <v>1</v>
      </c>
      <c r="AM30" s="627" t="str">
        <f t="shared" si="10"/>
        <v>1</v>
      </c>
      <c r="AN30" s="627" t="str">
        <f t="shared" si="10"/>
        <v>1</v>
      </c>
      <c r="AO30" s="627" t="str">
        <f t="shared" si="10"/>
        <v>1</v>
      </c>
      <c r="AP30" s="627" t="str">
        <f t="shared" si="10"/>
        <v>1</v>
      </c>
      <c r="AQ30" s="627" t="str">
        <f t="shared" si="10"/>
        <v>0</v>
      </c>
      <c r="AR30" s="627" t="str">
        <f t="shared" si="10"/>
        <v>0</v>
      </c>
      <c r="AS30" s="627" t="str">
        <f t="shared" si="10"/>
        <v>0</v>
      </c>
      <c r="AT30" s="627" t="str">
        <f t="shared" si="10"/>
        <v>0</v>
      </c>
      <c r="AU30" s="627" t="str">
        <f t="shared" si="10"/>
        <v>0</v>
      </c>
      <c r="AV30" s="627" t="str">
        <f t="shared" si="10"/>
        <v>0</v>
      </c>
      <c r="AW30" s="627" t="str">
        <f t="shared" si="10"/>
        <v>0</v>
      </c>
      <c r="AX30" s="628">
        <f>SUM(AL30+AM30+AN30+AO30+AP30+AQ30+AR30+AS30+AT30+AU30+AV30+AW30)</f>
        <v>5</v>
      </c>
      <c r="AY30" s="629">
        <f>AX30/12</f>
        <v>0.41666666666666669</v>
      </c>
    </row>
    <row r="31" spans="2:51" ht="15" customHeight="1" x14ac:dyDescent="0.25">
      <c r="B31" s="508"/>
      <c r="C31" s="509"/>
      <c r="D31" s="510"/>
      <c r="E31" s="517"/>
      <c r="F31" s="518"/>
      <c r="G31" s="518"/>
      <c r="H31" s="518"/>
      <c r="I31" s="519"/>
      <c r="J31" s="744"/>
      <c r="K31" s="745"/>
      <c r="L31" s="745"/>
      <c r="M31" s="745"/>
      <c r="N31" s="745"/>
      <c r="O31" s="746"/>
      <c r="P31" s="737"/>
      <c r="Q31" s="656"/>
      <c r="R31" s="657"/>
      <c r="S31" s="634"/>
      <c r="T31" s="632"/>
      <c r="V31" s="136" t="s">
        <v>522</v>
      </c>
      <c r="W31" s="136" t="s">
        <v>522</v>
      </c>
      <c r="X31" s="136" t="s">
        <v>522</v>
      </c>
      <c r="Y31" s="136" t="s">
        <v>522</v>
      </c>
      <c r="Z31" s="136" t="s">
        <v>522</v>
      </c>
      <c r="AA31" s="136" t="s">
        <v>516</v>
      </c>
      <c r="AB31" s="136" t="s">
        <v>516</v>
      </c>
      <c r="AC31" s="136" t="s">
        <v>516</v>
      </c>
      <c r="AD31" s="136" t="s">
        <v>516</v>
      </c>
      <c r="AE31" s="136" t="s">
        <v>516</v>
      </c>
      <c r="AF31" s="136" t="s">
        <v>516</v>
      </c>
      <c r="AG31" s="136" t="s">
        <v>516</v>
      </c>
      <c r="AH31" s="644"/>
      <c r="AI31" s="644"/>
      <c r="AJ31" s="763"/>
      <c r="AK31" s="764"/>
      <c r="AL31" s="627"/>
      <c r="AM31" s="627"/>
      <c r="AN31" s="627"/>
      <c r="AO31" s="627"/>
      <c r="AP31" s="627"/>
      <c r="AQ31" s="627"/>
      <c r="AR31" s="627"/>
      <c r="AS31" s="627"/>
      <c r="AT31" s="627"/>
      <c r="AU31" s="627"/>
      <c r="AV31" s="627"/>
      <c r="AW31" s="627"/>
      <c r="AX31" s="628"/>
      <c r="AY31" s="629"/>
    </row>
    <row r="32" spans="2:51" ht="15" customHeight="1" x14ac:dyDescent="0.25">
      <c r="B32" s="508"/>
      <c r="C32" s="509"/>
      <c r="D32" s="510"/>
      <c r="E32" s="517"/>
      <c r="F32" s="518"/>
      <c r="G32" s="518"/>
      <c r="H32" s="518"/>
      <c r="I32" s="519"/>
      <c r="J32" s="741" t="s">
        <v>214</v>
      </c>
      <c r="K32" s="742"/>
      <c r="L32" s="742"/>
      <c r="M32" s="742"/>
      <c r="N32" s="742"/>
      <c r="O32" s="743"/>
      <c r="P32" s="736" t="s">
        <v>194</v>
      </c>
      <c r="Q32" s="654" t="s">
        <v>202</v>
      </c>
      <c r="R32" s="655"/>
      <c r="S32" s="633" t="s">
        <v>180</v>
      </c>
      <c r="T32" s="631">
        <v>3</v>
      </c>
      <c r="V32" s="142"/>
      <c r="W32" s="142"/>
      <c r="X32" s="142"/>
      <c r="Y32" s="112"/>
      <c r="Z32" s="142"/>
      <c r="AA32" s="142"/>
      <c r="AB32" s="112"/>
      <c r="AC32" s="142"/>
      <c r="AD32" s="142"/>
      <c r="AE32" s="112"/>
      <c r="AF32" s="142"/>
      <c r="AG32" s="142"/>
      <c r="AH32" s="644" t="s">
        <v>228</v>
      </c>
      <c r="AI32" s="644"/>
      <c r="AJ32" s="761"/>
      <c r="AK32" s="762"/>
      <c r="AL32" s="627" t="str">
        <f t="shared" ref="AL32:AW32" si="11">IF((V33="CUMPLIDO"),"1","0")</f>
        <v>0</v>
      </c>
      <c r="AM32" s="627" t="str">
        <f t="shared" si="11"/>
        <v>0</v>
      </c>
      <c r="AN32" s="627" t="str">
        <f t="shared" si="11"/>
        <v>0</v>
      </c>
      <c r="AO32" s="627" t="str">
        <f t="shared" si="11"/>
        <v>0</v>
      </c>
      <c r="AP32" s="627" t="str">
        <f t="shared" si="11"/>
        <v>0</v>
      </c>
      <c r="AQ32" s="627" t="str">
        <f t="shared" si="11"/>
        <v>0</v>
      </c>
      <c r="AR32" s="627" t="str">
        <f t="shared" si="11"/>
        <v>0</v>
      </c>
      <c r="AS32" s="627" t="str">
        <f t="shared" si="11"/>
        <v>0</v>
      </c>
      <c r="AT32" s="627" t="str">
        <f t="shared" si="11"/>
        <v>0</v>
      </c>
      <c r="AU32" s="627" t="str">
        <f t="shared" si="11"/>
        <v>0</v>
      </c>
      <c r="AV32" s="627" t="str">
        <f t="shared" si="11"/>
        <v>0</v>
      </c>
      <c r="AW32" s="627" t="str">
        <f t="shared" si="11"/>
        <v>0</v>
      </c>
      <c r="AX32" s="628">
        <f>SUM(AL32+AM32+AN32+AO32+AP32+AQ32+AR32+AS32+AT32+AU32+AV32+AW32)</f>
        <v>0</v>
      </c>
      <c r="AY32" s="629">
        <f>AX32/3</f>
        <v>0</v>
      </c>
    </row>
    <row r="33" spans="2:51" ht="15" customHeight="1" x14ac:dyDescent="0.25">
      <c r="B33" s="508"/>
      <c r="C33" s="509"/>
      <c r="D33" s="510"/>
      <c r="E33" s="517"/>
      <c r="F33" s="518"/>
      <c r="G33" s="518"/>
      <c r="H33" s="518"/>
      <c r="I33" s="519"/>
      <c r="J33" s="744"/>
      <c r="K33" s="745"/>
      <c r="L33" s="745"/>
      <c r="M33" s="745"/>
      <c r="N33" s="745"/>
      <c r="O33" s="746"/>
      <c r="P33" s="737"/>
      <c r="Q33" s="656"/>
      <c r="R33" s="657"/>
      <c r="S33" s="634"/>
      <c r="T33" s="632"/>
      <c r="V33" s="128"/>
      <c r="W33" s="128"/>
      <c r="X33" s="128"/>
      <c r="Y33" s="136" t="s">
        <v>516</v>
      </c>
      <c r="Z33" s="128"/>
      <c r="AA33" s="128"/>
      <c r="AB33" s="136" t="s">
        <v>516</v>
      </c>
      <c r="AC33" s="128"/>
      <c r="AD33" s="128"/>
      <c r="AE33" s="136" t="s">
        <v>516</v>
      </c>
      <c r="AF33" s="128"/>
      <c r="AG33" s="128"/>
      <c r="AH33" s="644"/>
      <c r="AI33" s="644"/>
      <c r="AJ33" s="763"/>
      <c r="AK33" s="764"/>
      <c r="AL33" s="627"/>
      <c r="AM33" s="627"/>
      <c r="AN33" s="627"/>
      <c r="AO33" s="627"/>
      <c r="AP33" s="627"/>
      <c r="AQ33" s="627"/>
      <c r="AR33" s="627"/>
      <c r="AS33" s="627"/>
      <c r="AT33" s="627"/>
      <c r="AU33" s="627"/>
      <c r="AV33" s="627"/>
      <c r="AW33" s="627"/>
      <c r="AX33" s="628"/>
      <c r="AY33" s="629"/>
    </row>
    <row r="34" spans="2:51" ht="15" customHeight="1" x14ac:dyDescent="0.25">
      <c r="B34" s="508"/>
      <c r="C34" s="509"/>
      <c r="D34" s="510"/>
      <c r="E34" s="517"/>
      <c r="F34" s="518"/>
      <c r="G34" s="518"/>
      <c r="H34" s="518"/>
      <c r="I34" s="519"/>
      <c r="J34" s="747" t="s">
        <v>123</v>
      </c>
      <c r="K34" s="748"/>
      <c r="L34" s="748"/>
      <c r="M34" s="748"/>
      <c r="N34" s="748"/>
      <c r="O34" s="749"/>
      <c r="P34" s="736" t="s">
        <v>194</v>
      </c>
      <c r="Q34" s="660" t="s">
        <v>229</v>
      </c>
      <c r="R34" s="661"/>
      <c r="S34" s="633" t="s">
        <v>180</v>
      </c>
      <c r="T34" s="631">
        <v>1</v>
      </c>
      <c r="V34" s="72"/>
      <c r="W34" s="112"/>
      <c r="X34" s="72"/>
      <c r="Y34" s="72"/>
      <c r="Z34" s="72"/>
      <c r="AA34" s="72"/>
      <c r="AB34" s="72"/>
      <c r="AC34" s="72"/>
      <c r="AD34" s="72"/>
      <c r="AE34" s="72"/>
      <c r="AF34" s="72"/>
      <c r="AG34" s="72"/>
      <c r="AH34" s="644" t="s">
        <v>230</v>
      </c>
      <c r="AI34" s="644"/>
      <c r="AJ34" s="761"/>
      <c r="AK34" s="762"/>
      <c r="AL34" s="627" t="str">
        <f t="shared" ref="AL34:AW34" si="12">IF((V35="CUMPLIDO"),"1","0")</f>
        <v>0</v>
      </c>
      <c r="AM34" s="627" t="str">
        <f t="shared" si="12"/>
        <v>0</v>
      </c>
      <c r="AN34" s="627" t="str">
        <f t="shared" si="12"/>
        <v>0</v>
      </c>
      <c r="AO34" s="627" t="str">
        <f t="shared" si="12"/>
        <v>0</v>
      </c>
      <c r="AP34" s="627" t="str">
        <f t="shared" si="12"/>
        <v>0</v>
      </c>
      <c r="AQ34" s="627" t="str">
        <f t="shared" si="12"/>
        <v>0</v>
      </c>
      <c r="AR34" s="627" t="str">
        <f t="shared" si="12"/>
        <v>0</v>
      </c>
      <c r="AS34" s="627" t="str">
        <f t="shared" si="12"/>
        <v>0</v>
      </c>
      <c r="AT34" s="627" t="str">
        <f t="shared" si="12"/>
        <v>0</v>
      </c>
      <c r="AU34" s="627" t="str">
        <f t="shared" si="12"/>
        <v>0</v>
      </c>
      <c r="AV34" s="627" t="str">
        <f t="shared" si="12"/>
        <v>0</v>
      </c>
      <c r="AW34" s="627" t="str">
        <f t="shared" si="12"/>
        <v>0</v>
      </c>
      <c r="AX34" s="628">
        <f>SUM(AL34+AM34+AN34+AO34+AP34+AQ34+AR34+AS34+AT34+AU34+AV34+AW34)</f>
        <v>0</v>
      </c>
      <c r="AY34" s="629">
        <f>AX34/1</f>
        <v>0</v>
      </c>
    </row>
    <row r="35" spans="2:51" ht="15" customHeight="1" x14ac:dyDescent="0.25">
      <c r="B35" s="508"/>
      <c r="C35" s="509"/>
      <c r="D35" s="510"/>
      <c r="E35" s="520"/>
      <c r="F35" s="521"/>
      <c r="G35" s="521"/>
      <c r="H35" s="521"/>
      <c r="I35" s="522"/>
      <c r="J35" s="750"/>
      <c r="K35" s="751"/>
      <c r="L35" s="751"/>
      <c r="M35" s="751"/>
      <c r="N35" s="751"/>
      <c r="O35" s="752"/>
      <c r="P35" s="737"/>
      <c r="Q35" s="662"/>
      <c r="R35" s="663"/>
      <c r="S35" s="634"/>
      <c r="T35" s="632"/>
      <c r="V35" s="97"/>
      <c r="W35" s="136" t="s">
        <v>516</v>
      </c>
      <c r="X35" s="97"/>
      <c r="Y35" s="97"/>
      <c r="Z35" s="97"/>
      <c r="AA35" s="97"/>
      <c r="AB35" s="97"/>
      <c r="AC35" s="97"/>
      <c r="AD35" s="97"/>
      <c r="AE35" s="97"/>
      <c r="AF35" s="97"/>
      <c r="AG35" s="97"/>
      <c r="AH35" s="644"/>
      <c r="AI35" s="644"/>
      <c r="AJ35" s="763"/>
      <c r="AK35" s="764"/>
      <c r="AL35" s="627"/>
      <c r="AM35" s="627"/>
      <c r="AN35" s="627"/>
      <c r="AO35" s="627"/>
      <c r="AP35" s="627"/>
      <c r="AQ35" s="627"/>
      <c r="AR35" s="627"/>
      <c r="AS35" s="627"/>
      <c r="AT35" s="627"/>
      <c r="AU35" s="627"/>
      <c r="AV35" s="627"/>
      <c r="AW35" s="627"/>
      <c r="AX35" s="628"/>
      <c r="AY35" s="629"/>
    </row>
    <row r="36" spans="2:51" ht="15" customHeight="1" x14ac:dyDescent="0.25">
      <c r="B36" s="508"/>
      <c r="C36" s="509"/>
      <c r="D36" s="510"/>
      <c r="E36" s="514" t="s">
        <v>40</v>
      </c>
      <c r="F36" s="515"/>
      <c r="G36" s="515"/>
      <c r="H36" s="515"/>
      <c r="I36" s="516"/>
      <c r="J36" s="741" t="s">
        <v>184</v>
      </c>
      <c r="K36" s="742"/>
      <c r="L36" s="742"/>
      <c r="M36" s="742"/>
      <c r="N36" s="742"/>
      <c r="O36" s="743"/>
      <c r="P36" s="736" t="s">
        <v>194</v>
      </c>
      <c r="Q36" s="581" t="s">
        <v>231</v>
      </c>
      <c r="R36" s="583"/>
      <c r="S36" s="633" t="s">
        <v>180</v>
      </c>
      <c r="T36" s="631">
        <v>2</v>
      </c>
      <c r="V36" s="72"/>
      <c r="W36" s="72"/>
      <c r="X36" s="72"/>
      <c r="Y36" s="112"/>
      <c r="Z36" s="72"/>
      <c r="AA36" s="72"/>
      <c r="AB36" s="72"/>
      <c r="AC36" s="72"/>
      <c r="AD36" s="112"/>
      <c r="AE36" s="72"/>
      <c r="AF36" s="72"/>
      <c r="AG36" s="72"/>
      <c r="AH36" s="644" t="s">
        <v>230</v>
      </c>
      <c r="AI36" s="644"/>
      <c r="AJ36" s="761"/>
      <c r="AK36" s="762"/>
      <c r="AL36" s="627" t="str">
        <f t="shared" ref="AL36:AW36" si="13">IF((V37="CUMPLIDO"),"1","0")</f>
        <v>0</v>
      </c>
      <c r="AM36" s="627" t="str">
        <f t="shared" si="13"/>
        <v>0</v>
      </c>
      <c r="AN36" s="627" t="str">
        <f t="shared" si="13"/>
        <v>0</v>
      </c>
      <c r="AO36" s="627" t="str">
        <f t="shared" si="13"/>
        <v>1</v>
      </c>
      <c r="AP36" s="627" t="str">
        <f t="shared" si="13"/>
        <v>0</v>
      </c>
      <c r="AQ36" s="627" t="str">
        <f t="shared" si="13"/>
        <v>0</v>
      </c>
      <c r="AR36" s="627" t="str">
        <f t="shared" si="13"/>
        <v>0</v>
      </c>
      <c r="AS36" s="627" t="str">
        <f t="shared" si="13"/>
        <v>0</v>
      </c>
      <c r="AT36" s="627" t="str">
        <f t="shared" si="13"/>
        <v>0</v>
      </c>
      <c r="AU36" s="627" t="str">
        <f t="shared" si="13"/>
        <v>0</v>
      </c>
      <c r="AV36" s="627" t="str">
        <f t="shared" si="13"/>
        <v>0</v>
      </c>
      <c r="AW36" s="627" t="str">
        <f t="shared" si="13"/>
        <v>0</v>
      </c>
      <c r="AX36" s="628">
        <f>SUM(AL36+AM36+AN36+AO36+AP36+AQ36+AR36+AS36+AT36+AU36+AV36+AW36)</f>
        <v>1</v>
      </c>
      <c r="AY36" s="629">
        <f>AX36/2</f>
        <v>0.5</v>
      </c>
    </row>
    <row r="37" spans="2:51" ht="15" customHeight="1" x14ac:dyDescent="0.25">
      <c r="B37" s="508"/>
      <c r="C37" s="509"/>
      <c r="D37" s="510"/>
      <c r="E37" s="517"/>
      <c r="F37" s="518"/>
      <c r="G37" s="518"/>
      <c r="H37" s="518"/>
      <c r="I37" s="519"/>
      <c r="J37" s="744"/>
      <c r="K37" s="745"/>
      <c r="L37" s="745"/>
      <c r="M37" s="745"/>
      <c r="N37" s="745"/>
      <c r="O37" s="746"/>
      <c r="P37" s="737"/>
      <c r="Q37" s="664"/>
      <c r="R37" s="665"/>
      <c r="S37" s="634"/>
      <c r="T37" s="632"/>
      <c r="V37" s="97"/>
      <c r="W37" s="97"/>
      <c r="X37" s="97"/>
      <c r="Y37" s="136" t="s">
        <v>522</v>
      </c>
      <c r="Z37" s="97"/>
      <c r="AA37" s="97"/>
      <c r="AB37" s="97"/>
      <c r="AC37" s="97"/>
      <c r="AD37" s="136" t="s">
        <v>516</v>
      </c>
      <c r="AE37" s="97"/>
      <c r="AF37" s="97"/>
      <c r="AG37" s="97"/>
      <c r="AH37" s="644"/>
      <c r="AI37" s="644"/>
      <c r="AJ37" s="763"/>
      <c r="AK37" s="764"/>
      <c r="AL37" s="627"/>
      <c r="AM37" s="627"/>
      <c r="AN37" s="627"/>
      <c r="AO37" s="627"/>
      <c r="AP37" s="627"/>
      <c r="AQ37" s="627"/>
      <c r="AR37" s="627"/>
      <c r="AS37" s="627"/>
      <c r="AT37" s="627"/>
      <c r="AU37" s="627"/>
      <c r="AV37" s="627"/>
      <c r="AW37" s="627"/>
      <c r="AX37" s="628"/>
      <c r="AY37" s="629"/>
    </row>
    <row r="38" spans="2:51" ht="15" customHeight="1" x14ac:dyDescent="0.25">
      <c r="B38" s="508"/>
      <c r="C38" s="509"/>
      <c r="D38" s="510"/>
      <c r="E38" s="517"/>
      <c r="F38" s="518"/>
      <c r="G38" s="518"/>
      <c r="H38" s="518"/>
      <c r="I38" s="519"/>
      <c r="J38" s="741" t="s">
        <v>232</v>
      </c>
      <c r="K38" s="742"/>
      <c r="L38" s="742"/>
      <c r="M38" s="742"/>
      <c r="N38" s="742"/>
      <c r="O38" s="743"/>
      <c r="P38" s="736" t="s">
        <v>212</v>
      </c>
      <c r="Q38" s="581" t="s">
        <v>233</v>
      </c>
      <c r="R38" s="583"/>
      <c r="S38" s="633" t="s">
        <v>180</v>
      </c>
      <c r="T38" s="631">
        <v>12</v>
      </c>
      <c r="V38" s="112"/>
      <c r="W38" s="112"/>
      <c r="X38" s="112"/>
      <c r="Y38" s="112"/>
      <c r="Z38" s="112"/>
      <c r="AA38" s="112"/>
      <c r="AB38" s="112"/>
      <c r="AC38" s="112"/>
      <c r="AD38" s="112"/>
      <c r="AE38" s="112"/>
      <c r="AF38" s="112"/>
      <c r="AG38" s="112"/>
      <c r="AH38" s="644" t="s">
        <v>234</v>
      </c>
      <c r="AI38" s="644"/>
      <c r="AJ38" s="761"/>
      <c r="AK38" s="762"/>
      <c r="AL38" s="627" t="str">
        <f t="shared" ref="AL38:AW38" si="14">IF((V39="CUMPLIDO"),"1","0")</f>
        <v>1</v>
      </c>
      <c r="AM38" s="627" t="str">
        <f t="shared" si="14"/>
        <v>1</v>
      </c>
      <c r="AN38" s="627" t="str">
        <f t="shared" si="14"/>
        <v>1</v>
      </c>
      <c r="AO38" s="627" t="str">
        <f t="shared" si="14"/>
        <v>0</v>
      </c>
      <c r="AP38" s="627" t="str">
        <f t="shared" si="14"/>
        <v>0</v>
      </c>
      <c r="AQ38" s="627" t="str">
        <f t="shared" si="14"/>
        <v>0</v>
      </c>
      <c r="AR38" s="627" t="str">
        <f t="shared" si="14"/>
        <v>0</v>
      </c>
      <c r="AS38" s="627" t="str">
        <f t="shared" si="14"/>
        <v>0</v>
      </c>
      <c r="AT38" s="627" t="str">
        <f t="shared" si="14"/>
        <v>0</v>
      </c>
      <c r="AU38" s="627" t="str">
        <f t="shared" si="14"/>
        <v>0</v>
      </c>
      <c r="AV38" s="627" t="str">
        <f t="shared" si="14"/>
        <v>0</v>
      </c>
      <c r="AW38" s="627" t="str">
        <f t="shared" si="14"/>
        <v>0</v>
      </c>
      <c r="AX38" s="628">
        <f>SUM(AL38+AM38+AN38+AO38+AP38+AQ38+AR38+AS38+AT38+AU38+AV38+AW38)</f>
        <v>3</v>
      </c>
      <c r="AY38" s="629">
        <f>AX38/12</f>
        <v>0.25</v>
      </c>
    </row>
    <row r="39" spans="2:51" ht="15" customHeight="1" x14ac:dyDescent="0.25">
      <c r="B39" s="508"/>
      <c r="C39" s="509"/>
      <c r="D39" s="510"/>
      <c r="E39" s="517"/>
      <c r="F39" s="518"/>
      <c r="G39" s="518"/>
      <c r="H39" s="518"/>
      <c r="I39" s="519"/>
      <c r="J39" s="744"/>
      <c r="K39" s="745"/>
      <c r="L39" s="745"/>
      <c r="M39" s="745"/>
      <c r="N39" s="745"/>
      <c r="O39" s="746"/>
      <c r="P39" s="737"/>
      <c r="Q39" s="664"/>
      <c r="R39" s="665"/>
      <c r="S39" s="634"/>
      <c r="T39" s="632"/>
      <c r="V39" s="136" t="s">
        <v>522</v>
      </c>
      <c r="W39" s="136" t="s">
        <v>522</v>
      </c>
      <c r="X39" s="136" t="s">
        <v>522</v>
      </c>
      <c r="Y39" s="136" t="s">
        <v>516</v>
      </c>
      <c r="Z39" s="136" t="s">
        <v>516</v>
      </c>
      <c r="AA39" s="136" t="s">
        <v>516</v>
      </c>
      <c r="AB39" s="136" t="s">
        <v>516</v>
      </c>
      <c r="AC39" s="136" t="s">
        <v>516</v>
      </c>
      <c r="AD39" s="136" t="s">
        <v>516</v>
      </c>
      <c r="AE39" s="136" t="s">
        <v>516</v>
      </c>
      <c r="AF39" s="136" t="s">
        <v>516</v>
      </c>
      <c r="AG39" s="136" t="s">
        <v>516</v>
      </c>
      <c r="AH39" s="644"/>
      <c r="AI39" s="644"/>
      <c r="AJ39" s="763"/>
      <c r="AK39" s="764"/>
      <c r="AL39" s="627"/>
      <c r="AM39" s="627"/>
      <c r="AN39" s="627"/>
      <c r="AO39" s="627"/>
      <c r="AP39" s="627"/>
      <c r="AQ39" s="627"/>
      <c r="AR39" s="627"/>
      <c r="AS39" s="627"/>
      <c r="AT39" s="627"/>
      <c r="AU39" s="627"/>
      <c r="AV39" s="627"/>
      <c r="AW39" s="627"/>
      <c r="AX39" s="628"/>
      <c r="AY39" s="629"/>
    </row>
    <row r="40" spans="2:51" ht="15" customHeight="1" x14ac:dyDescent="0.25">
      <c r="B40" s="508"/>
      <c r="C40" s="509"/>
      <c r="D40" s="510"/>
      <c r="E40" s="517"/>
      <c r="F40" s="518"/>
      <c r="G40" s="518"/>
      <c r="H40" s="518"/>
      <c r="I40" s="519"/>
      <c r="J40" s="741" t="s">
        <v>124</v>
      </c>
      <c r="K40" s="742"/>
      <c r="L40" s="742"/>
      <c r="M40" s="742"/>
      <c r="N40" s="742"/>
      <c r="O40" s="743"/>
      <c r="P40" s="736" t="s">
        <v>194</v>
      </c>
      <c r="Q40" s="581" t="s">
        <v>235</v>
      </c>
      <c r="R40" s="583"/>
      <c r="S40" s="633" t="s">
        <v>180</v>
      </c>
      <c r="T40" s="631">
        <v>12</v>
      </c>
      <c r="V40" s="112"/>
      <c r="W40" s="112"/>
      <c r="X40" s="112"/>
      <c r="Y40" s="112"/>
      <c r="Z40" s="112"/>
      <c r="AA40" s="112"/>
      <c r="AB40" s="112"/>
      <c r="AC40" s="112"/>
      <c r="AD40" s="112"/>
      <c r="AE40" s="112"/>
      <c r="AF40" s="112"/>
      <c r="AG40" s="112"/>
      <c r="AH40" s="644" t="s">
        <v>236</v>
      </c>
      <c r="AI40" s="644"/>
      <c r="AJ40" s="761"/>
      <c r="AK40" s="762"/>
      <c r="AL40" s="627" t="str">
        <f t="shared" ref="AL40:AW40" si="15">IF((V41="CUMPLIDO"),"1","0")</f>
        <v>1</v>
      </c>
      <c r="AM40" s="627" t="str">
        <f t="shared" si="15"/>
        <v>1</v>
      </c>
      <c r="AN40" s="627" t="str">
        <f t="shared" si="15"/>
        <v>1</v>
      </c>
      <c r="AO40" s="627" t="str">
        <f t="shared" si="15"/>
        <v>0</v>
      </c>
      <c r="AP40" s="627" t="str">
        <f t="shared" si="15"/>
        <v>0</v>
      </c>
      <c r="AQ40" s="627" t="str">
        <f t="shared" si="15"/>
        <v>0</v>
      </c>
      <c r="AR40" s="627" t="str">
        <f t="shared" si="15"/>
        <v>0</v>
      </c>
      <c r="AS40" s="627" t="str">
        <f t="shared" si="15"/>
        <v>0</v>
      </c>
      <c r="AT40" s="627" t="str">
        <f t="shared" si="15"/>
        <v>0</v>
      </c>
      <c r="AU40" s="627" t="str">
        <f t="shared" si="15"/>
        <v>0</v>
      </c>
      <c r="AV40" s="627" t="str">
        <f t="shared" si="15"/>
        <v>0</v>
      </c>
      <c r="AW40" s="627" t="str">
        <f t="shared" si="15"/>
        <v>0</v>
      </c>
      <c r="AX40" s="628">
        <f>SUM(AL40+AM40+AN40+AO40+AP40+AQ40+AR40+AS40+AT40+AU40+AV40+AW40)</f>
        <v>3</v>
      </c>
      <c r="AY40" s="629">
        <f>AX40/12</f>
        <v>0.25</v>
      </c>
    </row>
    <row r="41" spans="2:51" ht="15" customHeight="1" x14ac:dyDescent="0.25">
      <c r="B41" s="511"/>
      <c r="C41" s="512"/>
      <c r="D41" s="513"/>
      <c r="E41" s="520"/>
      <c r="F41" s="521"/>
      <c r="G41" s="521"/>
      <c r="H41" s="521"/>
      <c r="I41" s="522"/>
      <c r="J41" s="744"/>
      <c r="K41" s="745"/>
      <c r="L41" s="745"/>
      <c r="M41" s="745"/>
      <c r="N41" s="745"/>
      <c r="O41" s="746"/>
      <c r="P41" s="737"/>
      <c r="Q41" s="664"/>
      <c r="R41" s="665"/>
      <c r="S41" s="634"/>
      <c r="T41" s="632"/>
      <c r="V41" s="136" t="s">
        <v>522</v>
      </c>
      <c r="W41" s="136" t="s">
        <v>522</v>
      </c>
      <c r="X41" s="136" t="s">
        <v>522</v>
      </c>
      <c r="Y41" s="136" t="s">
        <v>516</v>
      </c>
      <c r="Z41" s="136" t="s">
        <v>516</v>
      </c>
      <c r="AA41" s="136" t="s">
        <v>516</v>
      </c>
      <c r="AB41" s="136" t="s">
        <v>516</v>
      </c>
      <c r="AC41" s="136" t="s">
        <v>516</v>
      </c>
      <c r="AD41" s="136" t="s">
        <v>516</v>
      </c>
      <c r="AE41" s="136" t="s">
        <v>516</v>
      </c>
      <c r="AF41" s="136" t="s">
        <v>516</v>
      </c>
      <c r="AG41" s="136" t="s">
        <v>516</v>
      </c>
      <c r="AH41" s="644"/>
      <c r="AI41" s="644"/>
      <c r="AJ41" s="763"/>
      <c r="AK41" s="764"/>
      <c r="AL41" s="627"/>
      <c r="AM41" s="627"/>
      <c r="AN41" s="627"/>
      <c r="AO41" s="627"/>
      <c r="AP41" s="627"/>
      <c r="AQ41" s="627"/>
      <c r="AR41" s="627"/>
      <c r="AS41" s="627"/>
      <c r="AT41" s="627"/>
      <c r="AU41" s="627"/>
      <c r="AV41" s="627"/>
      <c r="AW41" s="627"/>
      <c r="AX41" s="628"/>
      <c r="AY41" s="629"/>
    </row>
    <row r="42" spans="2:51" ht="15" customHeight="1" x14ac:dyDescent="0.25">
      <c r="B42" s="347" t="s">
        <v>32</v>
      </c>
      <c r="C42" s="552"/>
      <c r="D42" s="553"/>
      <c r="E42" s="514" t="s">
        <v>240</v>
      </c>
      <c r="F42" s="515"/>
      <c r="G42" s="515"/>
      <c r="H42" s="515"/>
      <c r="I42" s="516"/>
      <c r="J42" s="741" t="s">
        <v>237</v>
      </c>
      <c r="K42" s="742"/>
      <c r="L42" s="742"/>
      <c r="M42" s="742"/>
      <c r="N42" s="742"/>
      <c r="O42" s="743"/>
      <c r="P42" s="736" t="s">
        <v>194</v>
      </c>
      <c r="Q42" s="581" t="s">
        <v>238</v>
      </c>
      <c r="R42" s="583"/>
      <c r="S42" s="633" t="s">
        <v>180</v>
      </c>
      <c r="T42" s="631">
        <v>11</v>
      </c>
      <c r="V42" s="72"/>
      <c r="W42" s="112"/>
      <c r="X42" s="112"/>
      <c r="Y42" s="112"/>
      <c r="Z42" s="112"/>
      <c r="AA42" s="112"/>
      <c r="AB42" s="112"/>
      <c r="AC42" s="112"/>
      <c r="AD42" s="112"/>
      <c r="AE42" s="112"/>
      <c r="AF42" s="112"/>
      <c r="AG42" s="112"/>
      <c r="AH42" s="644" t="s">
        <v>226</v>
      </c>
      <c r="AI42" s="644"/>
      <c r="AJ42" s="761"/>
      <c r="AK42" s="762"/>
      <c r="AL42" s="627" t="str">
        <f t="shared" ref="AL42:AW42" si="16">IF((V43="CUMPLIDO"),"1","0")</f>
        <v>0</v>
      </c>
      <c r="AM42" s="627" t="str">
        <f t="shared" si="16"/>
        <v>1</v>
      </c>
      <c r="AN42" s="627" t="str">
        <f t="shared" si="16"/>
        <v>0</v>
      </c>
      <c r="AO42" s="627" t="str">
        <f t="shared" si="16"/>
        <v>0</v>
      </c>
      <c r="AP42" s="627" t="str">
        <f t="shared" si="16"/>
        <v>0</v>
      </c>
      <c r="AQ42" s="627" t="str">
        <f t="shared" si="16"/>
        <v>0</v>
      </c>
      <c r="AR42" s="627" t="str">
        <f t="shared" si="16"/>
        <v>0</v>
      </c>
      <c r="AS42" s="627" t="str">
        <f t="shared" si="16"/>
        <v>0</v>
      </c>
      <c r="AT42" s="627" t="str">
        <f t="shared" si="16"/>
        <v>0</v>
      </c>
      <c r="AU42" s="627" t="str">
        <f t="shared" si="16"/>
        <v>0</v>
      </c>
      <c r="AV42" s="627" t="str">
        <f t="shared" si="16"/>
        <v>0</v>
      </c>
      <c r="AW42" s="627" t="str">
        <f t="shared" si="16"/>
        <v>0</v>
      </c>
      <c r="AX42" s="628">
        <f>SUM(AL42+AM42+AN42+AO42+AP42+AQ42+AR42+AS42+AT42+AU42+AV42+AW42)</f>
        <v>1</v>
      </c>
      <c r="AY42" s="629">
        <f>AX42/11</f>
        <v>9.0909090909090912E-2</v>
      </c>
    </row>
    <row r="43" spans="2:51" ht="15" customHeight="1" x14ac:dyDescent="0.25">
      <c r="B43" s="554"/>
      <c r="C43" s="555"/>
      <c r="D43" s="556"/>
      <c r="E43" s="517"/>
      <c r="F43" s="518"/>
      <c r="G43" s="518"/>
      <c r="H43" s="518"/>
      <c r="I43" s="519"/>
      <c r="J43" s="744"/>
      <c r="K43" s="745"/>
      <c r="L43" s="745"/>
      <c r="M43" s="745"/>
      <c r="N43" s="745"/>
      <c r="O43" s="746"/>
      <c r="P43" s="737"/>
      <c r="Q43" s="664"/>
      <c r="R43" s="665"/>
      <c r="S43" s="634"/>
      <c r="T43" s="632"/>
      <c r="V43" s="97"/>
      <c r="W43" s="136" t="s">
        <v>522</v>
      </c>
      <c r="X43" s="136"/>
      <c r="Y43" s="136"/>
      <c r="Z43" s="136"/>
      <c r="AA43" s="136"/>
      <c r="AB43" s="136"/>
      <c r="AC43" s="136"/>
      <c r="AD43" s="136"/>
      <c r="AE43" s="136"/>
      <c r="AF43" s="136"/>
      <c r="AG43" s="136"/>
      <c r="AH43" s="644"/>
      <c r="AI43" s="644"/>
      <c r="AJ43" s="763"/>
      <c r="AK43" s="764"/>
      <c r="AL43" s="627"/>
      <c r="AM43" s="627"/>
      <c r="AN43" s="627"/>
      <c r="AO43" s="627"/>
      <c r="AP43" s="627"/>
      <c r="AQ43" s="627"/>
      <c r="AR43" s="627"/>
      <c r="AS43" s="627"/>
      <c r="AT43" s="627"/>
      <c r="AU43" s="627"/>
      <c r="AV43" s="627"/>
      <c r="AW43" s="627"/>
      <c r="AX43" s="628"/>
      <c r="AY43" s="629"/>
    </row>
    <row r="44" spans="2:51" ht="15" customHeight="1" x14ac:dyDescent="0.25">
      <c r="B44" s="554"/>
      <c r="C44" s="555"/>
      <c r="D44" s="556"/>
      <c r="E44" s="517"/>
      <c r="F44" s="518"/>
      <c r="G44" s="518"/>
      <c r="H44" s="518"/>
      <c r="I44" s="519"/>
      <c r="J44" s="741" t="s">
        <v>125</v>
      </c>
      <c r="K44" s="742"/>
      <c r="L44" s="742"/>
      <c r="M44" s="742"/>
      <c r="N44" s="742"/>
      <c r="O44" s="743"/>
      <c r="P44" s="736" t="s">
        <v>194</v>
      </c>
      <c r="Q44" s="581" t="s">
        <v>238</v>
      </c>
      <c r="R44" s="583"/>
      <c r="S44" s="633" t="s">
        <v>180</v>
      </c>
      <c r="T44" s="631">
        <v>2</v>
      </c>
      <c r="V44" s="72"/>
      <c r="W44" s="72"/>
      <c r="X44" s="72"/>
      <c r="Y44" s="72"/>
      <c r="Z44" s="72"/>
      <c r="AA44" s="112"/>
      <c r="AB44" s="72"/>
      <c r="AC44" s="72"/>
      <c r="AD44" s="72"/>
      <c r="AE44" s="72"/>
      <c r="AF44" s="72"/>
      <c r="AG44" s="161"/>
      <c r="AH44" s="645" t="s">
        <v>239</v>
      </c>
      <c r="AI44" s="646"/>
      <c r="AJ44" s="761"/>
      <c r="AK44" s="762"/>
      <c r="AL44" s="627" t="str">
        <f t="shared" ref="AL44:AW44" si="17">IF((V45="CUMPLIDO"),"1","0")</f>
        <v>0</v>
      </c>
      <c r="AM44" s="627" t="str">
        <f t="shared" si="17"/>
        <v>0</v>
      </c>
      <c r="AN44" s="627" t="str">
        <f t="shared" si="17"/>
        <v>0</v>
      </c>
      <c r="AO44" s="627" t="str">
        <f t="shared" si="17"/>
        <v>0</v>
      </c>
      <c r="AP44" s="627" t="str">
        <f t="shared" si="17"/>
        <v>0</v>
      </c>
      <c r="AQ44" s="627" t="str">
        <f t="shared" si="17"/>
        <v>0</v>
      </c>
      <c r="AR44" s="627" t="str">
        <f t="shared" si="17"/>
        <v>0</v>
      </c>
      <c r="AS44" s="627" t="str">
        <f t="shared" si="17"/>
        <v>0</v>
      </c>
      <c r="AT44" s="627" t="str">
        <f t="shared" si="17"/>
        <v>0</v>
      </c>
      <c r="AU44" s="627" t="str">
        <f t="shared" si="17"/>
        <v>0</v>
      </c>
      <c r="AV44" s="627" t="str">
        <f t="shared" si="17"/>
        <v>0</v>
      </c>
      <c r="AW44" s="627" t="str">
        <f t="shared" si="17"/>
        <v>0</v>
      </c>
      <c r="AX44" s="628">
        <f>SUM(AL44+AM44+AN44+AO44+AP44+AQ44+AR44+AS44+AT44+AU44+AV44+AW44)</f>
        <v>0</v>
      </c>
      <c r="AY44" s="629">
        <f>AX44/2</f>
        <v>0</v>
      </c>
    </row>
    <row r="45" spans="2:51" ht="15" customHeight="1" x14ac:dyDescent="0.25">
      <c r="B45" s="554"/>
      <c r="C45" s="555"/>
      <c r="D45" s="556"/>
      <c r="E45" s="517"/>
      <c r="F45" s="518"/>
      <c r="G45" s="518"/>
      <c r="H45" s="518"/>
      <c r="I45" s="519"/>
      <c r="J45" s="744"/>
      <c r="K45" s="745"/>
      <c r="L45" s="745"/>
      <c r="M45" s="745"/>
      <c r="N45" s="745"/>
      <c r="O45" s="746"/>
      <c r="P45" s="737"/>
      <c r="Q45" s="664"/>
      <c r="R45" s="665"/>
      <c r="S45" s="634"/>
      <c r="T45" s="632"/>
      <c r="V45" s="97"/>
      <c r="W45" s="97"/>
      <c r="X45" s="97"/>
      <c r="Y45" s="97"/>
      <c r="Z45" s="97"/>
      <c r="AA45" s="136" t="s">
        <v>516</v>
      </c>
      <c r="AB45" s="97"/>
      <c r="AC45" s="97"/>
      <c r="AD45" s="97"/>
      <c r="AE45" s="97"/>
      <c r="AF45" s="97"/>
      <c r="AG45" s="136" t="s">
        <v>516</v>
      </c>
      <c r="AH45" s="647"/>
      <c r="AI45" s="648"/>
      <c r="AJ45" s="763"/>
      <c r="AK45" s="764"/>
      <c r="AL45" s="627"/>
      <c r="AM45" s="627"/>
      <c r="AN45" s="627"/>
      <c r="AO45" s="627"/>
      <c r="AP45" s="627"/>
      <c r="AQ45" s="627"/>
      <c r="AR45" s="627"/>
      <c r="AS45" s="627"/>
      <c r="AT45" s="627"/>
      <c r="AU45" s="627"/>
      <c r="AV45" s="627"/>
      <c r="AW45" s="627"/>
      <c r="AX45" s="628"/>
      <c r="AY45" s="629"/>
    </row>
    <row r="46" spans="2:51" ht="15" customHeight="1" x14ac:dyDescent="0.25">
      <c r="B46" s="347" t="s">
        <v>33</v>
      </c>
      <c r="C46" s="552"/>
      <c r="D46" s="553"/>
      <c r="E46" s="541" t="s">
        <v>254</v>
      </c>
      <c r="F46" s="542"/>
      <c r="G46" s="542"/>
      <c r="H46" s="542"/>
      <c r="I46" s="543"/>
      <c r="J46" s="741" t="s">
        <v>126</v>
      </c>
      <c r="K46" s="742"/>
      <c r="L46" s="742"/>
      <c r="M46" s="742"/>
      <c r="N46" s="742"/>
      <c r="O46" s="743"/>
      <c r="P46" s="736" t="s">
        <v>233</v>
      </c>
      <c r="Q46" s="660" t="s">
        <v>242</v>
      </c>
      <c r="R46" s="661"/>
      <c r="S46" s="633" t="s">
        <v>180</v>
      </c>
      <c r="T46" s="631">
        <v>12</v>
      </c>
      <c r="V46" s="112"/>
      <c r="W46" s="112"/>
      <c r="X46" s="112"/>
      <c r="Y46" s="112"/>
      <c r="Z46" s="112"/>
      <c r="AA46" s="112"/>
      <c r="AB46" s="112"/>
      <c r="AC46" s="112"/>
      <c r="AD46" s="112"/>
      <c r="AE46" s="112"/>
      <c r="AF46" s="112"/>
      <c r="AG46" s="161"/>
      <c r="AH46" s="645" t="s">
        <v>243</v>
      </c>
      <c r="AI46" s="646"/>
      <c r="AJ46" s="761"/>
      <c r="AK46" s="762"/>
      <c r="AL46" s="627" t="str">
        <f t="shared" ref="AL46:AW46" si="18">IF((V47="CUMPLIDO"),"1","0")</f>
        <v>1</v>
      </c>
      <c r="AM46" s="627" t="str">
        <f t="shared" si="18"/>
        <v>1</v>
      </c>
      <c r="AN46" s="627" t="str">
        <f t="shared" si="18"/>
        <v>1</v>
      </c>
      <c r="AO46" s="627" t="str">
        <f t="shared" si="18"/>
        <v>1</v>
      </c>
      <c r="AP46" s="627" t="str">
        <f t="shared" si="18"/>
        <v>1</v>
      </c>
      <c r="AQ46" s="627" t="str">
        <f t="shared" si="18"/>
        <v>0</v>
      </c>
      <c r="AR46" s="627" t="str">
        <f t="shared" si="18"/>
        <v>0</v>
      </c>
      <c r="AS46" s="627" t="str">
        <f t="shared" si="18"/>
        <v>0</v>
      </c>
      <c r="AT46" s="627" t="str">
        <f t="shared" si="18"/>
        <v>0</v>
      </c>
      <c r="AU46" s="627" t="str">
        <f t="shared" si="18"/>
        <v>0</v>
      </c>
      <c r="AV46" s="627" t="str">
        <f t="shared" si="18"/>
        <v>0</v>
      </c>
      <c r="AW46" s="627" t="str">
        <f t="shared" si="18"/>
        <v>0</v>
      </c>
      <c r="AX46" s="628">
        <f>SUM(AL46+AM46+AN46+AO46+AP46+AQ46+AR46+AS46+AT46+AU46+AV46+AW46)</f>
        <v>5</v>
      </c>
      <c r="AY46" s="629">
        <f>AX46/12</f>
        <v>0.41666666666666669</v>
      </c>
    </row>
    <row r="47" spans="2:51" ht="15" customHeight="1" x14ac:dyDescent="0.25">
      <c r="B47" s="554"/>
      <c r="C47" s="555"/>
      <c r="D47" s="556"/>
      <c r="E47" s="544"/>
      <c r="F47" s="485"/>
      <c r="G47" s="485"/>
      <c r="H47" s="485"/>
      <c r="I47" s="545"/>
      <c r="J47" s="744"/>
      <c r="K47" s="745"/>
      <c r="L47" s="745"/>
      <c r="M47" s="745"/>
      <c r="N47" s="745"/>
      <c r="O47" s="746"/>
      <c r="P47" s="737"/>
      <c r="Q47" s="662"/>
      <c r="R47" s="663"/>
      <c r="S47" s="634"/>
      <c r="T47" s="632"/>
      <c r="V47" s="136" t="s">
        <v>522</v>
      </c>
      <c r="W47" s="136" t="s">
        <v>522</v>
      </c>
      <c r="X47" s="136" t="s">
        <v>522</v>
      </c>
      <c r="Y47" s="136" t="s">
        <v>522</v>
      </c>
      <c r="Z47" s="136" t="s">
        <v>522</v>
      </c>
      <c r="AA47" s="136" t="s">
        <v>516</v>
      </c>
      <c r="AB47" s="136" t="s">
        <v>516</v>
      </c>
      <c r="AC47" s="136" t="s">
        <v>516</v>
      </c>
      <c r="AD47" s="136" t="s">
        <v>516</v>
      </c>
      <c r="AE47" s="136" t="s">
        <v>516</v>
      </c>
      <c r="AF47" s="136" t="s">
        <v>516</v>
      </c>
      <c r="AG47" s="136" t="s">
        <v>516</v>
      </c>
      <c r="AH47" s="647"/>
      <c r="AI47" s="648"/>
      <c r="AJ47" s="763"/>
      <c r="AK47" s="764"/>
      <c r="AL47" s="627"/>
      <c r="AM47" s="627"/>
      <c r="AN47" s="627"/>
      <c r="AO47" s="627"/>
      <c r="AP47" s="627"/>
      <c r="AQ47" s="627"/>
      <c r="AR47" s="627"/>
      <c r="AS47" s="627"/>
      <c r="AT47" s="627"/>
      <c r="AU47" s="627"/>
      <c r="AV47" s="627"/>
      <c r="AW47" s="627"/>
      <c r="AX47" s="628"/>
      <c r="AY47" s="629"/>
    </row>
    <row r="48" spans="2:51" ht="15" customHeight="1" x14ac:dyDescent="0.25">
      <c r="B48" s="554"/>
      <c r="C48" s="555"/>
      <c r="D48" s="556"/>
      <c r="E48" s="544"/>
      <c r="F48" s="485"/>
      <c r="G48" s="485"/>
      <c r="H48" s="485"/>
      <c r="I48" s="545"/>
      <c r="J48" s="741" t="s">
        <v>127</v>
      </c>
      <c r="K48" s="742"/>
      <c r="L48" s="742"/>
      <c r="M48" s="742"/>
      <c r="N48" s="742"/>
      <c r="O48" s="743"/>
      <c r="P48" s="736" t="s">
        <v>244</v>
      </c>
      <c r="Q48" s="660" t="s">
        <v>245</v>
      </c>
      <c r="R48" s="661"/>
      <c r="S48" s="633" t="s">
        <v>180</v>
      </c>
      <c r="T48" s="631">
        <v>12</v>
      </c>
      <c r="V48" s="112"/>
      <c r="W48" s="112"/>
      <c r="X48" s="112"/>
      <c r="Y48" s="112"/>
      <c r="Z48" s="112"/>
      <c r="AA48" s="112"/>
      <c r="AB48" s="112"/>
      <c r="AC48" s="112"/>
      <c r="AD48" s="112"/>
      <c r="AE48" s="112"/>
      <c r="AF48" s="112"/>
      <c r="AG48" s="161"/>
      <c r="AH48" s="645" t="s">
        <v>246</v>
      </c>
      <c r="AI48" s="646"/>
      <c r="AJ48" s="761"/>
      <c r="AK48" s="762"/>
      <c r="AL48" s="627" t="str">
        <f t="shared" ref="AL48:AW48" si="19">IF((V49="CUMPLIDO"),"1","0")</f>
        <v>1</v>
      </c>
      <c r="AM48" s="627" t="str">
        <f t="shared" si="19"/>
        <v>1</v>
      </c>
      <c r="AN48" s="627" t="str">
        <f t="shared" si="19"/>
        <v>1</v>
      </c>
      <c r="AO48" s="627" t="str">
        <f t="shared" si="19"/>
        <v>1</v>
      </c>
      <c r="AP48" s="627" t="str">
        <f t="shared" si="19"/>
        <v>1</v>
      </c>
      <c r="AQ48" s="627" t="str">
        <f t="shared" si="19"/>
        <v>0</v>
      </c>
      <c r="AR48" s="627" t="str">
        <f t="shared" si="19"/>
        <v>0</v>
      </c>
      <c r="AS48" s="627" t="str">
        <f t="shared" si="19"/>
        <v>0</v>
      </c>
      <c r="AT48" s="627" t="str">
        <f t="shared" si="19"/>
        <v>0</v>
      </c>
      <c r="AU48" s="627" t="str">
        <f t="shared" si="19"/>
        <v>0</v>
      </c>
      <c r="AV48" s="627" t="str">
        <f t="shared" si="19"/>
        <v>0</v>
      </c>
      <c r="AW48" s="627" t="str">
        <f t="shared" si="19"/>
        <v>0</v>
      </c>
      <c r="AX48" s="628">
        <f>SUM(AL48+AM48+AN48+AO48+AP48+AQ48+AR48+AS48+AT48+AU48+AV48+AW48)</f>
        <v>5</v>
      </c>
      <c r="AY48" s="629">
        <f>AX48/12</f>
        <v>0.41666666666666669</v>
      </c>
    </row>
    <row r="49" spans="2:51" ht="15" customHeight="1" x14ac:dyDescent="0.25">
      <c r="B49" s="554"/>
      <c r="C49" s="555"/>
      <c r="D49" s="556"/>
      <c r="E49" s="544"/>
      <c r="F49" s="485"/>
      <c r="G49" s="485"/>
      <c r="H49" s="485"/>
      <c r="I49" s="545"/>
      <c r="J49" s="744"/>
      <c r="K49" s="745"/>
      <c r="L49" s="745"/>
      <c r="M49" s="745"/>
      <c r="N49" s="745"/>
      <c r="O49" s="746"/>
      <c r="P49" s="737"/>
      <c r="Q49" s="662"/>
      <c r="R49" s="663"/>
      <c r="S49" s="634"/>
      <c r="T49" s="632"/>
      <c r="V49" s="136" t="s">
        <v>522</v>
      </c>
      <c r="W49" s="136" t="s">
        <v>522</v>
      </c>
      <c r="X49" s="136" t="s">
        <v>522</v>
      </c>
      <c r="Y49" s="136" t="s">
        <v>522</v>
      </c>
      <c r="Z49" s="136" t="s">
        <v>522</v>
      </c>
      <c r="AA49" s="136" t="s">
        <v>516</v>
      </c>
      <c r="AB49" s="136" t="s">
        <v>516</v>
      </c>
      <c r="AC49" s="136" t="s">
        <v>516</v>
      </c>
      <c r="AD49" s="136" t="s">
        <v>516</v>
      </c>
      <c r="AE49" s="136" t="s">
        <v>516</v>
      </c>
      <c r="AF49" s="136" t="s">
        <v>516</v>
      </c>
      <c r="AG49" s="136" t="s">
        <v>516</v>
      </c>
      <c r="AH49" s="647"/>
      <c r="AI49" s="648"/>
      <c r="AJ49" s="763"/>
      <c r="AK49" s="764"/>
      <c r="AL49" s="627"/>
      <c r="AM49" s="627"/>
      <c r="AN49" s="627"/>
      <c r="AO49" s="627"/>
      <c r="AP49" s="627"/>
      <c r="AQ49" s="627"/>
      <c r="AR49" s="627"/>
      <c r="AS49" s="627"/>
      <c r="AT49" s="627"/>
      <c r="AU49" s="627"/>
      <c r="AV49" s="627"/>
      <c r="AW49" s="627"/>
      <c r="AX49" s="628"/>
      <c r="AY49" s="629"/>
    </row>
    <row r="50" spans="2:51" ht="15" customHeight="1" x14ac:dyDescent="0.25">
      <c r="B50" s="554"/>
      <c r="C50" s="555"/>
      <c r="D50" s="556"/>
      <c r="E50" s="544"/>
      <c r="F50" s="485"/>
      <c r="G50" s="485"/>
      <c r="H50" s="485"/>
      <c r="I50" s="545"/>
      <c r="J50" s="741" t="s">
        <v>247</v>
      </c>
      <c r="K50" s="742"/>
      <c r="L50" s="742"/>
      <c r="M50" s="742"/>
      <c r="N50" s="742"/>
      <c r="O50" s="743"/>
      <c r="P50" s="736" t="s">
        <v>248</v>
      </c>
      <c r="Q50" s="581" t="s">
        <v>249</v>
      </c>
      <c r="R50" s="583"/>
      <c r="S50" s="633" t="s">
        <v>180</v>
      </c>
      <c r="T50" s="631">
        <v>1</v>
      </c>
      <c r="V50" s="72"/>
      <c r="W50" s="72"/>
      <c r="X50" s="72"/>
      <c r="Y50" s="72"/>
      <c r="Z50" s="72"/>
      <c r="AA50" s="112"/>
      <c r="AB50" s="72"/>
      <c r="AC50" s="72"/>
      <c r="AD50" s="72"/>
      <c r="AE50" s="72"/>
      <c r="AF50" s="72"/>
      <c r="AG50" s="167"/>
      <c r="AH50" s="645" t="s">
        <v>250</v>
      </c>
      <c r="AI50" s="646"/>
      <c r="AJ50" s="761"/>
      <c r="AK50" s="762"/>
      <c r="AL50" s="627" t="str">
        <f t="shared" ref="AL50:AW50" si="20">IF((V51="CUMPLIDO"),"1","0")</f>
        <v>0</v>
      </c>
      <c r="AM50" s="627" t="str">
        <f t="shared" si="20"/>
        <v>0</v>
      </c>
      <c r="AN50" s="627" t="str">
        <f t="shared" si="20"/>
        <v>0</v>
      </c>
      <c r="AO50" s="627" t="str">
        <f t="shared" si="20"/>
        <v>0</v>
      </c>
      <c r="AP50" s="627" t="str">
        <f t="shared" si="20"/>
        <v>0</v>
      </c>
      <c r="AQ50" s="627" t="str">
        <f t="shared" si="20"/>
        <v>0</v>
      </c>
      <c r="AR50" s="627" t="str">
        <f t="shared" si="20"/>
        <v>0</v>
      </c>
      <c r="AS50" s="627" t="str">
        <f t="shared" si="20"/>
        <v>0</v>
      </c>
      <c r="AT50" s="627" t="str">
        <f t="shared" si="20"/>
        <v>0</v>
      </c>
      <c r="AU50" s="627" t="str">
        <f t="shared" si="20"/>
        <v>0</v>
      </c>
      <c r="AV50" s="627" t="str">
        <f t="shared" si="20"/>
        <v>0</v>
      </c>
      <c r="AW50" s="627" t="str">
        <f t="shared" si="20"/>
        <v>0</v>
      </c>
      <c r="AX50" s="628">
        <f>SUM(AL50+AM50+AN50+AO50+AP50+AQ50+AR50+AS50+AT50+AU50+AV50+AW50)</f>
        <v>0</v>
      </c>
      <c r="AY50" s="629">
        <f>AX50/1</f>
        <v>0</v>
      </c>
    </row>
    <row r="51" spans="2:51" ht="15" customHeight="1" x14ac:dyDescent="0.25">
      <c r="B51" s="554"/>
      <c r="C51" s="555"/>
      <c r="D51" s="556"/>
      <c r="E51" s="546"/>
      <c r="F51" s="547"/>
      <c r="G51" s="547"/>
      <c r="H51" s="547"/>
      <c r="I51" s="548"/>
      <c r="J51" s="744"/>
      <c r="K51" s="745"/>
      <c r="L51" s="745"/>
      <c r="M51" s="745"/>
      <c r="N51" s="745"/>
      <c r="O51" s="746"/>
      <c r="P51" s="737"/>
      <c r="Q51" s="664"/>
      <c r="R51" s="665"/>
      <c r="S51" s="634"/>
      <c r="T51" s="632"/>
      <c r="V51" s="97"/>
      <c r="W51" s="97"/>
      <c r="X51" s="97"/>
      <c r="Y51" s="97"/>
      <c r="Z51" s="97"/>
      <c r="AA51" s="136" t="s">
        <v>516</v>
      </c>
      <c r="AB51" s="97"/>
      <c r="AC51" s="97"/>
      <c r="AD51" s="97"/>
      <c r="AE51" s="97"/>
      <c r="AF51" s="97"/>
      <c r="AG51" s="165"/>
      <c r="AH51" s="647"/>
      <c r="AI51" s="648"/>
      <c r="AJ51" s="763"/>
      <c r="AK51" s="764"/>
      <c r="AL51" s="627"/>
      <c r="AM51" s="627"/>
      <c r="AN51" s="627"/>
      <c r="AO51" s="627"/>
      <c r="AP51" s="627"/>
      <c r="AQ51" s="627"/>
      <c r="AR51" s="627"/>
      <c r="AS51" s="627"/>
      <c r="AT51" s="627"/>
      <c r="AU51" s="627"/>
      <c r="AV51" s="627"/>
      <c r="AW51" s="627"/>
      <c r="AX51" s="628"/>
      <c r="AY51" s="629"/>
    </row>
    <row r="52" spans="2:51" ht="15" customHeight="1" x14ac:dyDescent="0.25">
      <c r="B52" s="554"/>
      <c r="C52" s="555"/>
      <c r="D52" s="556"/>
      <c r="E52" s="541" t="s">
        <v>43</v>
      </c>
      <c r="F52" s="542"/>
      <c r="G52" s="542"/>
      <c r="H52" s="542"/>
      <c r="I52" s="543"/>
      <c r="J52" s="741" t="s">
        <v>251</v>
      </c>
      <c r="K52" s="742"/>
      <c r="L52" s="742"/>
      <c r="M52" s="742"/>
      <c r="N52" s="742"/>
      <c r="O52" s="743"/>
      <c r="P52" s="736" t="s">
        <v>252</v>
      </c>
      <c r="Q52" s="654" t="s">
        <v>253</v>
      </c>
      <c r="R52" s="655"/>
      <c r="S52" s="633" t="s">
        <v>180</v>
      </c>
      <c r="T52" s="631">
        <v>12</v>
      </c>
      <c r="V52" s="112"/>
      <c r="W52" s="112"/>
      <c r="X52" s="112"/>
      <c r="Y52" s="112"/>
      <c r="Z52" s="112"/>
      <c r="AA52" s="112"/>
      <c r="AB52" s="112"/>
      <c r="AC52" s="112"/>
      <c r="AD52" s="112"/>
      <c r="AE52" s="112"/>
      <c r="AF52" s="112"/>
      <c r="AG52" s="112"/>
      <c r="AH52" s="645" t="s">
        <v>243</v>
      </c>
      <c r="AI52" s="646"/>
      <c r="AJ52" s="761"/>
      <c r="AK52" s="762"/>
      <c r="AL52" s="627" t="str">
        <f t="shared" ref="AL52:AW52" si="21">IF((V53="CUMPLIDO"),"1","0")</f>
        <v>1</v>
      </c>
      <c r="AM52" s="627" t="str">
        <f t="shared" si="21"/>
        <v>1</v>
      </c>
      <c r="AN52" s="627" t="str">
        <f t="shared" si="21"/>
        <v>1</v>
      </c>
      <c r="AO52" s="627" t="str">
        <f t="shared" si="21"/>
        <v>1</v>
      </c>
      <c r="AP52" s="627" t="str">
        <f t="shared" si="21"/>
        <v>1</v>
      </c>
      <c r="AQ52" s="627" t="str">
        <f t="shared" si="21"/>
        <v>0</v>
      </c>
      <c r="AR52" s="627" t="str">
        <f t="shared" si="21"/>
        <v>0</v>
      </c>
      <c r="AS52" s="627" t="str">
        <f t="shared" si="21"/>
        <v>0</v>
      </c>
      <c r="AT52" s="627" t="str">
        <f t="shared" si="21"/>
        <v>0</v>
      </c>
      <c r="AU52" s="627" t="str">
        <f t="shared" si="21"/>
        <v>0</v>
      </c>
      <c r="AV52" s="627" t="str">
        <f t="shared" si="21"/>
        <v>0</v>
      </c>
      <c r="AW52" s="627" t="str">
        <f t="shared" si="21"/>
        <v>0</v>
      </c>
      <c r="AX52" s="628">
        <f>SUM(AL52+AM52+AN52+AO52+AP52+AQ52+AR52+AS52+AT52+AU52+AV52+AW52)</f>
        <v>5</v>
      </c>
      <c r="AY52" s="629">
        <f>AX52/12</f>
        <v>0.41666666666666669</v>
      </c>
    </row>
    <row r="53" spans="2:51" ht="15" customHeight="1" x14ac:dyDescent="0.25">
      <c r="B53" s="554"/>
      <c r="C53" s="555"/>
      <c r="D53" s="556"/>
      <c r="E53" s="544"/>
      <c r="F53" s="485"/>
      <c r="G53" s="485"/>
      <c r="H53" s="485"/>
      <c r="I53" s="545"/>
      <c r="J53" s="744"/>
      <c r="K53" s="745"/>
      <c r="L53" s="745"/>
      <c r="M53" s="745"/>
      <c r="N53" s="745"/>
      <c r="O53" s="746"/>
      <c r="P53" s="737"/>
      <c r="Q53" s="656"/>
      <c r="R53" s="657"/>
      <c r="S53" s="634"/>
      <c r="T53" s="632"/>
      <c r="V53" s="136" t="s">
        <v>522</v>
      </c>
      <c r="W53" s="136" t="s">
        <v>522</v>
      </c>
      <c r="X53" s="136" t="s">
        <v>522</v>
      </c>
      <c r="Y53" s="136" t="s">
        <v>522</v>
      </c>
      <c r="Z53" s="136" t="s">
        <v>522</v>
      </c>
      <c r="AA53" s="136" t="s">
        <v>516</v>
      </c>
      <c r="AB53" s="136" t="s">
        <v>516</v>
      </c>
      <c r="AC53" s="136" t="s">
        <v>516</v>
      </c>
      <c r="AD53" s="136" t="s">
        <v>516</v>
      </c>
      <c r="AE53" s="136" t="s">
        <v>516</v>
      </c>
      <c r="AF53" s="136" t="s">
        <v>516</v>
      </c>
      <c r="AG53" s="136" t="s">
        <v>516</v>
      </c>
      <c r="AH53" s="647"/>
      <c r="AI53" s="648"/>
      <c r="AJ53" s="763"/>
      <c r="AK53" s="764"/>
      <c r="AL53" s="627"/>
      <c r="AM53" s="627"/>
      <c r="AN53" s="627"/>
      <c r="AO53" s="627"/>
      <c r="AP53" s="627"/>
      <c r="AQ53" s="627"/>
      <c r="AR53" s="627"/>
      <c r="AS53" s="627"/>
      <c r="AT53" s="627"/>
      <c r="AU53" s="627"/>
      <c r="AV53" s="627"/>
      <c r="AW53" s="627"/>
      <c r="AX53" s="628"/>
      <c r="AY53" s="629"/>
    </row>
    <row r="54" spans="2:51" ht="15" customHeight="1" x14ac:dyDescent="0.25">
      <c r="B54" s="554"/>
      <c r="C54" s="555"/>
      <c r="D54" s="556"/>
      <c r="E54" s="544"/>
      <c r="F54" s="485"/>
      <c r="G54" s="485"/>
      <c r="H54" s="485"/>
      <c r="I54" s="545"/>
      <c r="J54" s="747" t="s">
        <v>255</v>
      </c>
      <c r="K54" s="748"/>
      <c r="L54" s="748"/>
      <c r="M54" s="748"/>
      <c r="N54" s="748"/>
      <c r="O54" s="749"/>
      <c r="P54" s="736" t="s">
        <v>194</v>
      </c>
      <c r="Q54" s="654" t="s">
        <v>256</v>
      </c>
      <c r="R54" s="655"/>
      <c r="S54" s="633" t="s">
        <v>180</v>
      </c>
      <c r="T54" s="631">
        <v>1</v>
      </c>
      <c r="V54" s="164"/>
      <c r="W54" s="112"/>
      <c r="X54" s="164"/>
      <c r="Y54" s="164"/>
      <c r="Z54" s="164"/>
      <c r="AA54" s="164"/>
      <c r="AB54" s="164"/>
      <c r="AC54" s="164"/>
      <c r="AD54" s="164"/>
      <c r="AE54" s="164"/>
      <c r="AF54" s="164"/>
      <c r="AG54" s="165"/>
      <c r="AH54" s="645" t="s">
        <v>257</v>
      </c>
      <c r="AI54" s="646"/>
      <c r="AJ54" s="761"/>
      <c r="AK54" s="762"/>
      <c r="AL54" s="627" t="str">
        <f t="shared" ref="AL54:AW54" si="22">IF((V55="CUMPLIDO"),"1","0")</f>
        <v>0</v>
      </c>
      <c r="AM54" s="627" t="str">
        <f t="shared" si="22"/>
        <v>1</v>
      </c>
      <c r="AN54" s="627" t="str">
        <f t="shared" si="22"/>
        <v>0</v>
      </c>
      <c r="AO54" s="627" t="str">
        <f t="shared" si="22"/>
        <v>0</v>
      </c>
      <c r="AP54" s="627" t="str">
        <f t="shared" si="22"/>
        <v>0</v>
      </c>
      <c r="AQ54" s="627" t="str">
        <f t="shared" si="22"/>
        <v>0</v>
      </c>
      <c r="AR54" s="627" t="str">
        <f t="shared" si="22"/>
        <v>0</v>
      </c>
      <c r="AS54" s="627" t="str">
        <f t="shared" si="22"/>
        <v>0</v>
      </c>
      <c r="AT54" s="627" t="str">
        <f t="shared" si="22"/>
        <v>0</v>
      </c>
      <c r="AU54" s="627" t="str">
        <f t="shared" si="22"/>
        <v>0</v>
      </c>
      <c r="AV54" s="627" t="str">
        <f t="shared" si="22"/>
        <v>0</v>
      </c>
      <c r="AW54" s="627" t="str">
        <f t="shared" si="22"/>
        <v>0</v>
      </c>
      <c r="AX54" s="628">
        <f>SUM(AL54+AM54+AN54+AO54+AP54+AQ54+AR54+AS54+AT54+AU54+AV54+AW54)</f>
        <v>1</v>
      </c>
      <c r="AY54" s="629">
        <f>AX54/1</f>
        <v>1</v>
      </c>
    </row>
    <row r="55" spans="2:51" ht="15" customHeight="1" x14ac:dyDescent="0.25">
      <c r="B55" s="557"/>
      <c r="C55" s="558"/>
      <c r="D55" s="559"/>
      <c r="E55" s="546"/>
      <c r="F55" s="547"/>
      <c r="G55" s="547"/>
      <c r="H55" s="547"/>
      <c r="I55" s="548"/>
      <c r="J55" s="750"/>
      <c r="K55" s="751"/>
      <c r="L55" s="751"/>
      <c r="M55" s="751"/>
      <c r="N55" s="751"/>
      <c r="O55" s="752"/>
      <c r="P55" s="737"/>
      <c r="Q55" s="656"/>
      <c r="R55" s="657"/>
      <c r="S55" s="634"/>
      <c r="T55" s="632"/>
      <c r="V55" s="164"/>
      <c r="W55" s="136" t="s">
        <v>522</v>
      </c>
      <c r="X55" s="164"/>
      <c r="Y55" s="164"/>
      <c r="Z55" s="164"/>
      <c r="AA55" s="164"/>
      <c r="AB55" s="164"/>
      <c r="AC55" s="164"/>
      <c r="AD55" s="164"/>
      <c r="AE55" s="164"/>
      <c r="AF55" s="164"/>
      <c r="AG55" s="165"/>
      <c r="AH55" s="647"/>
      <c r="AI55" s="648"/>
      <c r="AJ55" s="763"/>
      <c r="AK55" s="764"/>
      <c r="AL55" s="627"/>
      <c r="AM55" s="627"/>
      <c r="AN55" s="627"/>
      <c r="AO55" s="627"/>
      <c r="AP55" s="627"/>
      <c r="AQ55" s="627"/>
      <c r="AR55" s="627"/>
      <c r="AS55" s="627"/>
      <c r="AT55" s="627"/>
      <c r="AU55" s="627"/>
      <c r="AV55" s="627"/>
      <c r="AW55" s="627"/>
      <c r="AX55" s="628"/>
      <c r="AY55" s="629"/>
    </row>
    <row r="56" spans="2:51" ht="15" customHeight="1" x14ac:dyDescent="0.25">
      <c r="B56" s="505" t="s">
        <v>34</v>
      </c>
      <c r="C56" s="506"/>
      <c r="D56" s="677"/>
      <c r="E56" s="542" t="s">
        <v>44</v>
      </c>
      <c r="F56" s="542"/>
      <c r="G56" s="542"/>
      <c r="H56" s="542"/>
      <c r="I56" s="543"/>
      <c r="J56" s="741" t="s">
        <v>128</v>
      </c>
      <c r="K56" s="742"/>
      <c r="L56" s="742"/>
      <c r="M56" s="742"/>
      <c r="N56" s="742"/>
      <c r="O56" s="743"/>
      <c r="P56" s="736" t="s">
        <v>212</v>
      </c>
      <c r="Q56" s="581" t="s">
        <v>268</v>
      </c>
      <c r="R56" s="583"/>
      <c r="S56" s="633" t="s">
        <v>180</v>
      </c>
      <c r="T56" s="631">
        <v>1</v>
      </c>
      <c r="V56" s="72"/>
      <c r="W56" s="72"/>
      <c r="X56" s="72"/>
      <c r="Y56" s="72"/>
      <c r="Z56" s="72"/>
      <c r="AA56" s="112"/>
      <c r="AB56" s="72"/>
      <c r="AC56" s="72"/>
      <c r="AD56" s="72"/>
      <c r="AE56" s="72"/>
      <c r="AF56" s="72"/>
      <c r="AG56" s="165"/>
      <c r="AH56" s="645" t="s">
        <v>269</v>
      </c>
      <c r="AI56" s="646"/>
      <c r="AJ56" s="761"/>
      <c r="AK56" s="762"/>
      <c r="AL56" s="627" t="str">
        <f t="shared" ref="AL56:AW56" si="23">IF((V57="CUMPLIDO"),"1","0")</f>
        <v>0</v>
      </c>
      <c r="AM56" s="627" t="str">
        <f t="shared" si="23"/>
        <v>0</v>
      </c>
      <c r="AN56" s="627" t="str">
        <f t="shared" si="23"/>
        <v>0</v>
      </c>
      <c r="AO56" s="627" t="str">
        <f t="shared" si="23"/>
        <v>0</v>
      </c>
      <c r="AP56" s="627" t="str">
        <f t="shared" si="23"/>
        <v>0</v>
      </c>
      <c r="AQ56" s="627" t="str">
        <f t="shared" si="23"/>
        <v>1</v>
      </c>
      <c r="AR56" s="627" t="str">
        <f t="shared" si="23"/>
        <v>0</v>
      </c>
      <c r="AS56" s="627" t="str">
        <f t="shared" si="23"/>
        <v>0</v>
      </c>
      <c r="AT56" s="627" t="str">
        <f t="shared" si="23"/>
        <v>0</v>
      </c>
      <c r="AU56" s="627" t="str">
        <f t="shared" si="23"/>
        <v>0</v>
      </c>
      <c r="AV56" s="627" t="str">
        <f t="shared" si="23"/>
        <v>0</v>
      </c>
      <c r="AW56" s="627" t="str">
        <f t="shared" si="23"/>
        <v>0</v>
      </c>
      <c r="AX56" s="628">
        <f>SUM(AL56+AM56+AN56+AO56+AP56+AQ56+AR56+AS56+AT56+AU56+AV56+AW56)</f>
        <v>1</v>
      </c>
      <c r="AY56" s="629">
        <f>AX56/1</f>
        <v>1</v>
      </c>
    </row>
    <row r="57" spans="2:51" ht="15" customHeight="1" x14ac:dyDescent="0.25">
      <c r="B57" s="508"/>
      <c r="C57" s="509"/>
      <c r="D57" s="678"/>
      <c r="E57" s="485"/>
      <c r="F57" s="485"/>
      <c r="G57" s="485"/>
      <c r="H57" s="485"/>
      <c r="I57" s="545"/>
      <c r="J57" s="744"/>
      <c r="K57" s="745"/>
      <c r="L57" s="745"/>
      <c r="M57" s="745"/>
      <c r="N57" s="745"/>
      <c r="O57" s="746"/>
      <c r="P57" s="737"/>
      <c r="Q57" s="664"/>
      <c r="R57" s="665"/>
      <c r="S57" s="634"/>
      <c r="T57" s="632"/>
      <c r="V57" s="97"/>
      <c r="W57" s="97"/>
      <c r="X57" s="97"/>
      <c r="Y57" s="97"/>
      <c r="Z57" s="97"/>
      <c r="AA57" s="136" t="s">
        <v>522</v>
      </c>
      <c r="AB57" s="97"/>
      <c r="AC57" s="97"/>
      <c r="AD57" s="97"/>
      <c r="AE57" s="97"/>
      <c r="AF57" s="97"/>
      <c r="AG57" s="165"/>
      <c r="AH57" s="647"/>
      <c r="AI57" s="648"/>
      <c r="AJ57" s="763"/>
      <c r="AK57" s="764"/>
      <c r="AL57" s="627"/>
      <c r="AM57" s="627"/>
      <c r="AN57" s="627"/>
      <c r="AO57" s="627"/>
      <c r="AP57" s="627"/>
      <c r="AQ57" s="627"/>
      <c r="AR57" s="627"/>
      <c r="AS57" s="627"/>
      <c r="AT57" s="627"/>
      <c r="AU57" s="627"/>
      <c r="AV57" s="627"/>
      <c r="AW57" s="627"/>
      <c r="AX57" s="628"/>
      <c r="AY57" s="629"/>
    </row>
    <row r="58" spans="2:51" ht="15" customHeight="1" x14ac:dyDescent="0.25">
      <c r="B58" s="508"/>
      <c r="C58" s="509"/>
      <c r="D58" s="678"/>
      <c r="E58" s="485"/>
      <c r="F58" s="485"/>
      <c r="G58" s="485"/>
      <c r="H58" s="485"/>
      <c r="I58" s="545"/>
      <c r="J58" s="741" t="s">
        <v>258</v>
      </c>
      <c r="K58" s="742"/>
      <c r="L58" s="742"/>
      <c r="M58" s="742"/>
      <c r="N58" s="742"/>
      <c r="O58" s="743"/>
      <c r="P58" s="736" t="s">
        <v>194</v>
      </c>
      <c r="Q58" s="654" t="s">
        <v>259</v>
      </c>
      <c r="R58" s="655"/>
      <c r="S58" s="633" t="s">
        <v>180</v>
      </c>
      <c r="T58" s="631">
        <v>1</v>
      </c>
      <c r="V58" s="164"/>
      <c r="W58" s="164"/>
      <c r="X58" s="112"/>
      <c r="Y58" s="164"/>
      <c r="Z58" s="164"/>
      <c r="AA58" s="164"/>
      <c r="AB58" s="164"/>
      <c r="AC58" s="164"/>
      <c r="AD58" s="164"/>
      <c r="AE58" s="164"/>
      <c r="AF58" s="164"/>
      <c r="AG58" s="165"/>
      <c r="AH58" s="645" t="s">
        <v>260</v>
      </c>
      <c r="AI58" s="646"/>
      <c r="AJ58" s="761"/>
      <c r="AK58" s="762"/>
      <c r="AL58" s="627" t="str">
        <f t="shared" ref="AL58:AW58" si="24">IF((V59="CUMPLIDO"),"1","0")</f>
        <v>0</v>
      </c>
      <c r="AM58" s="627" t="str">
        <f t="shared" si="24"/>
        <v>0</v>
      </c>
      <c r="AN58" s="627" t="str">
        <f t="shared" si="24"/>
        <v>1</v>
      </c>
      <c r="AO58" s="627" t="str">
        <f t="shared" si="24"/>
        <v>0</v>
      </c>
      <c r="AP58" s="627" t="str">
        <f t="shared" si="24"/>
        <v>0</v>
      </c>
      <c r="AQ58" s="627" t="str">
        <f t="shared" si="24"/>
        <v>0</v>
      </c>
      <c r="AR58" s="627" t="str">
        <f t="shared" si="24"/>
        <v>0</v>
      </c>
      <c r="AS58" s="627" t="str">
        <f t="shared" si="24"/>
        <v>0</v>
      </c>
      <c r="AT58" s="627" t="str">
        <f t="shared" si="24"/>
        <v>0</v>
      </c>
      <c r="AU58" s="627" t="str">
        <f t="shared" si="24"/>
        <v>0</v>
      </c>
      <c r="AV58" s="627" t="str">
        <f t="shared" si="24"/>
        <v>0</v>
      </c>
      <c r="AW58" s="627" t="str">
        <f t="shared" si="24"/>
        <v>0</v>
      </c>
      <c r="AX58" s="628">
        <f>SUM(AL58+AM58+AN58+AO58+AP58+AQ58+AR58+AS58+AT58+AU58+AV58+AW58)</f>
        <v>1</v>
      </c>
      <c r="AY58" s="629">
        <f>AX58/1</f>
        <v>1</v>
      </c>
    </row>
    <row r="59" spans="2:51" ht="15" customHeight="1" x14ac:dyDescent="0.25">
      <c r="B59" s="508"/>
      <c r="C59" s="509"/>
      <c r="D59" s="678"/>
      <c r="E59" s="485"/>
      <c r="F59" s="485"/>
      <c r="G59" s="485"/>
      <c r="H59" s="485"/>
      <c r="I59" s="545"/>
      <c r="J59" s="744"/>
      <c r="K59" s="745"/>
      <c r="L59" s="745"/>
      <c r="M59" s="745"/>
      <c r="N59" s="745"/>
      <c r="O59" s="746"/>
      <c r="P59" s="737"/>
      <c r="Q59" s="656"/>
      <c r="R59" s="657"/>
      <c r="S59" s="634"/>
      <c r="T59" s="632"/>
      <c r="V59" s="164"/>
      <c r="W59" s="164"/>
      <c r="X59" s="136" t="s">
        <v>522</v>
      </c>
      <c r="Y59" s="164"/>
      <c r="Z59" s="164"/>
      <c r="AA59" s="164"/>
      <c r="AB59" s="164"/>
      <c r="AC59" s="164"/>
      <c r="AD59" s="164"/>
      <c r="AE59" s="164"/>
      <c r="AF59" s="164"/>
      <c r="AG59" s="165"/>
      <c r="AH59" s="647"/>
      <c r="AI59" s="648"/>
      <c r="AJ59" s="763"/>
      <c r="AK59" s="764"/>
      <c r="AL59" s="627"/>
      <c r="AM59" s="627"/>
      <c r="AN59" s="627"/>
      <c r="AO59" s="627"/>
      <c r="AP59" s="627"/>
      <c r="AQ59" s="627"/>
      <c r="AR59" s="627"/>
      <c r="AS59" s="627"/>
      <c r="AT59" s="627"/>
      <c r="AU59" s="627"/>
      <c r="AV59" s="627"/>
      <c r="AW59" s="627"/>
      <c r="AX59" s="628"/>
      <c r="AY59" s="629"/>
    </row>
    <row r="60" spans="2:51" ht="15" customHeight="1" x14ac:dyDescent="0.25">
      <c r="B60" s="508"/>
      <c r="C60" s="509"/>
      <c r="D60" s="678"/>
      <c r="E60" s="485"/>
      <c r="F60" s="485"/>
      <c r="G60" s="485"/>
      <c r="H60" s="485"/>
      <c r="I60" s="545"/>
      <c r="J60" s="741" t="s">
        <v>261</v>
      </c>
      <c r="K60" s="742"/>
      <c r="L60" s="742"/>
      <c r="M60" s="742"/>
      <c r="N60" s="742"/>
      <c r="O60" s="743"/>
      <c r="P60" s="736" t="s">
        <v>263</v>
      </c>
      <c r="Q60" s="654" t="s">
        <v>264</v>
      </c>
      <c r="R60" s="655"/>
      <c r="S60" s="633" t="s">
        <v>180</v>
      </c>
      <c r="T60" s="631">
        <v>12</v>
      </c>
      <c r="V60" s="112"/>
      <c r="W60" s="112"/>
      <c r="X60" s="112"/>
      <c r="Y60" s="112"/>
      <c r="Z60" s="112"/>
      <c r="AA60" s="112"/>
      <c r="AB60" s="112"/>
      <c r="AC60" s="112"/>
      <c r="AD60" s="112"/>
      <c r="AE60" s="112"/>
      <c r="AF60" s="112"/>
      <c r="AG60" s="168"/>
      <c r="AH60" s="645" t="s">
        <v>265</v>
      </c>
      <c r="AI60" s="646"/>
      <c r="AJ60" s="761"/>
      <c r="AK60" s="762"/>
      <c r="AL60" s="627" t="str">
        <f t="shared" ref="AL60:AW60" si="25">IF((V61="CUMPLIDO"),"1","0")</f>
        <v>1</v>
      </c>
      <c r="AM60" s="627" t="str">
        <f t="shared" si="25"/>
        <v>1</v>
      </c>
      <c r="AN60" s="627" t="str">
        <f t="shared" si="25"/>
        <v>1</v>
      </c>
      <c r="AO60" s="627" t="str">
        <f t="shared" si="25"/>
        <v>1</v>
      </c>
      <c r="AP60" s="627" t="str">
        <f t="shared" si="25"/>
        <v>1</v>
      </c>
      <c r="AQ60" s="627" t="str">
        <f t="shared" si="25"/>
        <v>0</v>
      </c>
      <c r="AR60" s="627" t="str">
        <f t="shared" si="25"/>
        <v>0</v>
      </c>
      <c r="AS60" s="627" t="str">
        <f t="shared" si="25"/>
        <v>0</v>
      </c>
      <c r="AT60" s="627" t="str">
        <f t="shared" si="25"/>
        <v>0</v>
      </c>
      <c r="AU60" s="627" t="str">
        <f t="shared" si="25"/>
        <v>0</v>
      </c>
      <c r="AV60" s="627" t="str">
        <f t="shared" si="25"/>
        <v>0</v>
      </c>
      <c r="AW60" s="627" t="str">
        <f t="shared" si="25"/>
        <v>0</v>
      </c>
      <c r="AX60" s="628">
        <f>SUM(AL60+AM60+AN60+AO60+AP60+AQ60+AR60+AS60+AT60+AU60+AV60+AW60)</f>
        <v>5</v>
      </c>
      <c r="AY60" s="629">
        <f>AX60/12</f>
        <v>0.41666666666666669</v>
      </c>
    </row>
    <row r="61" spans="2:51" ht="15" customHeight="1" x14ac:dyDescent="0.25">
      <c r="B61" s="508"/>
      <c r="C61" s="509"/>
      <c r="D61" s="678"/>
      <c r="E61" s="485"/>
      <c r="F61" s="485"/>
      <c r="G61" s="485"/>
      <c r="H61" s="485"/>
      <c r="I61" s="545"/>
      <c r="J61" s="744"/>
      <c r="K61" s="745"/>
      <c r="L61" s="745"/>
      <c r="M61" s="745"/>
      <c r="N61" s="745"/>
      <c r="O61" s="746"/>
      <c r="P61" s="737"/>
      <c r="Q61" s="656"/>
      <c r="R61" s="657"/>
      <c r="S61" s="634"/>
      <c r="T61" s="632"/>
      <c r="V61" s="136" t="s">
        <v>522</v>
      </c>
      <c r="W61" s="136" t="s">
        <v>522</v>
      </c>
      <c r="X61" s="136" t="s">
        <v>522</v>
      </c>
      <c r="Y61" s="136" t="s">
        <v>522</v>
      </c>
      <c r="Z61" s="136" t="s">
        <v>522</v>
      </c>
      <c r="AA61" s="136" t="s">
        <v>516</v>
      </c>
      <c r="AB61" s="136" t="s">
        <v>516</v>
      </c>
      <c r="AC61" s="136" t="s">
        <v>516</v>
      </c>
      <c r="AD61" s="136" t="s">
        <v>516</v>
      </c>
      <c r="AE61" s="136" t="s">
        <v>516</v>
      </c>
      <c r="AF61" s="136" t="s">
        <v>516</v>
      </c>
      <c r="AG61" s="136" t="s">
        <v>516</v>
      </c>
      <c r="AH61" s="588"/>
      <c r="AI61" s="648"/>
      <c r="AJ61" s="763"/>
      <c r="AK61" s="764"/>
      <c r="AL61" s="627"/>
      <c r="AM61" s="627"/>
      <c r="AN61" s="627"/>
      <c r="AO61" s="627"/>
      <c r="AP61" s="627"/>
      <c r="AQ61" s="627"/>
      <c r="AR61" s="627"/>
      <c r="AS61" s="627"/>
      <c r="AT61" s="627"/>
      <c r="AU61" s="627"/>
      <c r="AV61" s="627"/>
      <c r="AW61" s="627"/>
      <c r="AX61" s="628"/>
      <c r="AY61" s="629"/>
    </row>
    <row r="62" spans="2:51" ht="15" customHeight="1" x14ac:dyDescent="0.25">
      <c r="B62" s="508"/>
      <c r="C62" s="509"/>
      <c r="D62" s="678"/>
      <c r="E62" s="485"/>
      <c r="F62" s="485"/>
      <c r="G62" s="485"/>
      <c r="H62" s="485"/>
      <c r="I62" s="545"/>
      <c r="J62" s="747" t="s">
        <v>262</v>
      </c>
      <c r="K62" s="748"/>
      <c r="L62" s="748"/>
      <c r="M62" s="748"/>
      <c r="N62" s="748"/>
      <c r="O62" s="749"/>
      <c r="P62" s="736" t="s">
        <v>263</v>
      </c>
      <c r="Q62" s="654" t="s">
        <v>266</v>
      </c>
      <c r="R62" s="655"/>
      <c r="S62" s="633" t="s">
        <v>180</v>
      </c>
      <c r="T62" s="631">
        <v>1</v>
      </c>
      <c r="V62" s="164"/>
      <c r="W62" s="112"/>
      <c r="X62" s="164"/>
      <c r="Y62" s="164"/>
      <c r="Z62" s="164"/>
      <c r="AA62" s="164"/>
      <c r="AB62" s="164"/>
      <c r="AC62" s="164"/>
      <c r="AD62" s="164"/>
      <c r="AE62" s="164"/>
      <c r="AF62" s="165"/>
      <c r="AG62" s="170"/>
      <c r="AH62" s="645" t="s">
        <v>267</v>
      </c>
      <c r="AI62" s="646"/>
      <c r="AJ62" s="761"/>
      <c r="AK62" s="762"/>
      <c r="AL62" s="627" t="str">
        <f t="shared" ref="AL62:AW62" si="26">IF((V63="CUMPLIDO"),"1","0")</f>
        <v>0</v>
      </c>
      <c r="AM62" s="627" t="str">
        <f t="shared" si="26"/>
        <v>0</v>
      </c>
      <c r="AN62" s="627" t="str">
        <f t="shared" si="26"/>
        <v>0</v>
      </c>
      <c r="AO62" s="627" t="str">
        <f t="shared" si="26"/>
        <v>0</v>
      </c>
      <c r="AP62" s="627" t="str">
        <f t="shared" si="26"/>
        <v>0</v>
      </c>
      <c r="AQ62" s="627" t="str">
        <f t="shared" si="26"/>
        <v>0</v>
      </c>
      <c r="AR62" s="627" t="str">
        <f t="shared" si="26"/>
        <v>0</v>
      </c>
      <c r="AS62" s="627" t="str">
        <f t="shared" si="26"/>
        <v>0</v>
      </c>
      <c r="AT62" s="627" t="str">
        <f t="shared" si="26"/>
        <v>0</v>
      </c>
      <c r="AU62" s="627" t="str">
        <f t="shared" si="26"/>
        <v>0</v>
      </c>
      <c r="AV62" s="627" t="str">
        <f t="shared" si="26"/>
        <v>0</v>
      </c>
      <c r="AW62" s="627" t="str">
        <f t="shared" si="26"/>
        <v>0</v>
      </c>
      <c r="AX62" s="628">
        <f>SUM(AL62+AM62+AN62+AO62+AP62+AQ62+AR62+AS62+AT62+AU62+AV62+AW62)</f>
        <v>0</v>
      </c>
      <c r="AY62" s="629">
        <f>AX62/1</f>
        <v>0</v>
      </c>
    </row>
    <row r="63" spans="2:51" ht="15" customHeight="1" x14ac:dyDescent="0.25">
      <c r="B63" s="508"/>
      <c r="C63" s="509"/>
      <c r="D63" s="678"/>
      <c r="E63" s="485"/>
      <c r="F63" s="485"/>
      <c r="G63" s="485"/>
      <c r="H63" s="485"/>
      <c r="I63" s="545"/>
      <c r="J63" s="750"/>
      <c r="K63" s="751"/>
      <c r="L63" s="751"/>
      <c r="M63" s="751"/>
      <c r="N63" s="751"/>
      <c r="O63" s="752"/>
      <c r="P63" s="737"/>
      <c r="Q63" s="656"/>
      <c r="R63" s="657"/>
      <c r="S63" s="634"/>
      <c r="T63" s="632"/>
      <c r="V63" s="164"/>
      <c r="W63" s="136" t="s">
        <v>516</v>
      </c>
      <c r="X63" s="164"/>
      <c r="Y63" s="164"/>
      <c r="Z63" s="164"/>
      <c r="AA63" s="164"/>
      <c r="AB63" s="164"/>
      <c r="AC63" s="164"/>
      <c r="AD63" s="164"/>
      <c r="AE63" s="164"/>
      <c r="AF63" s="165"/>
      <c r="AG63" s="171"/>
      <c r="AH63" s="647"/>
      <c r="AI63" s="648"/>
      <c r="AJ63" s="763"/>
      <c r="AK63" s="764"/>
      <c r="AL63" s="627"/>
      <c r="AM63" s="627"/>
      <c r="AN63" s="627"/>
      <c r="AO63" s="627"/>
      <c r="AP63" s="627"/>
      <c r="AQ63" s="627"/>
      <c r="AR63" s="627"/>
      <c r="AS63" s="627"/>
      <c r="AT63" s="627"/>
      <c r="AU63" s="627"/>
      <c r="AV63" s="627"/>
      <c r="AW63" s="627"/>
      <c r="AX63" s="628"/>
      <c r="AY63" s="629"/>
    </row>
    <row r="64" spans="2:51" ht="15" customHeight="1" x14ac:dyDescent="0.25">
      <c r="B64" s="508"/>
      <c r="C64" s="509"/>
      <c r="D64" s="678"/>
      <c r="E64" s="485"/>
      <c r="F64" s="485"/>
      <c r="G64" s="485"/>
      <c r="H64" s="485"/>
      <c r="I64" s="545"/>
      <c r="J64" s="741" t="s">
        <v>270</v>
      </c>
      <c r="K64" s="742"/>
      <c r="L64" s="742"/>
      <c r="M64" s="742"/>
      <c r="N64" s="742"/>
      <c r="O64" s="743"/>
      <c r="P64" s="736" t="s">
        <v>212</v>
      </c>
      <c r="Q64" s="654" t="s">
        <v>271</v>
      </c>
      <c r="R64" s="655"/>
      <c r="S64" s="633" t="s">
        <v>180</v>
      </c>
      <c r="T64" s="631">
        <v>6</v>
      </c>
      <c r="V64" s="112"/>
      <c r="W64" s="112"/>
      <c r="X64" s="112"/>
      <c r="Y64" s="112"/>
      <c r="Z64" s="112"/>
      <c r="AA64" s="112"/>
      <c r="AB64" s="97"/>
      <c r="AC64" s="97"/>
      <c r="AD64" s="97"/>
      <c r="AE64" s="97"/>
      <c r="AF64" s="97"/>
      <c r="AG64" s="165"/>
      <c r="AH64" s="645" t="s">
        <v>272</v>
      </c>
      <c r="AI64" s="646"/>
      <c r="AJ64" s="761"/>
      <c r="AK64" s="762"/>
      <c r="AL64" s="627" t="str">
        <f t="shared" ref="AL64:AW64" si="27">IF((V65="CUMPLIDO"),"1","0")</f>
        <v>1</v>
      </c>
      <c r="AM64" s="627" t="str">
        <f t="shared" si="27"/>
        <v>1</v>
      </c>
      <c r="AN64" s="627" t="str">
        <f t="shared" si="27"/>
        <v>1</v>
      </c>
      <c r="AO64" s="627" t="str">
        <f t="shared" si="27"/>
        <v>1</v>
      </c>
      <c r="AP64" s="627" t="str">
        <f t="shared" si="27"/>
        <v>1</v>
      </c>
      <c r="AQ64" s="627" t="str">
        <f t="shared" si="27"/>
        <v>0</v>
      </c>
      <c r="AR64" s="627" t="str">
        <f t="shared" si="27"/>
        <v>0</v>
      </c>
      <c r="AS64" s="627" t="str">
        <f t="shared" si="27"/>
        <v>0</v>
      </c>
      <c r="AT64" s="627" t="str">
        <f t="shared" si="27"/>
        <v>0</v>
      </c>
      <c r="AU64" s="627" t="str">
        <f t="shared" si="27"/>
        <v>0</v>
      </c>
      <c r="AV64" s="627" t="str">
        <f t="shared" si="27"/>
        <v>0</v>
      </c>
      <c r="AW64" s="627" t="str">
        <f t="shared" si="27"/>
        <v>0</v>
      </c>
      <c r="AX64" s="628">
        <f>SUM(AL64+AM64+AN64+AO64+AP64+AQ64+AR64+AS64+AT64+AU64+AV64+AW64)</f>
        <v>5</v>
      </c>
      <c r="AY64" s="629">
        <f>AX64/6</f>
        <v>0.83333333333333337</v>
      </c>
    </row>
    <row r="65" spans="2:51" ht="15" customHeight="1" x14ac:dyDescent="0.25">
      <c r="B65" s="508"/>
      <c r="C65" s="509"/>
      <c r="D65" s="678"/>
      <c r="E65" s="547"/>
      <c r="F65" s="547"/>
      <c r="G65" s="547"/>
      <c r="H65" s="547"/>
      <c r="I65" s="548"/>
      <c r="J65" s="744"/>
      <c r="K65" s="745"/>
      <c r="L65" s="745"/>
      <c r="M65" s="745"/>
      <c r="N65" s="745"/>
      <c r="O65" s="746"/>
      <c r="P65" s="737"/>
      <c r="Q65" s="656"/>
      <c r="R65" s="657"/>
      <c r="S65" s="634"/>
      <c r="T65" s="632"/>
      <c r="V65" s="136" t="s">
        <v>522</v>
      </c>
      <c r="W65" s="136" t="s">
        <v>522</v>
      </c>
      <c r="X65" s="136" t="s">
        <v>522</v>
      </c>
      <c r="Y65" s="136" t="s">
        <v>522</v>
      </c>
      <c r="Z65" s="136" t="s">
        <v>522</v>
      </c>
      <c r="AA65" s="136" t="s">
        <v>516</v>
      </c>
      <c r="AB65" s="72"/>
      <c r="AC65" s="72"/>
      <c r="AD65" s="72"/>
      <c r="AE65" s="72"/>
      <c r="AF65" s="72"/>
      <c r="AG65" s="165"/>
      <c r="AH65" s="647"/>
      <c r="AI65" s="648"/>
      <c r="AJ65" s="763"/>
      <c r="AK65" s="764"/>
      <c r="AL65" s="627"/>
      <c r="AM65" s="627"/>
      <c r="AN65" s="627"/>
      <c r="AO65" s="627"/>
      <c r="AP65" s="627"/>
      <c r="AQ65" s="627"/>
      <c r="AR65" s="627"/>
      <c r="AS65" s="627"/>
      <c r="AT65" s="627"/>
      <c r="AU65" s="627"/>
      <c r="AV65" s="627"/>
      <c r="AW65" s="627"/>
      <c r="AX65" s="628"/>
      <c r="AY65" s="629"/>
    </row>
    <row r="66" spans="2:51" ht="15" customHeight="1" x14ac:dyDescent="0.25">
      <c r="B66" s="508"/>
      <c r="C66" s="509"/>
      <c r="D66" s="678"/>
      <c r="E66" s="515" t="s">
        <v>274</v>
      </c>
      <c r="F66" s="515"/>
      <c r="G66" s="515"/>
      <c r="H66" s="515"/>
      <c r="I66" s="516"/>
      <c r="J66" s="741" t="s">
        <v>273</v>
      </c>
      <c r="K66" s="742"/>
      <c r="L66" s="742"/>
      <c r="M66" s="742"/>
      <c r="N66" s="742"/>
      <c r="O66" s="743"/>
      <c r="P66" s="736" t="s">
        <v>212</v>
      </c>
      <c r="Q66" s="654" t="s">
        <v>259</v>
      </c>
      <c r="R66" s="655"/>
      <c r="S66" s="633" t="s">
        <v>180</v>
      </c>
      <c r="T66" s="631">
        <v>4</v>
      </c>
      <c r="V66" s="72"/>
      <c r="W66" s="112"/>
      <c r="X66" s="72"/>
      <c r="Y66" s="72"/>
      <c r="Z66" s="112"/>
      <c r="AA66" s="72"/>
      <c r="AB66" s="72"/>
      <c r="AC66" s="112"/>
      <c r="AD66" s="72"/>
      <c r="AE66" s="72"/>
      <c r="AF66" s="112"/>
      <c r="AG66" s="165"/>
      <c r="AH66" s="645" t="s">
        <v>260</v>
      </c>
      <c r="AI66" s="646"/>
      <c r="AJ66" s="761"/>
      <c r="AK66" s="762"/>
      <c r="AL66" s="627" t="str">
        <f t="shared" ref="AL66:AW66" si="28">IF((V67="CUMPLIDO"),"1","0")</f>
        <v>0</v>
      </c>
      <c r="AM66" s="627" t="str">
        <f t="shared" si="28"/>
        <v>1</v>
      </c>
      <c r="AN66" s="627" t="str">
        <f t="shared" si="28"/>
        <v>0</v>
      </c>
      <c r="AO66" s="627" t="str">
        <f t="shared" si="28"/>
        <v>0</v>
      </c>
      <c r="AP66" s="627" t="str">
        <f t="shared" si="28"/>
        <v>1</v>
      </c>
      <c r="AQ66" s="627" t="str">
        <f t="shared" si="28"/>
        <v>0</v>
      </c>
      <c r="AR66" s="627" t="str">
        <f t="shared" si="28"/>
        <v>0</v>
      </c>
      <c r="AS66" s="627" t="str">
        <f t="shared" si="28"/>
        <v>0</v>
      </c>
      <c r="AT66" s="627" t="str">
        <f t="shared" si="28"/>
        <v>0</v>
      </c>
      <c r="AU66" s="627" t="str">
        <f t="shared" si="28"/>
        <v>0</v>
      </c>
      <c r="AV66" s="627" t="str">
        <f t="shared" si="28"/>
        <v>0</v>
      </c>
      <c r="AW66" s="627" t="str">
        <f t="shared" si="28"/>
        <v>0</v>
      </c>
      <c r="AX66" s="628">
        <f>SUM(AL66+AM66+AN66+AO66+AP66+AQ66+AR66+AS66+AT66+AU66+AV66+AW66)</f>
        <v>2</v>
      </c>
      <c r="AY66" s="629">
        <f>AX66/4</f>
        <v>0.5</v>
      </c>
    </row>
    <row r="67" spans="2:51" ht="15" customHeight="1" x14ac:dyDescent="0.25">
      <c r="B67" s="508"/>
      <c r="C67" s="509"/>
      <c r="D67" s="678"/>
      <c r="E67" s="518"/>
      <c r="F67" s="518"/>
      <c r="G67" s="518"/>
      <c r="H67" s="518"/>
      <c r="I67" s="519"/>
      <c r="J67" s="744"/>
      <c r="K67" s="745"/>
      <c r="L67" s="745"/>
      <c r="M67" s="745"/>
      <c r="N67" s="745"/>
      <c r="O67" s="746"/>
      <c r="P67" s="737"/>
      <c r="Q67" s="656"/>
      <c r="R67" s="657"/>
      <c r="S67" s="634"/>
      <c r="T67" s="632"/>
      <c r="V67" s="97"/>
      <c r="W67" s="136" t="s">
        <v>522</v>
      </c>
      <c r="X67" s="97"/>
      <c r="Y67" s="97"/>
      <c r="Z67" s="136" t="s">
        <v>522</v>
      </c>
      <c r="AA67" s="97"/>
      <c r="AB67" s="97"/>
      <c r="AC67" s="136" t="s">
        <v>516</v>
      </c>
      <c r="AD67" s="97"/>
      <c r="AE67" s="97"/>
      <c r="AF67" s="136" t="s">
        <v>516</v>
      </c>
      <c r="AG67" s="165"/>
      <c r="AH67" s="647"/>
      <c r="AI67" s="648"/>
      <c r="AJ67" s="763"/>
      <c r="AK67" s="764"/>
      <c r="AL67" s="627"/>
      <c r="AM67" s="627"/>
      <c r="AN67" s="627"/>
      <c r="AO67" s="627"/>
      <c r="AP67" s="627"/>
      <c r="AQ67" s="627"/>
      <c r="AR67" s="627"/>
      <c r="AS67" s="627"/>
      <c r="AT67" s="627"/>
      <c r="AU67" s="627"/>
      <c r="AV67" s="627"/>
      <c r="AW67" s="627"/>
      <c r="AX67" s="628"/>
      <c r="AY67" s="629"/>
    </row>
    <row r="68" spans="2:51" ht="15" customHeight="1" x14ac:dyDescent="0.25">
      <c r="B68" s="508"/>
      <c r="C68" s="509"/>
      <c r="D68" s="678"/>
      <c r="E68" s="542" t="s">
        <v>45</v>
      </c>
      <c r="F68" s="542"/>
      <c r="G68" s="542"/>
      <c r="H68" s="542"/>
      <c r="I68" s="543"/>
      <c r="J68" s="747" t="s">
        <v>275</v>
      </c>
      <c r="K68" s="748"/>
      <c r="L68" s="748"/>
      <c r="M68" s="748"/>
      <c r="N68" s="748"/>
      <c r="O68" s="749"/>
      <c r="P68" s="736" t="s">
        <v>194</v>
      </c>
      <c r="Q68" s="654" t="s">
        <v>259</v>
      </c>
      <c r="R68" s="655"/>
      <c r="S68" s="633" t="s">
        <v>180</v>
      </c>
      <c r="T68" s="631">
        <v>12</v>
      </c>
      <c r="V68" s="112"/>
      <c r="W68" s="112"/>
      <c r="X68" s="112"/>
      <c r="Y68" s="112"/>
      <c r="Z68" s="112"/>
      <c r="AA68" s="112"/>
      <c r="AB68" s="112"/>
      <c r="AC68" s="112"/>
      <c r="AD68" s="112"/>
      <c r="AE68" s="112"/>
      <c r="AF68" s="112"/>
      <c r="AG68" s="161"/>
      <c r="AH68" s="645" t="s">
        <v>280</v>
      </c>
      <c r="AI68" s="646"/>
      <c r="AJ68" s="761"/>
      <c r="AK68" s="762"/>
      <c r="AL68" s="627" t="str">
        <f t="shared" ref="AL68:AW68" si="29">IF((V69="CUMPLIDO"),"1","0")</f>
        <v>1</v>
      </c>
      <c r="AM68" s="627" t="str">
        <f t="shared" si="29"/>
        <v>1</v>
      </c>
      <c r="AN68" s="627" t="str">
        <f t="shared" si="29"/>
        <v>1</v>
      </c>
      <c r="AO68" s="627" t="str">
        <f t="shared" si="29"/>
        <v>0</v>
      </c>
      <c r="AP68" s="627" t="str">
        <f t="shared" si="29"/>
        <v>0</v>
      </c>
      <c r="AQ68" s="627" t="str">
        <f t="shared" si="29"/>
        <v>0</v>
      </c>
      <c r="AR68" s="627" t="str">
        <f t="shared" si="29"/>
        <v>0</v>
      </c>
      <c r="AS68" s="627" t="str">
        <f t="shared" si="29"/>
        <v>0</v>
      </c>
      <c r="AT68" s="627" t="str">
        <f t="shared" si="29"/>
        <v>0</v>
      </c>
      <c r="AU68" s="627" t="str">
        <f t="shared" si="29"/>
        <v>0</v>
      </c>
      <c r="AV68" s="627" t="str">
        <f t="shared" si="29"/>
        <v>0</v>
      </c>
      <c r="AW68" s="627" t="str">
        <f t="shared" si="29"/>
        <v>0</v>
      </c>
      <c r="AX68" s="628">
        <f>SUM(AL68+AM68+AN68+AO68+AP68+AQ68+AR68+AS68+AT68+AU68+AV68+AW68)</f>
        <v>3</v>
      </c>
      <c r="AY68" s="629">
        <f>AX68/12</f>
        <v>0.25</v>
      </c>
    </row>
    <row r="69" spans="2:51" ht="15" customHeight="1" x14ac:dyDescent="0.25">
      <c r="B69" s="508"/>
      <c r="C69" s="509"/>
      <c r="D69" s="678"/>
      <c r="E69" s="485"/>
      <c r="F69" s="485"/>
      <c r="G69" s="485"/>
      <c r="H69" s="485"/>
      <c r="I69" s="545"/>
      <c r="J69" s="750"/>
      <c r="K69" s="751"/>
      <c r="L69" s="751"/>
      <c r="M69" s="751"/>
      <c r="N69" s="751"/>
      <c r="O69" s="752"/>
      <c r="P69" s="737"/>
      <c r="Q69" s="656"/>
      <c r="R69" s="657"/>
      <c r="S69" s="634"/>
      <c r="T69" s="632"/>
      <c r="V69" s="136" t="s">
        <v>522</v>
      </c>
      <c r="W69" s="136" t="s">
        <v>522</v>
      </c>
      <c r="X69" s="136" t="s">
        <v>522</v>
      </c>
      <c r="Y69" s="136" t="s">
        <v>516</v>
      </c>
      <c r="Z69" s="136" t="s">
        <v>516</v>
      </c>
      <c r="AA69" s="136" t="s">
        <v>516</v>
      </c>
      <c r="AB69" s="136" t="s">
        <v>516</v>
      </c>
      <c r="AC69" s="136" t="s">
        <v>516</v>
      </c>
      <c r="AD69" s="136" t="s">
        <v>516</v>
      </c>
      <c r="AE69" s="136" t="s">
        <v>516</v>
      </c>
      <c r="AF69" s="136" t="s">
        <v>516</v>
      </c>
      <c r="AG69" s="136" t="s">
        <v>516</v>
      </c>
      <c r="AH69" s="647"/>
      <c r="AI69" s="648"/>
      <c r="AJ69" s="763"/>
      <c r="AK69" s="764"/>
      <c r="AL69" s="627"/>
      <c r="AM69" s="627"/>
      <c r="AN69" s="627"/>
      <c r="AO69" s="627"/>
      <c r="AP69" s="627"/>
      <c r="AQ69" s="627"/>
      <c r="AR69" s="627"/>
      <c r="AS69" s="627"/>
      <c r="AT69" s="627"/>
      <c r="AU69" s="627"/>
      <c r="AV69" s="627"/>
      <c r="AW69" s="627"/>
      <c r="AX69" s="628"/>
      <c r="AY69" s="629"/>
    </row>
    <row r="70" spans="2:51" ht="15" customHeight="1" x14ac:dyDescent="0.25">
      <c r="B70" s="508"/>
      <c r="C70" s="509"/>
      <c r="D70" s="678"/>
      <c r="E70" s="485"/>
      <c r="F70" s="485"/>
      <c r="G70" s="485"/>
      <c r="H70" s="485"/>
      <c r="I70" s="545"/>
      <c r="J70" s="741" t="s">
        <v>277</v>
      </c>
      <c r="K70" s="742"/>
      <c r="L70" s="742"/>
      <c r="M70" s="742"/>
      <c r="N70" s="742"/>
      <c r="O70" s="743"/>
      <c r="P70" s="736" t="s">
        <v>194</v>
      </c>
      <c r="Q70" s="581" t="s">
        <v>278</v>
      </c>
      <c r="R70" s="583"/>
      <c r="S70" s="633" t="s">
        <v>180</v>
      </c>
      <c r="T70" s="631">
        <v>1</v>
      </c>
      <c r="V70" s="97"/>
      <c r="W70" s="97"/>
      <c r="X70" s="112"/>
      <c r="Y70" s="97"/>
      <c r="Z70" s="97"/>
      <c r="AA70" s="97"/>
      <c r="AB70" s="97"/>
      <c r="AC70" s="97"/>
      <c r="AD70" s="97"/>
      <c r="AE70" s="97"/>
      <c r="AF70" s="97"/>
      <c r="AG70" s="97"/>
      <c r="AH70" s="645" t="s">
        <v>279</v>
      </c>
      <c r="AI70" s="646"/>
      <c r="AJ70" s="761"/>
      <c r="AK70" s="762"/>
      <c r="AL70" s="627" t="str">
        <f t="shared" ref="AL70:AW70" si="30">IF((V71="CUMPLIDO"),"1","0")</f>
        <v>0</v>
      </c>
      <c r="AM70" s="627" t="str">
        <f t="shared" si="30"/>
        <v>0</v>
      </c>
      <c r="AN70" s="627" t="str">
        <f t="shared" si="30"/>
        <v>1</v>
      </c>
      <c r="AO70" s="627" t="str">
        <f t="shared" si="30"/>
        <v>0</v>
      </c>
      <c r="AP70" s="627" t="str">
        <f t="shared" si="30"/>
        <v>0</v>
      </c>
      <c r="AQ70" s="627" t="str">
        <f t="shared" si="30"/>
        <v>0</v>
      </c>
      <c r="AR70" s="627" t="str">
        <f t="shared" si="30"/>
        <v>0</v>
      </c>
      <c r="AS70" s="627" t="str">
        <f t="shared" si="30"/>
        <v>0</v>
      </c>
      <c r="AT70" s="627" t="str">
        <f t="shared" si="30"/>
        <v>0</v>
      </c>
      <c r="AU70" s="627" t="str">
        <f t="shared" si="30"/>
        <v>0</v>
      </c>
      <c r="AV70" s="627" t="str">
        <f t="shared" si="30"/>
        <v>0</v>
      </c>
      <c r="AW70" s="627" t="str">
        <f t="shared" si="30"/>
        <v>0</v>
      </c>
      <c r="AX70" s="628">
        <f>SUM(AL70+AM70+AN70+AO70+AP70+AQ70+AR70+AS70+AT70+AU70+AV70+AW70)</f>
        <v>1</v>
      </c>
      <c r="AY70" s="629">
        <f>AX70/1</f>
        <v>1</v>
      </c>
    </row>
    <row r="71" spans="2:51" ht="15" customHeight="1" x14ac:dyDescent="0.25">
      <c r="B71" s="508"/>
      <c r="C71" s="509"/>
      <c r="D71" s="678"/>
      <c r="E71" s="485"/>
      <c r="F71" s="485"/>
      <c r="G71" s="485"/>
      <c r="H71" s="485"/>
      <c r="I71" s="545"/>
      <c r="J71" s="744"/>
      <c r="K71" s="745"/>
      <c r="L71" s="745"/>
      <c r="M71" s="745"/>
      <c r="N71" s="745"/>
      <c r="O71" s="746"/>
      <c r="P71" s="737"/>
      <c r="Q71" s="664"/>
      <c r="R71" s="665"/>
      <c r="S71" s="634"/>
      <c r="T71" s="632"/>
      <c r="V71" s="72"/>
      <c r="W71" s="72"/>
      <c r="X71" s="136" t="s">
        <v>522</v>
      </c>
      <c r="Y71" s="72"/>
      <c r="Z71" s="72"/>
      <c r="AA71" s="72"/>
      <c r="AB71" s="72"/>
      <c r="AC71" s="72"/>
      <c r="AD71" s="72"/>
      <c r="AE71" s="72"/>
      <c r="AF71" s="72"/>
      <c r="AG71" s="72"/>
      <c r="AH71" s="647"/>
      <c r="AI71" s="648"/>
      <c r="AJ71" s="763"/>
      <c r="AK71" s="764"/>
      <c r="AL71" s="627"/>
      <c r="AM71" s="627"/>
      <c r="AN71" s="627"/>
      <c r="AO71" s="627"/>
      <c r="AP71" s="627"/>
      <c r="AQ71" s="627"/>
      <c r="AR71" s="627"/>
      <c r="AS71" s="627"/>
      <c r="AT71" s="627"/>
      <c r="AU71" s="627"/>
      <c r="AV71" s="627"/>
      <c r="AW71" s="627"/>
      <c r="AX71" s="628"/>
      <c r="AY71" s="629"/>
    </row>
    <row r="72" spans="2:51" ht="15" customHeight="1" x14ac:dyDescent="0.25">
      <c r="B72" s="508"/>
      <c r="C72" s="509"/>
      <c r="D72" s="678"/>
      <c r="E72" s="485"/>
      <c r="F72" s="485"/>
      <c r="G72" s="485"/>
      <c r="H72" s="485"/>
      <c r="I72" s="545"/>
      <c r="J72" s="741" t="s">
        <v>281</v>
      </c>
      <c r="K72" s="742"/>
      <c r="L72" s="742"/>
      <c r="M72" s="742"/>
      <c r="N72" s="742"/>
      <c r="O72" s="743"/>
      <c r="P72" s="736" t="s">
        <v>212</v>
      </c>
      <c r="Q72" s="581" t="s">
        <v>282</v>
      </c>
      <c r="R72" s="583"/>
      <c r="S72" s="633" t="s">
        <v>180</v>
      </c>
      <c r="T72" s="631">
        <v>12</v>
      </c>
      <c r="V72" s="112"/>
      <c r="W72" s="112"/>
      <c r="X72" s="112"/>
      <c r="Y72" s="112"/>
      <c r="Z72" s="112"/>
      <c r="AA72" s="112"/>
      <c r="AB72" s="112"/>
      <c r="AC72" s="112"/>
      <c r="AD72" s="112"/>
      <c r="AE72" s="112"/>
      <c r="AF72" s="112"/>
      <c r="AG72" s="161"/>
      <c r="AH72" s="645" t="s">
        <v>283</v>
      </c>
      <c r="AI72" s="646"/>
      <c r="AJ72" s="761"/>
      <c r="AK72" s="762"/>
      <c r="AL72" s="627" t="str">
        <f t="shared" ref="AL72:AW72" si="31">IF((V73="CUMPLIDO"),"1","0")</f>
        <v>1</v>
      </c>
      <c r="AM72" s="627" t="str">
        <f t="shared" si="31"/>
        <v>1</v>
      </c>
      <c r="AN72" s="627" t="str">
        <f t="shared" si="31"/>
        <v>1</v>
      </c>
      <c r="AO72" s="627" t="str">
        <f t="shared" si="31"/>
        <v>1</v>
      </c>
      <c r="AP72" s="627" t="str">
        <f t="shared" si="31"/>
        <v>1</v>
      </c>
      <c r="AQ72" s="627" t="str">
        <f t="shared" si="31"/>
        <v>1</v>
      </c>
      <c r="AR72" s="627" t="str">
        <f t="shared" si="31"/>
        <v>0</v>
      </c>
      <c r="AS72" s="627" t="str">
        <f t="shared" si="31"/>
        <v>0</v>
      </c>
      <c r="AT72" s="627" t="str">
        <f t="shared" si="31"/>
        <v>0</v>
      </c>
      <c r="AU72" s="627" t="str">
        <f t="shared" si="31"/>
        <v>0</v>
      </c>
      <c r="AV72" s="627" t="str">
        <f t="shared" si="31"/>
        <v>0</v>
      </c>
      <c r="AW72" s="627" t="str">
        <f t="shared" si="31"/>
        <v>0</v>
      </c>
      <c r="AX72" s="628">
        <f>SUM(AL72+AM72+AN72+AO72+AP72+AQ72+AR72+AS72+AT72+AU72+AV72+AW72)</f>
        <v>6</v>
      </c>
      <c r="AY72" s="629">
        <f>AX72/12</f>
        <v>0.5</v>
      </c>
    </row>
    <row r="73" spans="2:51" ht="15" customHeight="1" x14ac:dyDescent="0.25">
      <c r="B73" s="511"/>
      <c r="C73" s="512"/>
      <c r="D73" s="679"/>
      <c r="E73" s="547"/>
      <c r="F73" s="547"/>
      <c r="G73" s="547"/>
      <c r="H73" s="547"/>
      <c r="I73" s="548"/>
      <c r="J73" s="744"/>
      <c r="K73" s="745"/>
      <c r="L73" s="745"/>
      <c r="M73" s="745"/>
      <c r="N73" s="745"/>
      <c r="O73" s="746"/>
      <c r="P73" s="737"/>
      <c r="Q73" s="664"/>
      <c r="R73" s="665"/>
      <c r="S73" s="634"/>
      <c r="T73" s="632"/>
      <c r="V73" s="136" t="s">
        <v>522</v>
      </c>
      <c r="W73" s="136" t="s">
        <v>522</v>
      </c>
      <c r="X73" s="136" t="s">
        <v>522</v>
      </c>
      <c r="Y73" s="136" t="s">
        <v>522</v>
      </c>
      <c r="Z73" s="136" t="s">
        <v>522</v>
      </c>
      <c r="AA73" s="136" t="s">
        <v>522</v>
      </c>
      <c r="AB73" s="136" t="s">
        <v>516</v>
      </c>
      <c r="AC73" s="136" t="s">
        <v>516</v>
      </c>
      <c r="AD73" s="136" t="s">
        <v>516</v>
      </c>
      <c r="AE73" s="136" t="s">
        <v>516</v>
      </c>
      <c r="AF73" s="136" t="s">
        <v>516</v>
      </c>
      <c r="AG73" s="136" t="s">
        <v>516</v>
      </c>
      <c r="AH73" s="647"/>
      <c r="AI73" s="648"/>
      <c r="AJ73" s="763"/>
      <c r="AK73" s="764"/>
      <c r="AL73" s="627"/>
      <c r="AM73" s="627"/>
      <c r="AN73" s="627"/>
      <c r="AO73" s="627"/>
      <c r="AP73" s="627"/>
      <c r="AQ73" s="627"/>
      <c r="AR73" s="627"/>
      <c r="AS73" s="627"/>
      <c r="AT73" s="627"/>
      <c r="AU73" s="627"/>
      <c r="AV73" s="627"/>
      <c r="AW73" s="627"/>
      <c r="AX73" s="628"/>
      <c r="AY73" s="629"/>
    </row>
    <row r="74" spans="2:51" ht="15" customHeight="1" x14ac:dyDescent="0.25">
      <c r="B74" s="505" t="s">
        <v>35</v>
      </c>
      <c r="C74" s="506"/>
      <c r="D74" s="677"/>
      <c r="E74" s="776" t="s">
        <v>46</v>
      </c>
      <c r="F74" s="542"/>
      <c r="G74" s="542"/>
      <c r="H74" s="542"/>
      <c r="I74" s="543"/>
      <c r="J74" s="741" t="s">
        <v>284</v>
      </c>
      <c r="K74" s="742"/>
      <c r="L74" s="742"/>
      <c r="M74" s="742"/>
      <c r="N74" s="742"/>
      <c r="O74" s="743"/>
      <c r="P74" s="736" t="s">
        <v>212</v>
      </c>
      <c r="Q74" s="581" t="s">
        <v>285</v>
      </c>
      <c r="R74" s="583"/>
      <c r="S74" s="633" t="s">
        <v>180</v>
      </c>
      <c r="T74" s="631">
        <v>12</v>
      </c>
      <c r="V74" s="112"/>
      <c r="W74" s="112"/>
      <c r="X74" s="112"/>
      <c r="Y74" s="112"/>
      <c r="Z74" s="112"/>
      <c r="AA74" s="112"/>
      <c r="AB74" s="112"/>
      <c r="AC74" s="112"/>
      <c r="AD74" s="112"/>
      <c r="AE74" s="112"/>
      <c r="AF74" s="112"/>
      <c r="AG74" s="161"/>
      <c r="AH74" s="645" t="s">
        <v>286</v>
      </c>
      <c r="AI74" s="646"/>
      <c r="AJ74" s="761"/>
      <c r="AK74" s="762"/>
      <c r="AL74" s="627" t="str">
        <f t="shared" ref="AL74:AW74" si="32">IF((V75="CUMPLIDO"),"1","0")</f>
        <v>1</v>
      </c>
      <c r="AM74" s="627" t="str">
        <f t="shared" si="32"/>
        <v>1</v>
      </c>
      <c r="AN74" s="627" t="str">
        <f t="shared" si="32"/>
        <v>1</v>
      </c>
      <c r="AO74" s="627" t="str">
        <f t="shared" si="32"/>
        <v>1</v>
      </c>
      <c r="AP74" s="627" t="str">
        <f t="shared" si="32"/>
        <v>1</v>
      </c>
      <c r="AQ74" s="627" t="str">
        <f t="shared" si="32"/>
        <v>1</v>
      </c>
      <c r="AR74" s="627" t="str">
        <f t="shared" si="32"/>
        <v>0</v>
      </c>
      <c r="AS74" s="627" t="str">
        <f t="shared" si="32"/>
        <v>0</v>
      </c>
      <c r="AT74" s="627" t="str">
        <f t="shared" si="32"/>
        <v>0</v>
      </c>
      <c r="AU74" s="627" t="str">
        <f t="shared" si="32"/>
        <v>0</v>
      </c>
      <c r="AV74" s="627" t="str">
        <f t="shared" si="32"/>
        <v>0</v>
      </c>
      <c r="AW74" s="627" t="str">
        <f t="shared" si="32"/>
        <v>0</v>
      </c>
      <c r="AX74" s="628">
        <f>SUM(AL74+AM74+AN74+AO74+AP74+AQ74+AR74+AS74+AT74+AU74+AV74+AW74)</f>
        <v>6</v>
      </c>
      <c r="AY74" s="629">
        <f>AX74/12</f>
        <v>0.5</v>
      </c>
    </row>
    <row r="75" spans="2:51" ht="15" customHeight="1" x14ac:dyDescent="0.25">
      <c r="B75" s="508"/>
      <c r="C75" s="509"/>
      <c r="D75" s="678"/>
      <c r="E75" s="484"/>
      <c r="F75" s="485"/>
      <c r="G75" s="485"/>
      <c r="H75" s="485"/>
      <c r="I75" s="545"/>
      <c r="J75" s="744"/>
      <c r="K75" s="745"/>
      <c r="L75" s="745"/>
      <c r="M75" s="745"/>
      <c r="N75" s="745"/>
      <c r="O75" s="746"/>
      <c r="P75" s="737"/>
      <c r="Q75" s="664"/>
      <c r="R75" s="665"/>
      <c r="S75" s="634"/>
      <c r="T75" s="632"/>
      <c r="V75" s="136" t="s">
        <v>522</v>
      </c>
      <c r="W75" s="136" t="s">
        <v>522</v>
      </c>
      <c r="X75" s="136" t="s">
        <v>522</v>
      </c>
      <c r="Y75" s="136" t="s">
        <v>522</v>
      </c>
      <c r="Z75" s="136" t="s">
        <v>522</v>
      </c>
      <c r="AA75" s="136" t="s">
        <v>522</v>
      </c>
      <c r="AB75" s="136" t="s">
        <v>516</v>
      </c>
      <c r="AC75" s="136" t="s">
        <v>516</v>
      </c>
      <c r="AD75" s="136" t="s">
        <v>516</v>
      </c>
      <c r="AE75" s="136" t="s">
        <v>516</v>
      </c>
      <c r="AF75" s="136" t="s">
        <v>516</v>
      </c>
      <c r="AG75" s="136" t="s">
        <v>516</v>
      </c>
      <c r="AH75" s="647"/>
      <c r="AI75" s="648"/>
      <c r="AJ75" s="763"/>
      <c r="AK75" s="764"/>
      <c r="AL75" s="627"/>
      <c r="AM75" s="627"/>
      <c r="AN75" s="627"/>
      <c r="AO75" s="627"/>
      <c r="AP75" s="627"/>
      <c r="AQ75" s="627"/>
      <c r="AR75" s="627"/>
      <c r="AS75" s="627"/>
      <c r="AT75" s="627"/>
      <c r="AU75" s="627"/>
      <c r="AV75" s="627"/>
      <c r="AW75" s="627"/>
      <c r="AX75" s="628"/>
      <c r="AY75" s="629"/>
    </row>
    <row r="76" spans="2:51" ht="15" customHeight="1" x14ac:dyDescent="0.25">
      <c r="B76" s="508"/>
      <c r="C76" s="509"/>
      <c r="D76" s="678"/>
      <c r="E76" s="484"/>
      <c r="F76" s="485"/>
      <c r="G76" s="485"/>
      <c r="H76" s="485"/>
      <c r="I76" s="545"/>
      <c r="J76" s="741" t="s">
        <v>130</v>
      </c>
      <c r="K76" s="742"/>
      <c r="L76" s="742"/>
      <c r="M76" s="742"/>
      <c r="N76" s="742"/>
      <c r="O76" s="743"/>
      <c r="P76" s="736" t="s">
        <v>194</v>
      </c>
      <c r="Q76" s="581" t="s">
        <v>287</v>
      </c>
      <c r="R76" s="583"/>
      <c r="S76" s="633" t="s">
        <v>180</v>
      </c>
      <c r="T76" s="631">
        <v>12</v>
      </c>
      <c r="V76" s="112"/>
      <c r="W76" s="112"/>
      <c r="X76" s="112"/>
      <c r="Y76" s="112"/>
      <c r="Z76" s="112"/>
      <c r="AA76" s="112"/>
      <c r="AB76" s="112"/>
      <c r="AC76" s="112"/>
      <c r="AD76" s="112"/>
      <c r="AE76" s="112"/>
      <c r="AF76" s="112"/>
      <c r="AG76" s="112"/>
      <c r="AH76" s="645" t="s">
        <v>286</v>
      </c>
      <c r="AI76" s="646"/>
      <c r="AJ76" s="761"/>
      <c r="AK76" s="762"/>
      <c r="AL76" s="627" t="str">
        <f t="shared" ref="AL76:AW76" si="33">IF((V77="CUMPLIDO"),"1","0")</f>
        <v>1</v>
      </c>
      <c r="AM76" s="627" t="str">
        <f t="shared" si="33"/>
        <v>1</v>
      </c>
      <c r="AN76" s="627" t="str">
        <f t="shared" si="33"/>
        <v>1</v>
      </c>
      <c r="AO76" s="627" t="str">
        <f t="shared" si="33"/>
        <v>1</v>
      </c>
      <c r="AP76" s="627" t="str">
        <f t="shared" si="33"/>
        <v>1</v>
      </c>
      <c r="AQ76" s="627" t="str">
        <f t="shared" si="33"/>
        <v>1</v>
      </c>
      <c r="AR76" s="627" t="str">
        <f t="shared" si="33"/>
        <v>0</v>
      </c>
      <c r="AS76" s="627" t="str">
        <f t="shared" si="33"/>
        <v>0</v>
      </c>
      <c r="AT76" s="627" t="str">
        <f t="shared" si="33"/>
        <v>0</v>
      </c>
      <c r="AU76" s="627" t="str">
        <f t="shared" si="33"/>
        <v>0</v>
      </c>
      <c r="AV76" s="627" t="str">
        <f t="shared" si="33"/>
        <v>0</v>
      </c>
      <c r="AW76" s="627" t="str">
        <f t="shared" si="33"/>
        <v>0</v>
      </c>
      <c r="AX76" s="628">
        <f>SUM(AL76+AM76+AN76+AO76+AP76+AQ76+AR76+AS76+AT76+AU76+AV76+AW76)</f>
        <v>6</v>
      </c>
      <c r="AY76" s="629">
        <f>AX76/12</f>
        <v>0.5</v>
      </c>
    </row>
    <row r="77" spans="2:51" ht="15" customHeight="1" x14ac:dyDescent="0.25">
      <c r="B77" s="508"/>
      <c r="C77" s="509"/>
      <c r="D77" s="678"/>
      <c r="E77" s="777"/>
      <c r="F77" s="547"/>
      <c r="G77" s="547"/>
      <c r="H77" s="547"/>
      <c r="I77" s="548"/>
      <c r="J77" s="744"/>
      <c r="K77" s="745"/>
      <c r="L77" s="745"/>
      <c r="M77" s="745"/>
      <c r="N77" s="745"/>
      <c r="O77" s="746"/>
      <c r="P77" s="737"/>
      <c r="Q77" s="664"/>
      <c r="R77" s="665"/>
      <c r="S77" s="634"/>
      <c r="T77" s="632"/>
      <c r="V77" s="136" t="s">
        <v>522</v>
      </c>
      <c r="W77" s="136" t="s">
        <v>522</v>
      </c>
      <c r="X77" s="136" t="s">
        <v>522</v>
      </c>
      <c r="Y77" s="136" t="s">
        <v>522</v>
      </c>
      <c r="Z77" s="136" t="s">
        <v>522</v>
      </c>
      <c r="AA77" s="136" t="s">
        <v>522</v>
      </c>
      <c r="AB77" s="136" t="s">
        <v>516</v>
      </c>
      <c r="AC77" s="136" t="s">
        <v>516</v>
      </c>
      <c r="AD77" s="136" t="s">
        <v>516</v>
      </c>
      <c r="AE77" s="136" t="s">
        <v>516</v>
      </c>
      <c r="AF77" s="136" t="s">
        <v>516</v>
      </c>
      <c r="AG77" s="136" t="s">
        <v>516</v>
      </c>
      <c r="AH77" s="647"/>
      <c r="AI77" s="648"/>
      <c r="AJ77" s="763"/>
      <c r="AK77" s="764"/>
      <c r="AL77" s="627"/>
      <c r="AM77" s="627"/>
      <c r="AN77" s="627"/>
      <c r="AO77" s="627"/>
      <c r="AP77" s="627"/>
      <c r="AQ77" s="627"/>
      <c r="AR77" s="627"/>
      <c r="AS77" s="627"/>
      <c r="AT77" s="627"/>
      <c r="AU77" s="627"/>
      <c r="AV77" s="627"/>
      <c r="AW77" s="627"/>
      <c r="AX77" s="628"/>
      <c r="AY77" s="629"/>
    </row>
    <row r="78" spans="2:51" ht="15" customHeight="1" x14ac:dyDescent="0.25">
      <c r="B78" s="508"/>
      <c r="C78" s="509"/>
      <c r="D78" s="678"/>
      <c r="E78" s="776" t="s">
        <v>47</v>
      </c>
      <c r="F78" s="542"/>
      <c r="G78" s="542"/>
      <c r="H78" s="542"/>
      <c r="I78" s="543"/>
      <c r="J78" s="741" t="s">
        <v>129</v>
      </c>
      <c r="K78" s="742"/>
      <c r="L78" s="742"/>
      <c r="M78" s="742"/>
      <c r="N78" s="742"/>
      <c r="O78" s="743"/>
      <c r="P78" s="736" t="s">
        <v>194</v>
      </c>
      <c r="Q78" s="581" t="s">
        <v>287</v>
      </c>
      <c r="R78" s="583"/>
      <c r="S78" s="633" t="s">
        <v>180</v>
      </c>
      <c r="T78" s="631">
        <v>12</v>
      </c>
      <c r="V78" s="112"/>
      <c r="W78" s="112"/>
      <c r="X78" s="112"/>
      <c r="Y78" s="112"/>
      <c r="Z78" s="112"/>
      <c r="AA78" s="112"/>
      <c r="AB78" s="112"/>
      <c r="AC78" s="112"/>
      <c r="AD78" s="112"/>
      <c r="AE78" s="112"/>
      <c r="AF78" s="112"/>
      <c r="AG78" s="112"/>
      <c r="AH78" s="645" t="s">
        <v>286</v>
      </c>
      <c r="AI78" s="646"/>
      <c r="AJ78" s="761"/>
      <c r="AK78" s="762"/>
      <c r="AL78" s="627" t="str">
        <f t="shared" ref="AL78:AW78" si="34">IF((V79="CUMPLIDO"),"1","0")</f>
        <v>1</v>
      </c>
      <c r="AM78" s="627" t="str">
        <f t="shared" si="34"/>
        <v>1</v>
      </c>
      <c r="AN78" s="627" t="str">
        <f t="shared" si="34"/>
        <v>1</v>
      </c>
      <c r="AO78" s="627" t="str">
        <f t="shared" si="34"/>
        <v>1</v>
      </c>
      <c r="AP78" s="627" t="str">
        <f t="shared" si="34"/>
        <v>1</v>
      </c>
      <c r="AQ78" s="627" t="str">
        <f t="shared" si="34"/>
        <v>0</v>
      </c>
      <c r="AR78" s="627" t="str">
        <f t="shared" si="34"/>
        <v>0</v>
      </c>
      <c r="AS78" s="627" t="str">
        <f t="shared" si="34"/>
        <v>0</v>
      </c>
      <c r="AT78" s="627" t="str">
        <f t="shared" si="34"/>
        <v>0</v>
      </c>
      <c r="AU78" s="627" t="str">
        <f t="shared" si="34"/>
        <v>0</v>
      </c>
      <c r="AV78" s="627" t="str">
        <f t="shared" si="34"/>
        <v>0</v>
      </c>
      <c r="AW78" s="627" t="str">
        <f t="shared" si="34"/>
        <v>0</v>
      </c>
      <c r="AX78" s="628">
        <f>SUM(AL78+AM78+AN78+AO78+AP78+AQ78+AR78+AS78+AT78+AU78+AV78+AW78)</f>
        <v>5</v>
      </c>
      <c r="AY78" s="629">
        <f>AX78/12</f>
        <v>0.41666666666666669</v>
      </c>
    </row>
    <row r="79" spans="2:51" ht="15" customHeight="1" x14ac:dyDescent="0.25">
      <c r="B79" s="508"/>
      <c r="C79" s="509"/>
      <c r="D79" s="678"/>
      <c r="E79" s="484"/>
      <c r="F79" s="485"/>
      <c r="G79" s="485"/>
      <c r="H79" s="485"/>
      <c r="I79" s="545"/>
      <c r="J79" s="744"/>
      <c r="K79" s="745"/>
      <c r="L79" s="745"/>
      <c r="M79" s="745"/>
      <c r="N79" s="745"/>
      <c r="O79" s="746"/>
      <c r="P79" s="737"/>
      <c r="Q79" s="664"/>
      <c r="R79" s="665"/>
      <c r="S79" s="634"/>
      <c r="T79" s="632"/>
      <c r="V79" s="136" t="s">
        <v>522</v>
      </c>
      <c r="W79" s="136" t="s">
        <v>522</v>
      </c>
      <c r="X79" s="136" t="s">
        <v>522</v>
      </c>
      <c r="Y79" s="136" t="s">
        <v>522</v>
      </c>
      <c r="Z79" s="136" t="s">
        <v>522</v>
      </c>
      <c r="AA79" s="136" t="s">
        <v>516</v>
      </c>
      <c r="AB79" s="136" t="s">
        <v>516</v>
      </c>
      <c r="AC79" s="136" t="s">
        <v>516</v>
      </c>
      <c r="AD79" s="136" t="s">
        <v>516</v>
      </c>
      <c r="AE79" s="136" t="s">
        <v>516</v>
      </c>
      <c r="AF79" s="136" t="s">
        <v>516</v>
      </c>
      <c r="AG79" s="136" t="s">
        <v>516</v>
      </c>
      <c r="AH79" s="647"/>
      <c r="AI79" s="648"/>
      <c r="AJ79" s="763"/>
      <c r="AK79" s="764"/>
      <c r="AL79" s="627"/>
      <c r="AM79" s="627"/>
      <c r="AN79" s="627"/>
      <c r="AO79" s="627"/>
      <c r="AP79" s="627"/>
      <c r="AQ79" s="627"/>
      <c r="AR79" s="627"/>
      <c r="AS79" s="627"/>
      <c r="AT79" s="627"/>
      <c r="AU79" s="627"/>
      <c r="AV79" s="627"/>
      <c r="AW79" s="627"/>
      <c r="AX79" s="628"/>
      <c r="AY79" s="629"/>
    </row>
    <row r="80" spans="2:51" ht="15" customHeight="1" x14ac:dyDescent="0.25">
      <c r="B80" s="508"/>
      <c r="C80" s="509"/>
      <c r="D80" s="678"/>
      <c r="E80" s="484"/>
      <c r="F80" s="485"/>
      <c r="G80" s="485"/>
      <c r="H80" s="485"/>
      <c r="I80" s="545"/>
      <c r="J80" s="741" t="s">
        <v>121</v>
      </c>
      <c r="K80" s="742"/>
      <c r="L80" s="742"/>
      <c r="M80" s="742"/>
      <c r="N80" s="742"/>
      <c r="O80" s="743"/>
      <c r="P80" s="736" t="s">
        <v>194</v>
      </c>
      <c r="Q80" s="581" t="s">
        <v>288</v>
      </c>
      <c r="R80" s="583"/>
      <c r="S80" s="633" t="s">
        <v>180</v>
      </c>
      <c r="T80" s="631">
        <v>12</v>
      </c>
      <c r="V80" s="112"/>
      <c r="W80" s="112"/>
      <c r="X80" s="112"/>
      <c r="Y80" s="112"/>
      <c r="Z80" s="112"/>
      <c r="AA80" s="112"/>
      <c r="AB80" s="112"/>
      <c r="AC80" s="112"/>
      <c r="AD80" s="112"/>
      <c r="AE80" s="112"/>
      <c r="AF80" s="112"/>
      <c r="AG80" s="112"/>
      <c r="AH80" s="645" t="s">
        <v>289</v>
      </c>
      <c r="AI80" s="646"/>
      <c r="AJ80" s="761"/>
      <c r="AK80" s="762"/>
      <c r="AL80" s="627" t="str">
        <f t="shared" ref="AL80:AW80" si="35">IF((V81="CUMPLIDO"),"1","0")</f>
        <v>1</v>
      </c>
      <c r="AM80" s="627" t="str">
        <f t="shared" si="35"/>
        <v>1</v>
      </c>
      <c r="AN80" s="627" t="str">
        <f t="shared" si="35"/>
        <v>1</v>
      </c>
      <c r="AO80" s="627" t="str">
        <f t="shared" si="35"/>
        <v>1</v>
      </c>
      <c r="AP80" s="627" t="str">
        <f t="shared" si="35"/>
        <v>1</v>
      </c>
      <c r="AQ80" s="627" t="str">
        <f t="shared" si="35"/>
        <v>0</v>
      </c>
      <c r="AR80" s="627" t="str">
        <f t="shared" si="35"/>
        <v>0</v>
      </c>
      <c r="AS80" s="627" t="str">
        <f t="shared" si="35"/>
        <v>0</v>
      </c>
      <c r="AT80" s="627" t="str">
        <f t="shared" si="35"/>
        <v>0</v>
      </c>
      <c r="AU80" s="627" t="str">
        <f t="shared" si="35"/>
        <v>0</v>
      </c>
      <c r="AV80" s="627" t="str">
        <f t="shared" si="35"/>
        <v>0</v>
      </c>
      <c r="AW80" s="627" t="str">
        <f t="shared" si="35"/>
        <v>0</v>
      </c>
      <c r="AX80" s="628">
        <f>SUM(AL80+AM80+AN80+AO80+AP80+AQ80+AR80+AS80+AT80+AU80+AV80+AW80)</f>
        <v>5</v>
      </c>
      <c r="AY80" s="629">
        <f>AX80/12</f>
        <v>0.41666666666666669</v>
      </c>
    </row>
    <row r="81" spans="2:59" ht="15" customHeight="1" x14ac:dyDescent="0.25">
      <c r="B81" s="508"/>
      <c r="C81" s="509"/>
      <c r="D81" s="678"/>
      <c r="E81" s="777"/>
      <c r="F81" s="547"/>
      <c r="G81" s="547"/>
      <c r="H81" s="547"/>
      <c r="I81" s="548"/>
      <c r="J81" s="744"/>
      <c r="K81" s="745"/>
      <c r="L81" s="745"/>
      <c r="M81" s="745"/>
      <c r="N81" s="745"/>
      <c r="O81" s="746"/>
      <c r="P81" s="737"/>
      <c r="Q81" s="664"/>
      <c r="R81" s="665"/>
      <c r="S81" s="634"/>
      <c r="T81" s="632"/>
      <c r="V81" s="136" t="s">
        <v>522</v>
      </c>
      <c r="W81" s="136" t="s">
        <v>522</v>
      </c>
      <c r="X81" s="136" t="s">
        <v>522</v>
      </c>
      <c r="Y81" s="136" t="s">
        <v>522</v>
      </c>
      <c r="Z81" s="136" t="s">
        <v>522</v>
      </c>
      <c r="AA81" s="136" t="s">
        <v>516</v>
      </c>
      <c r="AB81" s="136" t="s">
        <v>516</v>
      </c>
      <c r="AC81" s="136" t="s">
        <v>516</v>
      </c>
      <c r="AD81" s="136" t="s">
        <v>516</v>
      </c>
      <c r="AE81" s="136" t="s">
        <v>516</v>
      </c>
      <c r="AF81" s="136" t="s">
        <v>516</v>
      </c>
      <c r="AG81" s="136" t="s">
        <v>516</v>
      </c>
      <c r="AH81" s="647"/>
      <c r="AI81" s="648"/>
      <c r="AJ81" s="763"/>
      <c r="AK81" s="764"/>
      <c r="AL81" s="627"/>
      <c r="AM81" s="627"/>
      <c r="AN81" s="627"/>
      <c r="AO81" s="627"/>
      <c r="AP81" s="627"/>
      <c r="AQ81" s="627"/>
      <c r="AR81" s="627"/>
      <c r="AS81" s="627"/>
      <c r="AT81" s="627"/>
      <c r="AU81" s="627"/>
      <c r="AV81" s="627"/>
      <c r="AW81" s="627"/>
      <c r="AX81" s="628"/>
      <c r="AY81" s="629"/>
    </row>
    <row r="82" spans="2:59" ht="15" customHeight="1" x14ac:dyDescent="0.25">
      <c r="B82" s="508"/>
      <c r="C82" s="509"/>
      <c r="D82" s="678"/>
      <c r="E82" s="768" t="s">
        <v>48</v>
      </c>
      <c r="F82" s="515"/>
      <c r="G82" s="515"/>
      <c r="H82" s="515"/>
      <c r="I82" s="516"/>
      <c r="J82" s="747" t="s">
        <v>291</v>
      </c>
      <c r="K82" s="748"/>
      <c r="L82" s="748"/>
      <c r="M82" s="748"/>
      <c r="N82" s="748"/>
      <c r="O82" s="749"/>
      <c r="P82" s="736" t="s">
        <v>194</v>
      </c>
      <c r="Q82" s="581" t="s">
        <v>290</v>
      </c>
      <c r="R82" s="583"/>
      <c r="S82" s="633" t="s">
        <v>180</v>
      </c>
      <c r="T82" s="631">
        <v>1</v>
      </c>
      <c r="V82" s="112"/>
      <c r="W82" s="72"/>
      <c r="X82" s="72"/>
      <c r="Y82" s="72"/>
      <c r="Z82" s="72"/>
      <c r="AA82" s="72"/>
      <c r="AB82" s="72"/>
      <c r="AC82" s="72"/>
      <c r="AD82" s="72"/>
      <c r="AE82" s="72"/>
      <c r="AF82" s="72"/>
      <c r="AG82" s="72"/>
      <c r="AH82" s="645" t="s">
        <v>292</v>
      </c>
      <c r="AI82" s="646"/>
      <c r="AJ82" s="761"/>
      <c r="AK82" s="762"/>
      <c r="AL82" s="627" t="str">
        <f t="shared" ref="AL82:AW82" si="36">IF((V83="CUMPLIDO"),"1","0")</f>
        <v>1</v>
      </c>
      <c r="AM82" s="627" t="str">
        <f t="shared" si="36"/>
        <v>0</v>
      </c>
      <c r="AN82" s="627" t="str">
        <f t="shared" si="36"/>
        <v>0</v>
      </c>
      <c r="AO82" s="627" t="str">
        <f t="shared" si="36"/>
        <v>0</v>
      </c>
      <c r="AP82" s="627" t="str">
        <f t="shared" si="36"/>
        <v>0</v>
      </c>
      <c r="AQ82" s="627" t="str">
        <f t="shared" si="36"/>
        <v>0</v>
      </c>
      <c r="AR82" s="627" t="str">
        <f t="shared" si="36"/>
        <v>0</v>
      </c>
      <c r="AS82" s="627" t="str">
        <f t="shared" si="36"/>
        <v>0</v>
      </c>
      <c r="AT82" s="627" t="str">
        <f t="shared" si="36"/>
        <v>0</v>
      </c>
      <c r="AU82" s="627" t="str">
        <f t="shared" si="36"/>
        <v>0</v>
      </c>
      <c r="AV82" s="627" t="str">
        <f t="shared" si="36"/>
        <v>0</v>
      </c>
      <c r="AW82" s="627" t="str">
        <f t="shared" si="36"/>
        <v>0</v>
      </c>
      <c r="AX82" s="628">
        <f>SUM(AL82+AM82+AN82+AO82+AP82+AQ82+AR82+AS82+AT82+AU82+AV82+AW82)</f>
        <v>1</v>
      </c>
      <c r="AY82" s="629">
        <f>AX82/1</f>
        <v>1</v>
      </c>
    </row>
    <row r="83" spans="2:59" ht="15" customHeight="1" x14ac:dyDescent="0.25">
      <c r="B83" s="508"/>
      <c r="C83" s="509"/>
      <c r="D83" s="678"/>
      <c r="E83" s="779"/>
      <c r="F83" s="518"/>
      <c r="G83" s="518"/>
      <c r="H83" s="518"/>
      <c r="I83" s="519"/>
      <c r="J83" s="750"/>
      <c r="K83" s="751"/>
      <c r="L83" s="751"/>
      <c r="M83" s="751"/>
      <c r="N83" s="751"/>
      <c r="O83" s="752"/>
      <c r="P83" s="737"/>
      <c r="Q83" s="664"/>
      <c r="R83" s="665"/>
      <c r="S83" s="634"/>
      <c r="T83" s="632"/>
      <c r="V83" s="136" t="s">
        <v>522</v>
      </c>
      <c r="W83" s="164"/>
      <c r="X83" s="164"/>
      <c r="Y83" s="164"/>
      <c r="Z83" s="164"/>
      <c r="AA83" s="164"/>
      <c r="AB83" s="164"/>
      <c r="AC83" s="164"/>
      <c r="AD83" s="164"/>
      <c r="AE83" s="164"/>
      <c r="AF83" s="164"/>
      <c r="AG83" s="164"/>
      <c r="AH83" s="647"/>
      <c r="AI83" s="648"/>
      <c r="AJ83" s="763"/>
      <c r="AK83" s="764"/>
      <c r="AL83" s="627"/>
      <c r="AM83" s="627"/>
      <c r="AN83" s="627"/>
      <c r="AO83" s="627"/>
      <c r="AP83" s="627"/>
      <c r="AQ83" s="627"/>
      <c r="AR83" s="627"/>
      <c r="AS83" s="627"/>
      <c r="AT83" s="627"/>
      <c r="AU83" s="627"/>
      <c r="AV83" s="627"/>
      <c r="AW83" s="627"/>
      <c r="AX83" s="628"/>
      <c r="AY83" s="629"/>
    </row>
    <row r="84" spans="2:59" ht="15" customHeight="1" x14ac:dyDescent="0.25">
      <c r="B84" s="508"/>
      <c r="C84" s="509"/>
      <c r="D84" s="678"/>
      <c r="E84" s="779"/>
      <c r="F84" s="518"/>
      <c r="G84" s="518"/>
      <c r="H84" s="518"/>
      <c r="I84" s="519"/>
      <c r="J84" s="741" t="s">
        <v>293</v>
      </c>
      <c r="K84" s="742"/>
      <c r="L84" s="742"/>
      <c r="M84" s="742"/>
      <c r="N84" s="742"/>
      <c r="O84" s="743"/>
      <c r="P84" s="736" t="s">
        <v>212</v>
      </c>
      <c r="Q84" s="581" t="s">
        <v>294</v>
      </c>
      <c r="R84" s="583"/>
      <c r="S84" s="633" t="s">
        <v>180</v>
      </c>
      <c r="T84" s="631">
        <v>12</v>
      </c>
      <c r="V84" s="112"/>
      <c r="W84" s="112"/>
      <c r="X84" s="112"/>
      <c r="Y84" s="112"/>
      <c r="Z84" s="112"/>
      <c r="AA84" s="112"/>
      <c r="AB84" s="112"/>
      <c r="AC84" s="112"/>
      <c r="AD84" s="112"/>
      <c r="AE84" s="112"/>
      <c r="AF84" s="112"/>
      <c r="AG84" s="161"/>
      <c r="AH84" s="645" t="s">
        <v>295</v>
      </c>
      <c r="AI84" s="646"/>
      <c r="AJ84" s="761"/>
      <c r="AK84" s="762"/>
      <c r="AL84" s="627" t="str">
        <f t="shared" ref="AL84:AW84" si="37">IF((V85="CUMPLIDO"),"1","0")</f>
        <v>1</v>
      </c>
      <c r="AM84" s="627" t="str">
        <f t="shared" si="37"/>
        <v>1</v>
      </c>
      <c r="AN84" s="627" t="str">
        <f t="shared" si="37"/>
        <v>1</v>
      </c>
      <c r="AO84" s="627" t="str">
        <f t="shared" si="37"/>
        <v>1</v>
      </c>
      <c r="AP84" s="627" t="str">
        <f t="shared" si="37"/>
        <v>1</v>
      </c>
      <c r="AQ84" s="627" t="str">
        <f t="shared" si="37"/>
        <v>0</v>
      </c>
      <c r="AR84" s="627" t="str">
        <f t="shared" si="37"/>
        <v>0</v>
      </c>
      <c r="AS84" s="627" t="str">
        <f t="shared" si="37"/>
        <v>0</v>
      </c>
      <c r="AT84" s="627" t="str">
        <f t="shared" si="37"/>
        <v>0</v>
      </c>
      <c r="AU84" s="627" t="str">
        <f t="shared" si="37"/>
        <v>0</v>
      </c>
      <c r="AV84" s="627" t="str">
        <f t="shared" si="37"/>
        <v>0</v>
      </c>
      <c r="AW84" s="627" t="str">
        <f t="shared" si="37"/>
        <v>0</v>
      </c>
      <c r="AX84" s="628">
        <f>SUM(AL84+AM84+AN84+AO84+AP84+AQ84+AR84+AS84+AT84+AU84+AV84+AW84)</f>
        <v>5</v>
      </c>
      <c r="AY84" s="629">
        <f>AX84/12</f>
        <v>0.41666666666666669</v>
      </c>
    </row>
    <row r="85" spans="2:59" ht="15" customHeight="1" x14ac:dyDescent="0.25">
      <c r="B85" s="508"/>
      <c r="C85" s="509"/>
      <c r="D85" s="678"/>
      <c r="E85" s="779"/>
      <c r="F85" s="518"/>
      <c r="G85" s="518"/>
      <c r="H85" s="518"/>
      <c r="I85" s="519"/>
      <c r="J85" s="744"/>
      <c r="K85" s="745"/>
      <c r="L85" s="745"/>
      <c r="M85" s="745"/>
      <c r="N85" s="745"/>
      <c r="O85" s="746"/>
      <c r="P85" s="737"/>
      <c r="Q85" s="664"/>
      <c r="R85" s="665"/>
      <c r="S85" s="634"/>
      <c r="T85" s="632"/>
      <c r="V85" s="136" t="s">
        <v>522</v>
      </c>
      <c r="W85" s="136" t="s">
        <v>522</v>
      </c>
      <c r="X85" s="136" t="s">
        <v>522</v>
      </c>
      <c r="Y85" s="136" t="s">
        <v>522</v>
      </c>
      <c r="Z85" s="136" t="s">
        <v>522</v>
      </c>
      <c r="AA85" s="136" t="s">
        <v>516</v>
      </c>
      <c r="AB85" s="136" t="s">
        <v>516</v>
      </c>
      <c r="AC85" s="136" t="s">
        <v>516</v>
      </c>
      <c r="AD85" s="136" t="s">
        <v>516</v>
      </c>
      <c r="AE85" s="136" t="s">
        <v>516</v>
      </c>
      <c r="AF85" s="136" t="s">
        <v>516</v>
      </c>
      <c r="AG85" s="136" t="s">
        <v>516</v>
      </c>
      <c r="AH85" s="647"/>
      <c r="AI85" s="648"/>
      <c r="AJ85" s="763"/>
      <c r="AK85" s="764"/>
      <c r="AL85" s="627"/>
      <c r="AM85" s="627"/>
      <c r="AN85" s="627"/>
      <c r="AO85" s="627"/>
      <c r="AP85" s="627"/>
      <c r="AQ85" s="627"/>
      <c r="AR85" s="627"/>
      <c r="AS85" s="627"/>
      <c r="AT85" s="627"/>
      <c r="AU85" s="627"/>
      <c r="AV85" s="627"/>
      <c r="AW85" s="627"/>
      <c r="AX85" s="628"/>
      <c r="AY85" s="629"/>
      <c r="AZ85" s="334"/>
      <c r="BA85" s="334"/>
      <c r="BB85" s="334"/>
      <c r="BC85" s="334"/>
    </row>
    <row r="86" spans="2:59" ht="15" customHeight="1" x14ac:dyDescent="0.25">
      <c r="B86" s="508"/>
      <c r="C86" s="509"/>
      <c r="D86" s="678"/>
      <c r="E86" s="779"/>
      <c r="F86" s="518"/>
      <c r="G86" s="518"/>
      <c r="H86" s="518"/>
      <c r="I86" s="519"/>
      <c r="J86" s="747" t="s">
        <v>296</v>
      </c>
      <c r="K86" s="748"/>
      <c r="L86" s="748"/>
      <c r="M86" s="748"/>
      <c r="N86" s="748"/>
      <c r="O86" s="749"/>
      <c r="P86" s="736" t="s">
        <v>194</v>
      </c>
      <c r="Q86" s="581" t="s">
        <v>287</v>
      </c>
      <c r="R86" s="583"/>
      <c r="S86" s="633" t="s">
        <v>180</v>
      </c>
      <c r="T86" s="631">
        <v>12</v>
      </c>
      <c r="V86" s="112"/>
      <c r="W86" s="112"/>
      <c r="X86" s="112"/>
      <c r="Y86" s="112"/>
      <c r="Z86" s="112"/>
      <c r="AA86" s="112"/>
      <c r="AB86" s="112"/>
      <c r="AC86" s="112"/>
      <c r="AD86" s="112"/>
      <c r="AE86" s="112"/>
      <c r="AF86" s="112"/>
      <c r="AG86" s="161"/>
      <c r="AH86" s="645" t="s">
        <v>297</v>
      </c>
      <c r="AI86" s="646"/>
      <c r="AJ86" s="761"/>
      <c r="AK86" s="762"/>
      <c r="AL86" s="627" t="str">
        <f t="shared" ref="AL86:AW86" si="38">IF((V87="CUMPLIDO"),"1","0")</f>
        <v>1</v>
      </c>
      <c r="AM86" s="627" t="str">
        <f t="shared" si="38"/>
        <v>1</v>
      </c>
      <c r="AN86" s="627" t="str">
        <f t="shared" si="38"/>
        <v>1</v>
      </c>
      <c r="AO86" s="627" t="str">
        <f t="shared" si="38"/>
        <v>1</v>
      </c>
      <c r="AP86" s="627" t="str">
        <f t="shared" si="38"/>
        <v>1</v>
      </c>
      <c r="AQ86" s="627" t="str">
        <f t="shared" si="38"/>
        <v>0</v>
      </c>
      <c r="AR86" s="627" t="str">
        <f t="shared" si="38"/>
        <v>0</v>
      </c>
      <c r="AS86" s="627" t="str">
        <f t="shared" si="38"/>
        <v>0</v>
      </c>
      <c r="AT86" s="627" t="str">
        <f t="shared" si="38"/>
        <v>0</v>
      </c>
      <c r="AU86" s="627" t="str">
        <f t="shared" si="38"/>
        <v>0</v>
      </c>
      <c r="AV86" s="627" t="str">
        <f t="shared" si="38"/>
        <v>0</v>
      </c>
      <c r="AW86" s="627" t="str">
        <f t="shared" si="38"/>
        <v>0</v>
      </c>
      <c r="AX86" s="628">
        <f>SUM(AL86+AM86+AN86+AO86+AP86+AQ86+AR86+AS86+AT86+AU86+AV86+AW86)</f>
        <v>5</v>
      </c>
      <c r="AY86" s="629">
        <f>AX86/12</f>
        <v>0.41666666666666669</v>
      </c>
      <c r="AZ86" s="334"/>
      <c r="BA86" s="334"/>
      <c r="BB86" s="334"/>
      <c r="BC86" s="334"/>
    </row>
    <row r="87" spans="2:59" ht="15" customHeight="1" x14ac:dyDescent="0.25">
      <c r="B87" s="508"/>
      <c r="C87" s="509"/>
      <c r="D87" s="678"/>
      <c r="E87" s="779"/>
      <c r="F87" s="518"/>
      <c r="G87" s="518"/>
      <c r="H87" s="518"/>
      <c r="I87" s="519"/>
      <c r="J87" s="750"/>
      <c r="K87" s="751"/>
      <c r="L87" s="751"/>
      <c r="M87" s="751"/>
      <c r="N87" s="751"/>
      <c r="O87" s="752"/>
      <c r="P87" s="737"/>
      <c r="Q87" s="664"/>
      <c r="R87" s="665"/>
      <c r="S87" s="634"/>
      <c r="T87" s="632"/>
      <c r="V87" s="136" t="s">
        <v>522</v>
      </c>
      <c r="W87" s="136" t="s">
        <v>522</v>
      </c>
      <c r="X87" s="136" t="s">
        <v>522</v>
      </c>
      <c r="Y87" s="136" t="s">
        <v>522</v>
      </c>
      <c r="Z87" s="136" t="s">
        <v>522</v>
      </c>
      <c r="AA87" s="136" t="s">
        <v>516</v>
      </c>
      <c r="AB87" s="136" t="s">
        <v>516</v>
      </c>
      <c r="AC87" s="136" t="s">
        <v>516</v>
      </c>
      <c r="AD87" s="136" t="s">
        <v>516</v>
      </c>
      <c r="AE87" s="136" t="s">
        <v>516</v>
      </c>
      <c r="AF87" s="136" t="s">
        <v>516</v>
      </c>
      <c r="AG87" s="136" t="s">
        <v>516</v>
      </c>
      <c r="AH87" s="647"/>
      <c r="AI87" s="648"/>
      <c r="AJ87" s="763"/>
      <c r="AK87" s="764"/>
      <c r="AL87" s="627"/>
      <c r="AM87" s="627"/>
      <c r="AN87" s="627"/>
      <c r="AO87" s="627"/>
      <c r="AP87" s="627"/>
      <c r="AQ87" s="627"/>
      <c r="AR87" s="627"/>
      <c r="AS87" s="627"/>
      <c r="AT87" s="627"/>
      <c r="AU87" s="627"/>
      <c r="AV87" s="627"/>
      <c r="AW87" s="627"/>
      <c r="AX87" s="628"/>
      <c r="AY87" s="629"/>
      <c r="AZ87" s="334"/>
      <c r="BA87" s="334"/>
      <c r="BB87" s="334"/>
      <c r="BC87" s="334"/>
    </row>
    <row r="88" spans="2:59" ht="15" customHeight="1" x14ac:dyDescent="0.25">
      <c r="B88" s="508"/>
      <c r="C88" s="509"/>
      <c r="D88" s="678"/>
      <c r="E88" s="779"/>
      <c r="F88" s="518"/>
      <c r="G88" s="518"/>
      <c r="H88" s="518"/>
      <c r="I88" s="519"/>
      <c r="J88" s="747" t="s">
        <v>298</v>
      </c>
      <c r="K88" s="748"/>
      <c r="L88" s="748"/>
      <c r="M88" s="748"/>
      <c r="N88" s="748"/>
      <c r="O88" s="749"/>
      <c r="P88" s="736" t="s">
        <v>194</v>
      </c>
      <c r="Q88" s="581" t="s">
        <v>212</v>
      </c>
      <c r="R88" s="583"/>
      <c r="S88" s="633" t="s">
        <v>180</v>
      </c>
      <c r="T88" s="631">
        <v>1</v>
      </c>
      <c r="V88" s="164"/>
      <c r="W88" s="164"/>
      <c r="X88" s="112"/>
      <c r="Y88" s="164"/>
      <c r="Z88" s="164"/>
      <c r="AA88" s="164"/>
      <c r="AB88" s="164"/>
      <c r="AC88" s="164"/>
      <c r="AD88" s="164"/>
      <c r="AE88" s="164"/>
      <c r="AF88" s="164"/>
      <c r="AG88" s="165"/>
      <c r="AH88" s="645" t="s">
        <v>299</v>
      </c>
      <c r="AI88" s="646"/>
      <c r="AJ88" s="761"/>
      <c r="AK88" s="762"/>
      <c r="AL88" s="627" t="str">
        <f t="shared" ref="AL88:AW88" si="39">IF((V89="CUMPLIDO"),"1","0")</f>
        <v>0</v>
      </c>
      <c r="AM88" s="627" t="str">
        <f t="shared" si="39"/>
        <v>0</v>
      </c>
      <c r="AN88" s="627" t="str">
        <f t="shared" si="39"/>
        <v>0</v>
      </c>
      <c r="AO88" s="627" t="str">
        <f t="shared" si="39"/>
        <v>0</v>
      </c>
      <c r="AP88" s="627" t="str">
        <f t="shared" si="39"/>
        <v>0</v>
      </c>
      <c r="AQ88" s="627" t="str">
        <f t="shared" si="39"/>
        <v>0</v>
      </c>
      <c r="AR88" s="627" t="str">
        <f t="shared" si="39"/>
        <v>0</v>
      </c>
      <c r="AS88" s="627" t="str">
        <f t="shared" si="39"/>
        <v>0</v>
      </c>
      <c r="AT88" s="627" t="str">
        <f t="shared" si="39"/>
        <v>0</v>
      </c>
      <c r="AU88" s="627" t="str">
        <f t="shared" si="39"/>
        <v>0</v>
      </c>
      <c r="AV88" s="627" t="str">
        <f t="shared" si="39"/>
        <v>0</v>
      </c>
      <c r="AW88" s="627" t="str">
        <f t="shared" si="39"/>
        <v>0</v>
      </c>
      <c r="AX88" s="628">
        <f>SUM(AL88+AM88+AN88+AO88+AP88+AQ88+AR88+AS88+AT88+AU88+AV88+AW88)</f>
        <v>0</v>
      </c>
      <c r="AY88" s="629">
        <f>AX88/1</f>
        <v>0</v>
      </c>
      <c r="AZ88" s="334"/>
      <c r="BA88" s="334"/>
      <c r="BB88" s="334"/>
      <c r="BC88" s="334"/>
    </row>
    <row r="89" spans="2:59" ht="15" customHeight="1" x14ac:dyDescent="0.25">
      <c r="B89" s="508"/>
      <c r="C89" s="509"/>
      <c r="D89" s="678"/>
      <c r="E89" s="778"/>
      <c r="F89" s="521"/>
      <c r="G89" s="521"/>
      <c r="H89" s="521"/>
      <c r="I89" s="522"/>
      <c r="J89" s="750"/>
      <c r="K89" s="751"/>
      <c r="L89" s="751"/>
      <c r="M89" s="751"/>
      <c r="N89" s="751"/>
      <c r="O89" s="752"/>
      <c r="P89" s="737"/>
      <c r="Q89" s="664"/>
      <c r="R89" s="665"/>
      <c r="S89" s="634"/>
      <c r="T89" s="632"/>
      <c r="V89" s="164"/>
      <c r="W89" s="164"/>
      <c r="X89" s="136" t="s">
        <v>516</v>
      </c>
      <c r="Y89" s="164"/>
      <c r="Z89" s="164"/>
      <c r="AA89" s="164"/>
      <c r="AB89" s="164"/>
      <c r="AC89" s="164"/>
      <c r="AD89" s="164"/>
      <c r="AE89" s="164"/>
      <c r="AF89" s="164"/>
      <c r="AG89" s="165"/>
      <c r="AH89" s="647"/>
      <c r="AI89" s="648"/>
      <c r="AJ89" s="763"/>
      <c r="AK89" s="764"/>
      <c r="AL89" s="627"/>
      <c r="AM89" s="627"/>
      <c r="AN89" s="627"/>
      <c r="AO89" s="627"/>
      <c r="AP89" s="627"/>
      <c r="AQ89" s="627"/>
      <c r="AR89" s="627"/>
      <c r="AS89" s="627"/>
      <c r="AT89" s="627"/>
      <c r="AU89" s="627"/>
      <c r="AV89" s="627"/>
      <c r="AW89" s="627"/>
      <c r="AX89" s="628"/>
      <c r="AY89" s="629"/>
      <c r="AZ89" s="334"/>
      <c r="BA89" s="334"/>
      <c r="BB89" s="334"/>
      <c r="BC89" s="334"/>
      <c r="BD89" s="335"/>
      <c r="BE89" s="335"/>
      <c r="BF89" s="335"/>
    </row>
    <row r="90" spans="2:59" ht="15" customHeight="1" x14ac:dyDescent="0.25">
      <c r="B90" s="508"/>
      <c r="C90" s="509"/>
      <c r="D90" s="678"/>
      <c r="E90" s="768" t="s">
        <v>185</v>
      </c>
      <c r="F90" s="515"/>
      <c r="G90" s="515"/>
      <c r="H90" s="515"/>
      <c r="I90" s="516"/>
      <c r="J90" s="741" t="s">
        <v>300</v>
      </c>
      <c r="K90" s="742"/>
      <c r="L90" s="742"/>
      <c r="M90" s="742"/>
      <c r="N90" s="742"/>
      <c r="O90" s="743"/>
      <c r="P90" s="736" t="s">
        <v>212</v>
      </c>
      <c r="Q90" s="581" t="s">
        <v>231</v>
      </c>
      <c r="R90" s="583"/>
      <c r="S90" s="633" t="s">
        <v>180</v>
      </c>
      <c r="T90" s="631">
        <v>12</v>
      </c>
      <c r="V90" s="112"/>
      <c r="W90" s="112"/>
      <c r="X90" s="112"/>
      <c r="Y90" s="112"/>
      <c r="Z90" s="112"/>
      <c r="AA90" s="112"/>
      <c r="AB90" s="112"/>
      <c r="AC90" s="112"/>
      <c r="AD90" s="112"/>
      <c r="AE90" s="112"/>
      <c r="AF90" s="112"/>
      <c r="AG90" s="112"/>
      <c r="AH90" s="645" t="s">
        <v>283</v>
      </c>
      <c r="AI90" s="646"/>
      <c r="AJ90" s="761"/>
      <c r="AK90" s="762"/>
      <c r="AL90" s="627" t="str">
        <f t="shared" ref="AL90:AW90" si="40">IF((V91="CUMPLIDO"),"1","0")</f>
        <v>1</v>
      </c>
      <c r="AM90" s="627" t="str">
        <f t="shared" si="40"/>
        <v>1</v>
      </c>
      <c r="AN90" s="627" t="str">
        <f t="shared" si="40"/>
        <v>1</v>
      </c>
      <c r="AO90" s="627" t="str">
        <f t="shared" si="40"/>
        <v>1</v>
      </c>
      <c r="AP90" s="627" t="str">
        <f t="shared" si="40"/>
        <v>1</v>
      </c>
      <c r="AQ90" s="627" t="str">
        <f t="shared" si="40"/>
        <v>0</v>
      </c>
      <c r="AR90" s="627" t="str">
        <f t="shared" si="40"/>
        <v>0</v>
      </c>
      <c r="AS90" s="627" t="str">
        <f t="shared" si="40"/>
        <v>0</v>
      </c>
      <c r="AT90" s="627" t="str">
        <f t="shared" si="40"/>
        <v>0</v>
      </c>
      <c r="AU90" s="627" t="str">
        <f t="shared" si="40"/>
        <v>0</v>
      </c>
      <c r="AV90" s="627" t="str">
        <f t="shared" si="40"/>
        <v>0</v>
      </c>
      <c r="AW90" s="627" t="str">
        <f t="shared" si="40"/>
        <v>0</v>
      </c>
      <c r="AX90" s="628">
        <f>SUM(AL90+AM90+AN90+AO90+AP90+AQ90+AR90+AS90+AT90+AU90+AV90+AW90)</f>
        <v>5</v>
      </c>
      <c r="AY90" s="629">
        <f>AX90/12</f>
        <v>0.41666666666666669</v>
      </c>
      <c r="BD90" s="336"/>
      <c r="BE90" s="336" t="s">
        <v>520</v>
      </c>
      <c r="BF90" s="336" t="s">
        <v>521</v>
      </c>
      <c r="BG90" s="334"/>
    </row>
    <row r="91" spans="2:59" ht="15" customHeight="1" x14ac:dyDescent="0.25">
      <c r="B91" s="511"/>
      <c r="C91" s="512"/>
      <c r="D91" s="679"/>
      <c r="E91" s="778"/>
      <c r="F91" s="521"/>
      <c r="G91" s="521"/>
      <c r="H91" s="521"/>
      <c r="I91" s="522"/>
      <c r="J91" s="744"/>
      <c r="K91" s="745"/>
      <c r="L91" s="745"/>
      <c r="M91" s="745"/>
      <c r="N91" s="745"/>
      <c r="O91" s="746"/>
      <c r="P91" s="737"/>
      <c r="Q91" s="664"/>
      <c r="R91" s="665"/>
      <c r="S91" s="634"/>
      <c r="T91" s="632"/>
      <c r="V91" s="136" t="s">
        <v>522</v>
      </c>
      <c r="W91" s="136" t="s">
        <v>522</v>
      </c>
      <c r="X91" s="136" t="s">
        <v>522</v>
      </c>
      <c r="Y91" s="136" t="s">
        <v>522</v>
      </c>
      <c r="Z91" s="136" t="s">
        <v>522</v>
      </c>
      <c r="AA91" s="136" t="s">
        <v>516</v>
      </c>
      <c r="AB91" s="136" t="s">
        <v>516</v>
      </c>
      <c r="AC91" s="136" t="s">
        <v>516</v>
      </c>
      <c r="AD91" s="136" t="s">
        <v>516</v>
      </c>
      <c r="AE91" s="136" t="s">
        <v>516</v>
      </c>
      <c r="AF91" s="136" t="s">
        <v>516</v>
      </c>
      <c r="AG91" s="136" t="s">
        <v>516</v>
      </c>
      <c r="AH91" s="647"/>
      <c r="AI91" s="648"/>
      <c r="AJ91" s="763"/>
      <c r="AK91" s="764"/>
      <c r="AL91" s="627"/>
      <c r="AM91" s="627"/>
      <c r="AN91" s="627"/>
      <c r="AO91" s="627"/>
      <c r="AP91" s="627"/>
      <c r="AQ91" s="627"/>
      <c r="AR91" s="627"/>
      <c r="AS91" s="627"/>
      <c r="AT91" s="627"/>
      <c r="AU91" s="627"/>
      <c r="AV91" s="627"/>
      <c r="AW91" s="627"/>
      <c r="AX91" s="628"/>
      <c r="AY91" s="630"/>
      <c r="BD91" s="336"/>
      <c r="BE91" s="336">
        <v>0</v>
      </c>
      <c r="BF91" s="336">
        <v>0</v>
      </c>
      <c r="BG91" s="334"/>
    </row>
    <row r="92" spans="2:59" ht="24" customHeight="1" x14ac:dyDescent="0.25">
      <c r="B92" s="730" t="str">
        <f>HYPERLINK("#B6","PERSPECTIVA 1")</f>
        <v>PERSPECTIVA 1</v>
      </c>
      <c r="C92" s="731"/>
      <c r="D92" s="722"/>
      <c r="E92" s="723"/>
      <c r="F92" s="683"/>
      <c r="G92" s="723"/>
      <c r="H92" s="767"/>
      <c r="I92" s="684"/>
      <c r="J92" s="684"/>
      <c r="K92" s="125"/>
      <c r="AY92" s="317">
        <f>AVERAGE(AY10:AY91)</f>
        <v>0.39815225424981521</v>
      </c>
      <c r="BD92" s="337">
        <f>PI()*AY92</f>
        <v>1.2508321969614349</v>
      </c>
      <c r="BE92" s="336">
        <f>-COS(BD92)</f>
        <v>-0.31453251118122294</v>
      </c>
      <c r="BF92" s="336">
        <f>SIN(BD92)</f>
        <v>0.9492467010266793</v>
      </c>
      <c r="BG92" s="334"/>
    </row>
    <row r="93" spans="2:59" ht="30" customHeight="1" x14ac:dyDescent="0.25">
      <c r="B93" s="450" t="s">
        <v>50</v>
      </c>
      <c r="C93" s="450"/>
      <c r="D93" s="450"/>
      <c r="E93" s="733" t="s">
        <v>96</v>
      </c>
      <c r="F93" s="734"/>
      <c r="G93" s="734"/>
      <c r="H93" s="734"/>
      <c r="I93" s="734"/>
      <c r="J93" s="734"/>
      <c r="K93" s="734"/>
      <c r="L93" s="735"/>
      <c r="M93" s="735"/>
      <c r="N93" s="735"/>
      <c r="O93" s="735"/>
      <c r="P93" s="735"/>
      <c r="Q93" s="735"/>
      <c r="R93" s="735"/>
      <c r="S93" s="186"/>
      <c r="T93" s="187"/>
      <c r="U93" s="111"/>
      <c r="V93" s="111"/>
      <c r="AZ93" s="334"/>
      <c r="BA93" s="334"/>
      <c r="BB93" s="334"/>
      <c r="BC93" s="334"/>
      <c r="BD93" s="335"/>
      <c r="BE93" s="335"/>
      <c r="BF93" s="335"/>
    </row>
    <row r="94" spans="2:59" ht="5.25" customHeight="1" x14ac:dyDescent="0.25">
      <c r="B94" s="7"/>
      <c r="C94" s="7"/>
      <c r="D94" s="7"/>
      <c r="F94" s="7"/>
      <c r="G94" s="7"/>
      <c r="H94" s="7"/>
      <c r="K94" s="107"/>
      <c r="L94" s="108"/>
      <c r="M94" s="109"/>
      <c r="N94" s="110"/>
      <c r="O94" s="107"/>
      <c r="P94" s="133"/>
      <c r="Q94" s="59"/>
      <c r="R94" s="12"/>
      <c r="S94" s="15"/>
      <c r="T94" s="17"/>
      <c r="U94" s="12"/>
      <c r="V94" s="59"/>
    </row>
    <row r="95" spans="2:59" ht="24.75" customHeight="1" x14ac:dyDescent="0.25">
      <c r="B95" s="527" t="s">
        <v>36</v>
      </c>
      <c r="C95" s="527"/>
      <c r="D95" s="527"/>
      <c r="E95" s="527" t="s">
        <v>37</v>
      </c>
      <c r="F95" s="527"/>
      <c r="G95" s="527"/>
      <c r="H95" s="527"/>
      <c r="I95" s="673"/>
      <c r="J95" s="673"/>
      <c r="K95" s="674"/>
      <c r="L95" s="674"/>
      <c r="M95" s="674"/>
      <c r="N95" s="674"/>
      <c r="O95" s="674"/>
      <c r="P95" s="674"/>
      <c r="Q95" s="674"/>
      <c r="R95" s="674"/>
      <c r="S95" s="126"/>
      <c r="T95" s="126"/>
      <c r="V95" s="527" t="s">
        <v>122</v>
      </c>
      <c r="W95" s="527"/>
      <c r="X95" s="527"/>
      <c r="Y95" s="527"/>
      <c r="Z95" s="527"/>
      <c r="AA95" s="527"/>
      <c r="AB95" s="527"/>
      <c r="AC95" s="527"/>
      <c r="AD95" s="527"/>
      <c r="AE95" s="527"/>
      <c r="AF95" s="527"/>
      <c r="AG95" s="527"/>
      <c r="AH95" s="639" t="s">
        <v>205</v>
      </c>
      <c r="AI95" s="640"/>
      <c r="AJ95" s="635" t="s">
        <v>217</v>
      </c>
      <c r="AK95" s="636"/>
      <c r="AL95" s="309"/>
      <c r="AY95" s="527" t="s">
        <v>179</v>
      </c>
    </row>
    <row r="96" spans="2:59" ht="18.75" customHeight="1" x14ac:dyDescent="0.25">
      <c r="B96" s="527"/>
      <c r="C96" s="527"/>
      <c r="D96" s="527"/>
      <c r="E96" s="527"/>
      <c r="F96" s="527"/>
      <c r="G96" s="527"/>
      <c r="H96" s="527"/>
      <c r="I96" s="673"/>
      <c r="J96" s="673" t="s">
        <v>106</v>
      </c>
      <c r="K96" s="674"/>
      <c r="L96" s="674"/>
      <c r="M96" s="674"/>
      <c r="N96" s="674"/>
      <c r="O96" s="675"/>
      <c r="P96" s="134" t="s">
        <v>139</v>
      </c>
      <c r="Q96" s="624" t="s">
        <v>107</v>
      </c>
      <c r="R96" s="686"/>
      <c r="S96" s="780"/>
      <c r="T96" s="781"/>
      <c r="V96" s="93" t="s">
        <v>108</v>
      </c>
      <c r="W96" s="95" t="s">
        <v>109</v>
      </c>
      <c r="X96" s="95" t="s">
        <v>110</v>
      </c>
      <c r="Y96" s="95" t="s">
        <v>111</v>
      </c>
      <c r="Z96" s="95" t="s">
        <v>112</v>
      </c>
      <c r="AA96" s="95" t="s">
        <v>113</v>
      </c>
      <c r="AB96" s="95" t="s">
        <v>114</v>
      </c>
      <c r="AC96" s="94" t="s">
        <v>115</v>
      </c>
      <c r="AD96" s="94" t="s">
        <v>116</v>
      </c>
      <c r="AE96" s="94" t="s">
        <v>117</v>
      </c>
      <c r="AF96" s="94" t="s">
        <v>118</v>
      </c>
      <c r="AG96" s="94" t="s">
        <v>119</v>
      </c>
      <c r="AH96" s="641"/>
      <c r="AI96" s="642"/>
      <c r="AJ96" s="637"/>
      <c r="AK96" s="643"/>
      <c r="AL96" s="309"/>
      <c r="AY96" s="527"/>
    </row>
    <row r="97" spans="2:51" ht="17.25" customHeight="1" x14ac:dyDescent="0.25">
      <c r="B97" s="535" t="s">
        <v>51</v>
      </c>
      <c r="C97" s="536"/>
      <c r="D97" s="536"/>
      <c r="E97" s="541" t="s">
        <v>55</v>
      </c>
      <c r="F97" s="542"/>
      <c r="G97" s="542"/>
      <c r="H97" s="542"/>
      <c r="I97" s="542"/>
      <c r="J97" s="514" t="s">
        <v>241</v>
      </c>
      <c r="K97" s="515"/>
      <c r="L97" s="515"/>
      <c r="M97" s="515"/>
      <c r="N97" s="515"/>
      <c r="O97" s="516"/>
      <c r="P97" s="652" t="s">
        <v>140</v>
      </c>
      <c r="Q97" s="660" t="s">
        <v>301</v>
      </c>
      <c r="R97" s="661"/>
      <c r="S97" s="805" t="s">
        <v>180</v>
      </c>
      <c r="T97" s="806">
        <v>2</v>
      </c>
      <c r="V97" s="114"/>
      <c r="W97" s="113"/>
      <c r="X97" s="112"/>
      <c r="Y97" s="112"/>
      <c r="Z97" s="72"/>
      <c r="AA97" s="72"/>
      <c r="AB97" s="72"/>
      <c r="AC97" s="72"/>
      <c r="AD97" s="72"/>
      <c r="AE97" s="72"/>
      <c r="AF97" s="72"/>
      <c r="AG97" s="165"/>
      <c r="AH97" s="644" t="s">
        <v>455</v>
      </c>
      <c r="AI97" s="644"/>
      <c r="AJ97" s="761">
        <v>2000</v>
      </c>
      <c r="AK97" s="762"/>
      <c r="AL97" s="627" t="str">
        <f t="shared" ref="AL97:AW97" si="41">IF((V98="CUMPLIDO"),"1","0")</f>
        <v>0</v>
      </c>
      <c r="AM97" s="627" t="str">
        <f t="shared" si="41"/>
        <v>0</v>
      </c>
      <c r="AN97" s="627" t="str">
        <f t="shared" si="41"/>
        <v>0</v>
      </c>
      <c r="AO97" s="627" t="str">
        <f t="shared" si="41"/>
        <v>0</v>
      </c>
      <c r="AP97" s="627" t="str">
        <f t="shared" si="41"/>
        <v>0</v>
      </c>
      <c r="AQ97" s="627" t="str">
        <f t="shared" si="41"/>
        <v>0</v>
      </c>
      <c r="AR97" s="627" t="str">
        <f t="shared" si="41"/>
        <v>0</v>
      </c>
      <c r="AS97" s="627" t="str">
        <f t="shared" si="41"/>
        <v>0</v>
      </c>
      <c r="AT97" s="627" t="str">
        <f t="shared" si="41"/>
        <v>0</v>
      </c>
      <c r="AU97" s="627" t="str">
        <f t="shared" si="41"/>
        <v>0</v>
      </c>
      <c r="AV97" s="627" t="str">
        <f t="shared" si="41"/>
        <v>0</v>
      </c>
      <c r="AW97" s="627" t="str">
        <f t="shared" si="41"/>
        <v>0</v>
      </c>
      <c r="AX97" s="628">
        <f>SUM(AL97+AM97+AN97+AO97+AP97+AQ97+AR97+AS97+AT97+AU97+AV97+AW97)</f>
        <v>0</v>
      </c>
      <c r="AY97" s="629">
        <f>AX97/2</f>
        <v>0</v>
      </c>
    </row>
    <row r="98" spans="2:51" ht="17.25" customHeight="1" x14ac:dyDescent="0.25">
      <c r="B98" s="537"/>
      <c r="C98" s="538"/>
      <c r="D98" s="538"/>
      <c r="E98" s="544"/>
      <c r="F98" s="485"/>
      <c r="G98" s="485"/>
      <c r="H98" s="485"/>
      <c r="I98" s="485"/>
      <c r="J98" s="520"/>
      <c r="K98" s="521"/>
      <c r="L98" s="521"/>
      <c r="M98" s="521"/>
      <c r="N98" s="521"/>
      <c r="O98" s="522"/>
      <c r="P98" s="653"/>
      <c r="Q98" s="662"/>
      <c r="R98" s="663"/>
      <c r="S98" s="634"/>
      <c r="T98" s="632"/>
      <c r="V98" s="114"/>
      <c r="X98" s="136" t="s">
        <v>516</v>
      </c>
      <c r="Y98" s="136" t="s">
        <v>516</v>
      </c>
      <c r="Z98" s="97"/>
      <c r="AA98" s="97"/>
      <c r="AB98" s="97"/>
      <c r="AC98" s="97"/>
      <c r="AD98" s="97"/>
      <c r="AE98" s="97"/>
      <c r="AF98" s="97"/>
      <c r="AG98" s="165"/>
      <c r="AH98" s="644"/>
      <c r="AI98" s="644"/>
      <c r="AJ98" s="763"/>
      <c r="AK98" s="764"/>
      <c r="AL98" s="627"/>
      <c r="AM98" s="627"/>
      <c r="AN98" s="627"/>
      <c r="AO98" s="627"/>
      <c r="AP98" s="627"/>
      <c r="AQ98" s="627"/>
      <c r="AR98" s="627"/>
      <c r="AS98" s="627"/>
      <c r="AT98" s="627"/>
      <c r="AU98" s="627"/>
      <c r="AV98" s="627"/>
      <c r="AW98" s="627"/>
      <c r="AX98" s="628"/>
      <c r="AY98" s="629"/>
    </row>
    <row r="99" spans="2:51" ht="17.25" customHeight="1" x14ac:dyDescent="0.25">
      <c r="B99" s="537"/>
      <c r="C99" s="538"/>
      <c r="D99" s="538"/>
      <c r="E99" s="544"/>
      <c r="F99" s="485"/>
      <c r="G99" s="485"/>
      <c r="H99" s="485"/>
      <c r="I99" s="485"/>
      <c r="J99" s="514" t="s">
        <v>153</v>
      </c>
      <c r="K99" s="515"/>
      <c r="L99" s="515"/>
      <c r="M99" s="515"/>
      <c r="N99" s="515"/>
      <c r="O99" s="516"/>
      <c r="P99" s="652" t="s">
        <v>140</v>
      </c>
      <c r="Q99" s="726"/>
      <c r="R99" s="727"/>
      <c r="S99" s="633" t="s">
        <v>180</v>
      </c>
      <c r="T99" s="631">
        <v>2</v>
      </c>
      <c r="V99" s="72"/>
      <c r="W99" s="72"/>
      <c r="X99" s="72"/>
      <c r="Y99" s="112"/>
      <c r="Z99" s="112"/>
      <c r="AA99" s="72"/>
      <c r="AB99" s="72"/>
      <c r="AC99" s="72"/>
      <c r="AD99" s="72"/>
      <c r="AE99" s="72"/>
      <c r="AF99" s="72"/>
      <c r="AG99" s="165"/>
      <c r="AH99" s="644" t="s">
        <v>456</v>
      </c>
      <c r="AI99" s="644"/>
      <c r="AJ99" s="761">
        <v>700</v>
      </c>
      <c r="AK99" s="762"/>
      <c r="AL99" s="627" t="str">
        <f t="shared" ref="AL99:AW99" si="42">IF((V100="CUMPLIDO"),"1","0")</f>
        <v>0</v>
      </c>
      <c r="AM99" s="627" t="str">
        <f t="shared" si="42"/>
        <v>0</v>
      </c>
      <c r="AN99" s="627" t="str">
        <f t="shared" si="42"/>
        <v>0</v>
      </c>
      <c r="AO99" s="627" t="str">
        <f t="shared" si="42"/>
        <v>0</v>
      </c>
      <c r="AP99" s="627" t="str">
        <f t="shared" si="42"/>
        <v>0</v>
      </c>
      <c r="AQ99" s="627" t="str">
        <f t="shared" si="42"/>
        <v>0</v>
      </c>
      <c r="AR99" s="627" t="str">
        <f t="shared" si="42"/>
        <v>0</v>
      </c>
      <c r="AS99" s="627" t="str">
        <f t="shared" si="42"/>
        <v>0</v>
      </c>
      <c r="AT99" s="627" t="str">
        <f t="shared" si="42"/>
        <v>0</v>
      </c>
      <c r="AU99" s="627" t="str">
        <f t="shared" si="42"/>
        <v>0</v>
      </c>
      <c r="AV99" s="627" t="str">
        <f t="shared" si="42"/>
        <v>0</v>
      </c>
      <c r="AW99" s="627" t="str">
        <f t="shared" si="42"/>
        <v>0</v>
      </c>
      <c r="AX99" s="628">
        <f>SUM(AL99+AM99+AN99+AO99+AP99+AQ99+AR99+AS99+AT99+AU99+AV99+AW99)</f>
        <v>0</v>
      </c>
      <c r="AY99" s="629">
        <f>AX99/2</f>
        <v>0</v>
      </c>
    </row>
    <row r="100" spans="2:51" ht="17.25" customHeight="1" x14ac:dyDescent="0.25">
      <c r="B100" s="537"/>
      <c r="C100" s="538"/>
      <c r="D100" s="538"/>
      <c r="E100" s="546"/>
      <c r="F100" s="547"/>
      <c r="G100" s="547"/>
      <c r="H100" s="547"/>
      <c r="I100" s="547"/>
      <c r="J100" s="520"/>
      <c r="K100" s="521"/>
      <c r="L100" s="521"/>
      <c r="M100" s="521"/>
      <c r="N100" s="521"/>
      <c r="O100" s="522"/>
      <c r="P100" s="653"/>
      <c r="Q100" s="728"/>
      <c r="R100" s="729"/>
      <c r="S100" s="634"/>
      <c r="T100" s="632"/>
      <c r="V100" s="72"/>
      <c r="W100" s="72"/>
      <c r="X100" s="72"/>
      <c r="Y100" s="136" t="s">
        <v>516</v>
      </c>
      <c r="Z100" s="136" t="s">
        <v>516</v>
      </c>
      <c r="AA100" s="72"/>
      <c r="AB100" s="72"/>
      <c r="AC100" s="72"/>
      <c r="AD100" s="72"/>
      <c r="AE100" s="72"/>
      <c r="AF100" s="72"/>
      <c r="AG100" s="165"/>
      <c r="AH100" s="644"/>
      <c r="AI100" s="644"/>
      <c r="AJ100" s="763"/>
      <c r="AK100" s="764"/>
      <c r="AL100" s="627"/>
      <c r="AM100" s="627"/>
      <c r="AN100" s="627"/>
      <c r="AO100" s="627"/>
      <c r="AP100" s="627"/>
      <c r="AQ100" s="627"/>
      <c r="AR100" s="627"/>
      <c r="AS100" s="627"/>
      <c r="AT100" s="627"/>
      <c r="AU100" s="627"/>
      <c r="AV100" s="627"/>
      <c r="AW100" s="627"/>
      <c r="AX100" s="628"/>
      <c r="AY100" s="629"/>
    </row>
    <row r="101" spans="2:51" ht="17.25" customHeight="1" x14ac:dyDescent="0.25">
      <c r="B101" s="537"/>
      <c r="C101" s="538"/>
      <c r="D101" s="538"/>
      <c r="E101" s="541" t="s">
        <v>93</v>
      </c>
      <c r="F101" s="542"/>
      <c r="G101" s="542"/>
      <c r="H101" s="542"/>
      <c r="I101" s="543"/>
      <c r="J101" s="706" t="s">
        <v>148</v>
      </c>
      <c r="K101" s="707"/>
      <c r="L101" s="707"/>
      <c r="M101" s="707"/>
      <c r="N101" s="707"/>
      <c r="O101" s="708"/>
      <c r="P101" s="652" t="s">
        <v>140</v>
      </c>
      <c r="Q101" s="654" t="s">
        <v>151</v>
      </c>
      <c r="R101" s="655"/>
      <c r="S101" s="633" t="s">
        <v>180</v>
      </c>
      <c r="T101" s="631">
        <v>6</v>
      </c>
      <c r="V101" s="112"/>
      <c r="W101" s="112"/>
      <c r="X101" s="112"/>
      <c r="Y101" s="72"/>
      <c r="Z101" s="72"/>
      <c r="AA101" s="112"/>
      <c r="AB101" s="72"/>
      <c r="AC101" s="72"/>
      <c r="AD101" s="112"/>
      <c r="AE101" s="72"/>
      <c r="AF101" s="72"/>
      <c r="AG101" s="161"/>
      <c r="AH101" s="644" t="s">
        <v>457</v>
      </c>
      <c r="AI101" s="644"/>
      <c r="AJ101" s="761"/>
      <c r="AK101" s="762"/>
      <c r="AL101" s="627" t="str">
        <f t="shared" ref="AL101:AW101" si="43">IF((V102="CUMPLIDO"),"1","0")</f>
        <v>0</v>
      </c>
      <c r="AM101" s="627" t="str">
        <f t="shared" si="43"/>
        <v>0</v>
      </c>
      <c r="AN101" s="627" t="str">
        <f t="shared" si="43"/>
        <v>1</v>
      </c>
      <c r="AO101" s="627" t="str">
        <f t="shared" si="43"/>
        <v>0</v>
      </c>
      <c r="AP101" s="627" t="str">
        <f t="shared" si="43"/>
        <v>0</v>
      </c>
      <c r="AQ101" s="627" t="str">
        <f t="shared" si="43"/>
        <v>1</v>
      </c>
      <c r="AR101" s="627" t="str">
        <f t="shared" si="43"/>
        <v>0</v>
      </c>
      <c r="AS101" s="627" t="str">
        <f t="shared" si="43"/>
        <v>0</v>
      </c>
      <c r="AT101" s="627" t="str">
        <f t="shared" si="43"/>
        <v>0</v>
      </c>
      <c r="AU101" s="627" t="str">
        <f t="shared" si="43"/>
        <v>0</v>
      </c>
      <c r="AV101" s="627" t="str">
        <f t="shared" si="43"/>
        <v>0</v>
      </c>
      <c r="AW101" s="627" t="str">
        <f t="shared" si="43"/>
        <v>0</v>
      </c>
      <c r="AX101" s="628">
        <f>SUM(AL101+AM101+AN101+AO101+AP101+AQ101+AR101+AS101+AT101+AU101+AV101+AW101)</f>
        <v>2</v>
      </c>
      <c r="AY101" s="629">
        <f>AX101/6</f>
        <v>0.33333333333333331</v>
      </c>
    </row>
    <row r="102" spans="2:51" ht="17.25" customHeight="1" x14ac:dyDescent="0.25">
      <c r="B102" s="537"/>
      <c r="C102" s="538"/>
      <c r="D102" s="538"/>
      <c r="E102" s="544"/>
      <c r="F102" s="485"/>
      <c r="G102" s="485"/>
      <c r="H102" s="485"/>
      <c r="I102" s="545"/>
      <c r="J102" s="709"/>
      <c r="K102" s="710"/>
      <c r="L102" s="710"/>
      <c r="M102" s="710"/>
      <c r="N102" s="710"/>
      <c r="O102" s="711"/>
      <c r="P102" s="653"/>
      <c r="Q102" s="656"/>
      <c r="R102" s="657"/>
      <c r="S102" s="634"/>
      <c r="T102" s="632"/>
      <c r="V102" s="136" t="s">
        <v>516</v>
      </c>
      <c r="W102" s="136" t="s">
        <v>516</v>
      </c>
      <c r="X102" s="136" t="s">
        <v>522</v>
      </c>
      <c r="Y102" s="72"/>
      <c r="Z102" s="72"/>
      <c r="AA102" s="136" t="s">
        <v>522</v>
      </c>
      <c r="AB102" s="72"/>
      <c r="AC102" s="72"/>
      <c r="AD102" s="136" t="s">
        <v>516</v>
      </c>
      <c r="AE102" s="72"/>
      <c r="AF102" s="72"/>
      <c r="AG102" s="136" t="s">
        <v>516</v>
      </c>
      <c r="AH102" s="644"/>
      <c r="AI102" s="644"/>
      <c r="AJ102" s="763"/>
      <c r="AK102" s="764"/>
      <c r="AL102" s="627"/>
      <c r="AM102" s="627"/>
      <c r="AN102" s="627"/>
      <c r="AO102" s="627"/>
      <c r="AP102" s="627"/>
      <c r="AQ102" s="627"/>
      <c r="AR102" s="627"/>
      <c r="AS102" s="627"/>
      <c r="AT102" s="627"/>
      <c r="AU102" s="627"/>
      <c r="AV102" s="627"/>
      <c r="AW102" s="627"/>
      <c r="AX102" s="628"/>
      <c r="AY102" s="629"/>
    </row>
    <row r="103" spans="2:51" ht="17.25" customHeight="1" x14ac:dyDescent="0.25">
      <c r="B103" s="537"/>
      <c r="C103" s="538"/>
      <c r="D103" s="538"/>
      <c r="E103" s="544"/>
      <c r="F103" s="485"/>
      <c r="G103" s="485"/>
      <c r="H103" s="485"/>
      <c r="I103" s="545"/>
      <c r="J103" s="706" t="s">
        <v>149</v>
      </c>
      <c r="K103" s="707"/>
      <c r="L103" s="707"/>
      <c r="M103" s="707"/>
      <c r="N103" s="707"/>
      <c r="O103" s="708"/>
      <c r="P103" s="652" t="s">
        <v>140</v>
      </c>
      <c r="Q103" s="654" t="s">
        <v>152</v>
      </c>
      <c r="R103" s="655"/>
      <c r="S103" s="633" t="s">
        <v>180</v>
      </c>
      <c r="T103" s="631">
        <v>4</v>
      </c>
      <c r="V103" s="72"/>
      <c r="X103" s="112"/>
      <c r="Y103" s="72"/>
      <c r="Z103" s="72"/>
      <c r="AA103" s="112"/>
      <c r="AB103" s="72"/>
      <c r="AC103" s="72"/>
      <c r="AD103" s="112"/>
      <c r="AE103" s="72"/>
      <c r="AF103" s="72"/>
      <c r="AG103" s="161"/>
      <c r="AH103" s="644" t="s">
        <v>458</v>
      </c>
      <c r="AI103" s="644"/>
      <c r="AJ103" s="761">
        <v>200</v>
      </c>
      <c r="AK103" s="762"/>
      <c r="AL103" s="627" t="str">
        <f t="shared" ref="AL103:AW103" si="44">IF((V104="CUMPLIDO"),"1","0")</f>
        <v>0</v>
      </c>
      <c r="AM103" s="627" t="str">
        <f t="shared" si="44"/>
        <v>0</v>
      </c>
      <c r="AN103" s="627" t="str">
        <f t="shared" si="44"/>
        <v>1</v>
      </c>
      <c r="AO103" s="627" t="str">
        <f t="shared" si="44"/>
        <v>0</v>
      </c>
      <c r="AP103" s="627" t="str">
        <f t="shared" si="44"/>
        <v>0</v>
      </c>
      <c r="AQ103" s="627" t="str">
        <f t="shared" si="44"/>
        <v>1</v>
      </c>
      <c r="AR103" s="627" t="str">
        <f t="shared" si="44"/>
        <v>0</v>
      </c>
      <c r="AS103" s="627" t="str">
        <f t="shared" si="44"/>
        <v>0</v>
      </c>
      <c r="AT103" s="627" t="str">
        <f t="shared" si="44"/>
        <v>0</v>
      </c>
      <c r="AU103" s="627" t="str">
        <f t="shared" si="44"/>
        <v>0</v>
      </c>
      <c r="AV103" s="627" t="str">
        <f t="shared" si="44"/>
        <v>0</v>
      </c>
      <c r="AW103" s="627" t="str">
        <f t="shared" si="44"/>
        <v>0</v>
      </c>
      <c r="AX103" s="628">
        <f>SUM(AL103+AM103+AN103+AO103+AP103+AQ103+AR103+AS103+AT103+AU103+AV103+AW103)</f>
        <v>2</v>
      </c>
      <c r="AY103" s="629">
        <f>AX103/4</f>
        <v>0.5</v>
      </c>
    </row>
    <row r="104" spans="2:51" ht="17.25" customHeight="1" x14ac:dyDescent="0.25">
      <c r="B104" s="537"/>
      <c r="C104" s="538"/>
      <c r="D104" s="538"/>
      <c r="E104" s="544"/>
      <c r="F104" s="485"/>
      <c r="G104" s="485"/>
      <c r="H104" s="485"/>
      <c r="I104" s="545"/>
      <c r="J104" s="709"/>
      <c r="K104" s="710"/>
      <c r="L104" s="710"/>
      <c r="M104" s="710"/>
      <c r="N104" s="710"/>
      <c r="O104" s="711"/>
      <c r="P104" s="653"/>
      <c r="Q104" s="656"/>
      <c r="R104" s="657"/>
      <c r="S104" s="634"/>
      <c r="T104" s="632"/>
      <c r="V104" s="72"/>
      <c r="W104" s="72"/>
      <c r="X104" s="136" t="s">
        <v>522</v>
      </c>
      <c r="Y104" s="72"/>
      <c r="Z104" s="72"/>
      <c r="AA104" s="136" t="s">
        <v>522</v>
      </c>
      <c r="AB104" s="72"/>
      <c r="AC104" s="72"/>
      <c r="AD104" s="136" t="s">
        <v>516</v>
      </c>
      <c r="AE104" s="72"/>
      <c r="AF104" s="72"/>
      <c r="AG104" s="136" t="s">
        <v>516</v>
      </c>
      <c r="AH104" s="644"/>
      <c r="AI104" s="644"/>
      <c r="AJ104" s="763"/>
      <c r="AK104" s="764"/>
      <c r="AL104" s="627"/>
      <c r="AM104" s="627"/>
      <c r="AN104" s="627"/>
      <c r="AO104" s="627"/>
      <c r="AP104" s="627"/>
      <c r="AQ104" s="627"/>
      <c r="AR104" s="627"/>
      <c r="AS104" s="627"/>
      <c r="AT104" s="627"/>
      <c r="AU104" s="627"/>
      <c r="AV104" s="627"/>
      <c r="AW104" s="627"/>
      <c r="AX104" s="628"/>
      <c r="AY104" s="629"/>
    </row>
    <row r="105" spans="2:51" ht="17.25" customHeight="1" x14ac:dyDescent="0.25">
      <c r="B105" s="537"/>
      <c r="C105" s="538"/>
      <c r="D105" s="538"/>
      <c r="E105" s="544"/>
      <c r="F105" s="485"/>
      <c r="G105" s="485"/>
      <c r="H105" s="485"/>
      <c r="I105" s="545"/>
      <c r="J105" s="541" t="s">
        <v>150</v>
      </c>
      <c r="K105" s="542"/>
      <c r="L105" s="542"/>
      <c r="M105" s="542"/>
      <c r="N105" s="542"/>
      <c r="O105" s="543"/>
      <c r="P105" s="652" t="s">
        <v>140</v>
      </c>
      <c r="Q105" s="654" t="s">
        <v>152</v>
      </c>
      <c r="R105" s="655"/>
      <c r="S105" s="633" t="s">
        <v>180</v>
      </c>
      <c r="T105" s="631">
        <v>4</v>
      </c>
      <c r="V105" s="72"/>
      <c r="W105" s="72"/>
      <c r="X105" s="112"/>
      <c r="Y105" s="72"/>
      <c r="Z105" s="72"/>
      <c r="AA105" s="112"/>
      <c r="AB105" s="72"/>
      <c r="AC105" s="72"/>
      <c r="AD105" s="112"/>
      <c r="AE105" s="72"/>
      <c r="AF105" s="72"/>
      <c r="AG105" s="161"/>
      <c r="AH105" s="644" t="s">
        <v>459</v>
      </c>
      <c r="AI105" s="644"/>
      <c r="AJ105" s="761">
        <v>1500</v>
      </c>
      <c r="AK105" s="762"/>
      <c r="AL105" s="627" t="str">
        <f t="shared" ref="AL105:AW105" si="45">IF((V106="CUMPLIDO"),"1","0")</f>
        <v>0</v>
      </c>
      <c r="AM105" s="627" t="str">
        <f t="shared" si="45"/>
        <v>0</v>
      </c>
      <c r="AN105" s="627" t="str">
        <f t="shared" si="45"/>
        <v>1</v>
      </c>
      <c r="AO105" s="627" t="str">
        <f t="shared" si="45"/>
        <v>0</v>
      </c>
      <c r="AP105" s="627" t="str">
        <f t="shared" si="45"/>
        <v>0</v>
      </c>
      <c r="AQ105" s="627" t="str">
        <f t="shared" si="45"/>
        <v>1</v>
      </c>
      <c r="AR105" s="627" t="str">
        <f t="shared" si="45"/>
        <v>0</v>
      </c>
      <c r="AS105" s="627" t="str">
        <f t="shared" si="45"/>
        <v>0</v>
      </c>
      <c r="AT105" s="627" t="str">
        <f t="shared" si="45"/>
        <v>0</v>
      </c>
      <c r="AU105" s="627" t="str">
        <f t="shared" si="45"/>
        <v>0</v>
      </c>
      <c r="AV105" s="627" t="str">
        <f t="shared" si="45"/>
        <v>0</v>
      </c>
      <c r="AW105" s="627" t="str">
        <f t="shared" si="45"/>
        <v>0</v>
      </c>
      <c r="AX105" s="628">
        <f>SUM(AL105+AM105+AN105+AO105+AP105+AQ105+AR105+AS105+AT105+AU105+AV105+AW105)</f>
        <v>2</v>
      </c>
      <c r="AY105" s="629">
        <f>AX105/4</f>
        <v>0.5</v>
      </c>
    </row>
    <row r="106" spans="2:51" ht="17.25" customHeight="1" x14ac:dyDescent="0.25">
      <c r="B106" s="537"/>
      <c r="C106" s="538"/>
      <c r="D106" s="538"/>
      <c r="E106" s="546"/>
      <c r="F106" s="547"/>
      <c r="G106" s="547"/>
      <c r="H106" s="547"/>
      <c r="I106" s="548"/>
      <c r="J106" s="546"/>
      <c r="K106" s="547"/>
      <c r="L106" s="547"/>
      <c r="M106" s="547"/>
      <c r="N106" s="547"/>
      <c r="O106" s="548"/>
      <c r="P106" s="653"/>
      <c r="Q106" s="656"/>
      <c r="R106" s="657"/>
      <c r="S106" s="634"/>
      <c r="T106" s="632"/>
      <c r="V106" s="72"/>
      <c r="W106" s="72"/>
      <c r="X106" s="136" t="s">
        <v>522</v>
      </c>
      <c r="Y106" s="114"/>
      <c r="Z106" s="114"/>
      <c r="AA106" s="136" t="s">
        <v>522</v>
      </c>
      <c r="AB106" s="114"/>
      <c r="AC106" s="114"/>
      <c r="AD106" s="136" t="s">
        <v>516</v>
      </c>
      <c r="AE106" s="114"/>
      <c r="AF106" s="114"/>
      <c r="AG106" s="136" t="s">
        <v>516</v>
      </c>
      <c r="AH106" s="644"/>
      <c r="AI106" s="644"/>
      <c r="AJ106" s="763"/>
      <c r="AK106" s="764"/>
      <c r="AL106" s="627"/>
      <c r="AM106" s="627"/>
      <c r="AN106" s="627"/>
      <c r="AO106" s="627"/>
      <c r="AP106" s="627"/>
      <c r="AQ106" s="627"/>
      <c r="AR106" s="627"/>
      <c r="AS106" s="627"/>
      <c r="AT106" s="627"/>
      <c r="AU106" s="627"/>
      <c r="AV106" s="627"/>
      <c r="AW106" s="627"/>
      <c r="AX106" s="628"/>
      <c r="AY106" s="629"/>
    </row>
    <row r="107" spans="2:51" ht="15" customHeight="1" x14ac:dyDescent="0.25">
      <c r="B107" s="537"/>
      <c r="C107" s="538"/>
      <c r="D107" s="538"/>
      <c r="E107" s="514" t="s">
        <v>94</v>
      </c>
      <c r="F107" s="515"/>
      <c r="G107" s="515"/>
      <c r="H107" s="515"/>
      <c r="I107" s="770"/>
      <c r="J107" s="768" t="s">
        <v>146</v>
      </c>
      <c r="K107" s="515"/>
      <c r="L107" s="515"/>
      <c r="M107" s="515"/>
      <c r="N107" s="515"/>
      <c r="O107" s="516"/>
      <c r="P107" s="652" t="s">
        <v>194</v>
      </c>
      <c r="Q107" s="660" t="s">
        <v>361</v>
      </c>
      <c r="R107" s="661"/>
      <c r="S107" s="633" t="s">
        <v>180</v>
      </c>
      <c r="T107" s="631">
        <v>12</v>
      </c>
      <c r="V107" s="112"/>
      <c r="W107" s="112"/>
      <c r="X107" s="112"/>
      <c r="Y107" s="112"/>
      <c r="Z107" s="112"/>
      <c r="AA107" s="112"/>
      <c r="AB107" s="112"/>
      <c r="AC107" s="112"/>
      <c r="AD107" s="112"/>
      <c r="AE107" s="112"/>
      <c r="AF107" s="112"/>
      <c r="AG107" s="168"/>
      <c r="AH107" s="645" t="s">
        <v>362</v>
      </c>
      <c r="AI107" s="646"/>
      <c r="AJ107" s="761">
        <v>3000</v>
      </c>
      <c r="AK107" s="762"/>
      <c r="AL107" s="627" t="str">
        <f t="shared" ref="AL107:AW107" si="46">IF((V108="CUMPLIDO"),"1","0")</f>
        <v>0</v>
      </c>
      <c r="AM107" s="627" t="str">
        <f t="shared" si="46"/>
        <v>0</v>
      </c>
      <c r="AN107" s="627" t="str">
        <f t="shared" si="46"/>
        <v>0</v>
      </c>
      <c r="AO107" s="627" t="str">
        <f t="shared" si="46"/>
        <v>0</v>
      </c>
      <c r="AP107" s="627" t="str">
        <f t="shared" si="46"/>
        <v>0</v>
      </c>
      <c r="AQ107" s="627" t="str">
        <f t="shared" si="46"/>
        <v>0</v>
      </c>
      <c r="AR107" s="627" t="str">
        <f t="shared" si="46"/>
        <v>0</v>
      </c>
      <c r="AS107" s="627" t="str">
        <f t="shared" si="46"/>
        <v>0</v>
      </c>
      <c r="AT107" s="627" t="str">
        <f t="shared" si="46"/>
        <v>0</v>
      </c>
      <c r="AU107" s="627" t="str">
        <f t="shared" si="46"/>
        <v>0</v>
      </c>
      <c r="AV107" s="627" t="str">
        <f t="shared" si="46"/>
        <v>0</v>
      </c>
      <c r="AW107" s="627" t="str">
        <f t="shared" si="46"/>
        <v>0</v>
      </c>
      <c r="AX107" s="628">
        <f>SUM(AL107+AM107+AN107+AO107+AP107+AQ107+AR107+AS107+AT107+AU107+AV107+AW107)</f>
        <v>0</v>
      </c>
      <c r="AY107" s="629">
        <f>AX107/12</f>
        <v>0</v>
      </c>
    </row>
    <row r="108" spans="2:51" ht="15" customHeight="1" x14ac:dyDescent="0.25">
      <c r="B108" s="537"/>
      <c r="C108" s="538"/>
      <c r="D108" s="538"/>
      <c r="E108" s="517"/>
      <c r="F108" s="518"/>
      <c r="G108" s="518"/>
      <c r="H108" s="518"/>
      <c r="I108" s="771"/>
      <c r="J108" s="691"/>
      <c r="K108" s="692"/>
      <c r="L108" s="692"/>
      <c r="M108" s="692"/>
      <c r="N108" s="692"/>
      <c r="O108" s="769"/>
      <c r="P108" s="653"/>
      <c r="Q108" s="662"/>
      <c r="R108" s="663"/>
      <c r="S108" s="634"/>
      <c r="T108" s="632"/>
      <c r="V108" s="136" t="s">
        <v>516</v>
      </c>
      <c r="W108" s="136" t="s">
        <v>516</v>
      </c>
      <c r="X108" s="136" t="s">
        <v>516</v>
      </c>
      <c r="Y108" s="136" t="s">
        <v>516</v>
      </c>
      <c r="Z108" s="136" t="s">
        <v>516</v>
      </c>
      <c r="AA108" s="136" t="s">
        <v>516</v>
      </c>
      <c r="AB108" s="136" t="s">
        <v>516</v>
      </c>
      <c r="AC108" s="136" t="s">
        <v>516</v>
      </c>
      <c r="AD108" s="136" t="s">
        <v>516</v>
      </c>
      <c r="AE108" s="136" t="s">
        <v>516</v>
      </c>
      <c r="AF108" s="136" t="s">
        <v>516</v>
      </c>
      <c r="AG108" s="136" t="s">
        <v>516</v>
      </c>
      <c r="AH108" s="647"/>
      <c r="AI108" s="648"/>
      <c r="AJ108" s="763"/>
      <c r="AK108" s="764"/>
      <c r="AL108" s="627"/>
      <c r="AM108" s="627"/>
      <c r="AN108" s="627"/>
      <c r="AO108" s="627"/>
      <c r="AP108" s="627"/>
      <c r="AQ108" s="627"/>
      <c r="AR108" s="627"/>
      <c r="AS108" s="627"/>
      <c r="AT108" s="627"/>
      <c r="AU108" s="627"/>
      <c r="AV108" s="627"/>
      <c r="AW108" s="627"/>
      <c r="AX108" s="628"/>
      <c r="AY108" s="629"/>
    </row>
    <row r="109" spans="2:51" ht="15" customHeight="1" x14ac:dyDescent="0.25">
      <c r="B109" s="537"/>
      <c r="C109" s="538"/>
      <c r="D109" s="538"/>
      <c r="E109" s="517"/>
      <c r="F109" s="518"/>
      <c r="G109" s="518"/>
      <c r="H109" s="518"/>
      <c r="I109" s="771"/>
      <c r="J109" s="481" t="s">
        <v>159</v>
      </c>
      <c r="K109" s="482"/>
      <c r="L109" s="482"/>
      <c r="M109" s="482"/>
      <c r="N109" s="482"/>
      <c r="O109" s="483"/>
      <c r="P109" s="773" t="s">
        <v>194</v>
      </c>
      <c r="Q109" s="660" t="s">
        <v>363</v>
      </c>
      <c r="R109" s="661"/>
      <c r="S109" s="633" t="s">
        <v>180</v>
      </c>
      <c r="T109" s="631">
        <v>1</v>
      </c>
      <c r="V109" s="72"/>
      <c r="W109" s="72"/>
      <c r="X109" s="72"/>
      <c r="Y109" s="112"/>
      <c r="Z109" s="72"/>
      <c r="AA109" s="72"/>
      <c r="AB109" s="72"/>
      <c r="AC109" s="113"/>
      <c r="AD109" s="72"/>
      <c r="AE109" s="72"/>
      <c r="AF109" s="72"/>
      <c r="AG109" s="183"/>
      <c r="AH109" s="645" t="s">
        <v>221</v>
      </c>
      <c r="AI109" s="646"/>
      <c r="AJ109" s="761"/>
      <c r="AK109" s="762"/>
      <c r="AL109" s="627" t="str">
        <f t="shared" ref="AL109:AW109" si="47">IF((V110="CUMPLIDO"),"1","0")</f>
        <v>0</v>
      </c>
      <c r="AM109" s="627" t="str">
        <f t="shared" si="47"/>
        <v>0</v>
      </c>
      <c r="AN109" s="627" t="str">
        <f t="shared" si="47"/>
        <v>0</v>
      </c>
      <c r="AO109" s="627" t="str">
        <f t="shared" si="47"/>
        <v>0</v>
      </c>
      <c r="AP109" s="627" t="str">
        <f t="shared" si="47"/>
        <v>0</v>
      </c>
      <c r="AQ109" s="627" t="str">
        <f t="shared" si="47"/>
        <v>0</v>
      </c>
      <c r="AR109" s="627" t="str">
        <f t="shared" si="47"/>
        <v>0</v>
      </c>
      <c r="AS109" s="627" t="str">
        <f t="shared" si="47"/>
        <v>0</v>
      </c>
      <c r="AT109" s="627" t="str">
        <f t="shared" si="47"/>
        <v>0</v>
      </c>
      <c r="AU109" s="627" t="str">
        <f t="shared" si="47"/>
        <v>0</v>
      </c>
      <c r="AV109" s="627" t="str">
        <f t="shared" si="47"/>
        <v>0</v>
      </c>
      <c r="AW109" s="627" t="str">
        <f t="shared" si="47"/>
        <v>0</v>
      </c>
      <c r="AX109" s="628">
        <f>SUM(AL109+AM109+AN109+AO109+AP109+AQ109+AR109+AS109+AT109+AU109+AV109+AW109)</f>
        <v>0</v>
      </c>
      <c r="AY109" s="629">
        <f>AX109/1</f>
        <v>0</v>
      </c>
    </row>
    <row r="110" spans="2:51" ht="15" customHeight="1" x14ac:dyDescent="0.25">
      <c r="B110" s="537"/>
      <c r="C110" s="538"/>
      <c r="D110" s="538"/>
      <c r="E110" s="520"/>
      <c r="F110" s="521"/>
      <c r="G110" s="521"/>
      <c r="H110" s="521"/>
      <c r="I110" s="772"/>
      <c r="J110" s="487"/>
      <c r="K110" s="488"/>
      <c r="L110" s="488"/>
      <c r="M110" s="488"/>
      <c r="N110" s="488"/>
      <c r="O110" s="489"/>
      <c r="P110" s="774"/>
      <c r="Q110" s="662"/>
      <c r="R110" s="663"/>
      <c r="S110" s="634"/>
      <c r="T110" s="632"/>
      <c r="V110" s="172"/>
      <c r="W110" s="172"/>
      <c r="X110" s="172"/>
      <c r="Y110" s="136" t="s">
        <v>516</v>
      </c>
      <c r="Z110" s="172"/>
      <c r="AA110" s="172"/>
      <c r="AB110" s="172"/>
      <c r="AC110" s="172"/>
      <c r="AD110" s="172"/>
      <c r="AE110" s="172"/>
      <c r="AF110" s="172"/>
      <c r="AG110" s="160"/>
      <c r="AH110" s="647"/>
      <c r="AI110" s="648"/>
      <c r="AJ110" s="763"/>
      <c r="AK110" s="764"/>
      <c r="AL110" s="627"/>
      <c r="AM110" s="627"/>
      <c r="AN110" s="627"/>
      <c r="AO110" s="627"/>
      <c r="AP110" s="627"/>
      <c r="AQ110" s="627"/>
      <c r="AR110" s="627"/>
      <c r="AS110" s="627"/>
      <c r="AT110" s="627"/>
      <c r="AU110" s="627"/>
      <c r="AV110" s="627"/>
      <c r="AW110" s="627"/>
      <c r="AX110" s="628"/>
      <c r="AY110" s="629"/>
    </row>
    <row r="111" spans="2:51" ht="15" customHeight="1" x14ac:dyDescent="0.25">
      <c r="B111" s="537"/>
      <c r="C111" s="538"/>
      <c r="D111" s="538"/>
      <c r="E111" s="514" t="s">
        <v>54</v>
      </c>
      <c r="F111" s="515"/>
      <c r="G111" s="515"/>
      <c r="H111" s="515"/>
      <c r="I111" s="515"/>
      <c r="J111" s="775" t="s">
        <v>219</v>
      </c>
      <c r="K111" s="775"/>
      <c r="L111" s="775"/>
      <c r="M111" s="775"/>
      <c r="N111" s="775"/>
      <c r="O111" s="775"/>
      <c r="P111" s="773" t="s">
        <v>194</v>
      </c>
      <c r="Q111" s="660" t="s">
        <v>364</v>
      </c>
      <c r="R111" s="661"/>
      <c r="S111" s="633" t="s">
        <v>180</v>
      </c>
      <c r="T111" s="631">
        <v>1</v>
      </c>
      <c r="V111" s="112"/>
      <c r="W111" s="72"/>
      <c r="X111" s="72"/>
      <c r="Y111" s="72"/>
      <c r="Z111" s="72"/>
      <c r="AA111" s="72"/>
      <c r="AB111" s="72"/>
      <c r="AC111" s="72"/>
      <c r="AD111" s="72"/>
      <c r="AE111" s="72"/>
      <c r="AF111" s="165"/>
      <c r="AG111" s="159"/>
      <c r="AH111" s="645" t="s">
        <v>220</v>
      </c>
      <c r="AI111" s="646"/>
      <c r="AJ111" s="761"/>
      <c r="AK111" s="762"/>
      <c r="AL111" s="627" t="str">
        <f t="shared" ref="AL111:AW111" si="48">IF((V112="CUMPLIDO"),"1","0")</f>
        <v>1</v>
      </c>
      <c r="AM111" s="627" t="str">
        <f t="shared" si="48"/>
        <v>0</v>
      </c>
      <c r="AN111" s="627" t="str">
        <f t="shared" si="48"/>
        <v>0</v>
      </c>
      <c r="AO111" s="627" t="str">
        <f t="shared" si="48"/>
        <v>0</v>
      </c>
      <c r="AP111" s="627" t="str">
        <f t="shared" si="48"/>
        <v>0</v>
      </c>
      <c r="AQ111" s="627" t="str">
        <f t="shared" si="48"/>
        <v>0</v>
      </c>
      <c r="AR111" s="627" t="str">
        <f t="shared" si="48"/>
        <v>0</v>
      </c>
      <c r="AS111" s="627" t="str">
        <f t="shared" si="48"/>
        <v>0</v>
      </c>
      <c r="AT111" s="627" t="str">
        <f t="shared" si="48"/>
        <v>0</v>
      </c>
      <c r="AU111" s="627" t="str">
        <f t="shared" si="48"/>
        <v>0</v>
      </c>
      <c r="AV111" s="627" t="str">
        <f t="shared" si="48"/>
        <v>0</v>
      </c>
      <c r="AW111" s="627" t="str">
        <f t="shared" si="48"/>
        <v>0</v>
      </c>
      <c r="AX111" s="628">
        <f>SUM(AL111+AM111+AN111+AO111+AP111+AQ111+AR111+AS111+AT111+AU111+AV111+AW111)</f>
        <v>1</v>
      </c>
      <c r="AY111" s="629">
        <f>AX111/1</f>
        <v>1</v>
      </c>
    </row>
    <row r="112" spans="2:51" ht="15" customHeight="1" x14ac:dyDescent="0.25">
      <c r="B112" s="537"/>
      <c r="C112" s="538"/>
      <c r="D112" s="538"/>
      <c r="E112" s="517"/>
      <c r="F112" s="518"/>
      <c r="G112" s="518"/>
      <c r="H112" s="518"/>
      <c r="I112" s="518"/>
      <c r="J112" s="775"/>
      <c r="K112" s="775"/>
      <c r="L112" s="775"/>
      <c r="M112" s="775"/>
      <c r="N112" s="775"/>
      <c r="O112" s="775"/>
      <c r="P112" s="774"/>
      <c r="Q112" s="662"/>
      <c r="R112" s="663"/>
      <c r="S112" s="634"/>
      <c r="T112" s="632"/>
      <c r="V112" s="136" t="s">
        <v>522</v>
      </c>
      <c r="W112" s="172"/>
      <c r="X112" s="172"/>
      <c r="Y112" s="172"/>
      <c r="Z112" s="172"/>
      <c r="AA112" s="172"/>
      <c r="AB112" s="172"/>
      <c r="AC112" s="172"/>
      <c r="AD112" s="172"/>
      <c r="AE112" s="172"/>
      <c r="AF112" s="165"/>
      <c r="AG112" s="159"/>
      <c r="AH112" s="647"/>
      <c r="AI112" s="648"/>
      <c r="AJ112" s="763"/>
      <c r="AK112" s="764"/>
      <c r="AL112" s="627"/>
      <c r="AM112" s="627"/>
      <c r="AN112" s="627"/>
      <c r="AO112" s="627"/>
      <c r="AP112" s="627"/>
      <c r="AQ112" s="627"/>
      <c r="AR112" s="627"/>
      <c r="AS112" s="627"/>
      <c r="AT112" s="627"/>
      <c r="AU112" s="627"/>
      <c r="AV112" s="627"/>
      <c r="AW112" s="627"/>
      <c r="AX112" s="628"/>
      <c r="AY112" s="629"/>
    </row>
    <row r="113" spans="2:51" ht="15" customHeight="1" x14ac:dyDescent="0.25">
      <c r="B113" s="537"/>
      <c r="C113" s="538"/>
      <c r="D113" s="538"/>
      <c r="E113" s="517"/>
      <c r="F113" s="518"/>
      <c r="G113" s="518"/>
      <c r="H113" s="518"/>
      <c r="I113" s="518"/>
      <c r="J113" s="783" t="s">
        <v>147</v>
      </c>
      <c r="K113" s="482"/>
      <c r="L113" s="482"/>
      <c r="M113" s="482"/>
      <c r="N113" s="482"/>
      <c r="O113" s="784"/>
      <c r="P113" s="652" t="s">
        <v>212</v>
      </c>
      <c r="Q113" s="654" t="s">
        <v>365</v>
      </c>
      <c r="R113" s="655"/>
      <c r="S113" s="633" t="s">
        <v>180</v>
      </c>
      <c r="T113" s="631">
        <v>1</v>
      </c>
      <c r="V113" s="150"/>
      <c r="W113" s="150"/>
      <c r="X113" s="112"/>
      <c r="Y113" s="150"/>
      <c r="Z113" s="150"/>
      <c r="AA113" s="150"/>
      <c r="AB113" s="150"/>
      <c r="AC113" s="150"/>
      <c r="AD113" s="150"/>
      <c r="AE113" s="150"/>
      <c r="AF113" s="151"/>
      <c r="AG113" s="159"/>
      <c r="AH113" s="645" t="s">
        <v>366</v>
      </c>
      <c r="AI113" s="646"/>
      <c r="AJ113" s="761"/>
      <c r="AK113" s="762"/>
      <c r="AL113" s="627" t="str">
        <f t="shared" ref="AL113:AW113" si="49">IF((V114="CUMPLIDO"),"1","0")</f>
        <v>0</v>
      </c>
      <c r="AM113" s="627" t="str">
        <f t="shared" si="49"/>
        <v>0</v>
      </c>
      <c r="AN113" s="627" t="str">
        <f t="shared" si="49"/>
        <v>1</v>
      </c>
      <c r="AO113" s="627" t="str">
        <f t="shared" si="49"/>
        <v>0</v>
      </c>
      <c r="AP113" s="627" t="str">
        <f t="shared" si="49"/>
        <v>0</v>
      </c>
      <c r="AQ113" s="627" t="str">
        <f t="shared" si="49"/>
        <v>0</v>
      </c>
      <c r="AR113" s="627" t="str">
        <f t="shared" si="49"/>
        <v>0</v>
      </c>
      <c r="AS113" s="627" t="str">
        <f t="shared" si="49"/>
        <v>0</v>
      </c>
      <c r="AT113" s="627" t="str">
        <f t="shared" si="49"/>
        <v>0</v>
      </c>
      <c r="AU113" s="627" t="str">
        <f t="shared" si="49"/>
        <v>0</v>
      </c>
      <c r="AV113" s="627" t="str">
        <f t="shared" si="49"/>
        <v>0</v>
      </c>
      <c r="AW113" s="627" t="str">
        <f t="shared" si="49"/>
        <v>0</v>
      </c>
      <c r="AX113" s="628">
        <f>SUM(AL113+AM113+AN113+AO113+AP113+AQ113+AR113+AS113+AT113+AU113+AV113+AW113)</f>
        <v>1</v>
      </c>
      <c r="AY113" s="629">
        <f>AX113/1</f>
        <v>1</v>
      </c>
    </row>
    <row r="114" spans="2:51" ht="15" customHeight="1" x14ac:dyDescent="0.25">
      <c r="B114" s="537"/>
      <c r="C114" s="538"/>
      <c r="D114" s="538"/>
      <c r="E114" s="517"/>
      <c r="F114" s="518"/>
      <c r="G114" s="518"/>
      <c r="H114" s="518"/>
      <c r="I114" s="518"/>
      <c r="J114" s="546"/>
      <c r="K114" s="547"/>
      <c r="L114" s="547"/>
      <c r="M114" s="547"/>
      <c r="N114" s="547"/>
      <c r="O114" s="548"/>
      <c r="P114" s="653"/>
      <c r="Q114" s="656"/>
      <c r="R114" s="657"/>
      <c r="S114" s="634"/>
      <c r="T114" s="632"/>
      <c r="V114" s="172"/>
      <c r="W114" s="172"/>
      <c r="X114" s="136" t="s">
        <v>522</v>
      </c>
      <c r="Y114" s="172"/>
      <c r="Z114" s="172"/>
      <c r="AA114" s="172"/>
      <c r="AB114" s="172"/>
      <c r="AC114" s="172"/>
      <c r="AD114" s="172"/>
      <c r="AE114" s="172"/>
      <c r="AF114" s="165"/>
      <c r="AG114" s="159"/>
      <c r="AH114" s="647"/>
      <c r="AI114" s="648"/>
      <c r="AJ114" s="763"/>
      <c r="AK114" s="764"/>
      <c r="AL114" s="627"/>
      <c r="AM114" s="627"/>
      <c r="AN114" s="627"/>
      <c r="AO114" s="627"/>
      <c r="AP114" s="627"/>
      <c r="AQ114" s="627"/>
      <c r="AR114" s="627"/>
      <c r="AS114" s="627"/>
      <c r="AT114" s="627"/>
      <c r="AU114" s="627"/>
      <c r="AV114" s="627"/>
      <c r="AW114" s="627"/>
      <c r="AX114" s="628"/>
      <c r="AY114" s="629"/>
    </row>
    <row r="115" spans="2:51" ht="15" customHeight="1" x14ac:dyDescent="0.25">
      <c r="B115" s="537"/>
      <c r="C115" s="538"/>
      <c r="D115" s="538"/>
      <c r="E115" s="517"/>
      <c r="F115" s="518"/>
      <c r="G115" s="518"/>
      <c r="H115" s="518"/>
      <c r="I115" s="518"/>
      <c r="J115" s="541" t="s">
        <v>368</v>
      </c>
      <c r="K115" s="542"/>
      <c r="L115" s="542"/>
      <c r="M115" s="542"/>
      <c r="N115" s="542"/>
      <c r="O115" s="543"/>
      <c r="P115" s="652" t="s">
        <v>212</v>
      </c>
      <c r="Q115" s="654" t="s">
        <v>367</v>
      </c>
      <c r="R115" s="655"/>
      <c r="S115" s="633" t="s">
        <v>180</v>
      </c>
      <c r="T115" s="631">
        <v>1</v>
      </c>
      <c r="V115" s="72"/>
      <c r="W115" s="112"/>
      <c r="X115" s="72"/>
      <c r="Y115" s="72"/>
      <c r="Z115" s="72"/>
      <c r="AA115" s="72"/>
      <c r="AB115" s="72"/>
      <c r="AC115" s="72"/>
      <c r="AD115" s="72"/>
      <c r="AE115" s="72"/>
      <c r="AF115" s="72"/>
      <c r="AG115" s="158"/>
      <c r="AH115" s="645" t="s">
        <v>369</v>
      </c>
      <c r="AI115" s="646"/>
      <c r="AJ115" s="782"/>
      <c r="AK115" s="782"/>
      <c r="AL115" s="627" t="str">
        <f t="shared" ref="AL115:AW115" si="50">IF((V116="CUMPLIDO"),"1","0")</f>
        <v>0</v>
      </c>
      <c r="AM115" s="627" t="str">
        <f t="shared" si="50"/>
        <v>1</v>
      </c>
      <c r="AN115" s="627" t="str">
        <f t="shared" si="50"/>
        <v>0</v>
      </c>
      <c r="AO115" s="627" t="str">
        <f t="shared" si="50"/>
        <v>0</v>
      </c>
      <c r="AP115" s="627" t="str">
        <f t="shared" si="50"/>
        <v>0</v>
      </c>
      <c r="AQ115" s="627" t="str">
        <f t="shared" si="50"/>
        <v>0</v>
      </c>
      <c r="AR115" s="627" t="str">
        <f t="shared" si="50"/>
        <v>0</v>
      </c>
      <c r="AS115" s="627" t="str">
        <f t="shared" si="50"/>
        <v>0</v>
      </c>
      <c r="AT115" s="627" t="str">
        <f t="shared" si="50"/>
        <v>0</v>
      </c>
      <c r="AU115" s="627" t="str">
        <f t="shared" si="50"/>
        <v>0</v>
      </c>
      <c r="AV115" s="627" t="str">
        <f t="shared" si="50"/>
        <v>0</v>
      </c>
      <c r="AW115" s="627" t="str">
        <f t="shared" si="50"/>
        <v>0</v>
      </c>
      <c r="AX115" s="628">
        <f>SUM(AL115+AM115+AN115+AO115+AP115+AQ115+AR115+AS115+AT115+AU115+AV115+AW115)</f>
        <v>1</v>
      </c>
      <c r="AY115" s="629">
        <f>AX115/1</f>
        <v>1</v>
      </c>
    </row>
    <row r="116" spans="2:51" ht="15" customHeight="1" x14ac:dyDescent="0.25">
      <c r="B116" s="537"/>
      <c r="C116" s="538"/>
      <c r="D116" s="538"/>
      <c r="E116" s="517"/>
      <c r="F116" s="518"/>
      <c r="G116" s="518"/>
      <c r="H116" s="518"/>
      <c r="I116" s="518"/>
      <c r="J116" s="546"/>
      <c r="K116" s="547"/>
      <c r="L116" s="547"/>
      <c r="M116" s="547"/>
      <c r="N116" s="547"/>
      <c r="O116" s="548"/>
      <c r="P116" s="653"/>
      <c r="Q116" s="656"/>
      <c r="R116" s="657"/>
      <c r="S116" s="634"/>
      <c r="T116" s="632"/>
      <c r="V116" s="172"/>
      <c r="W116" s="136" t="s">
        <v>522</v>
      </c>
      <c r="X116" s="172"/>
      <c r="Y116" s="172"/>
      <c r="Z116" s="172"/>
      <c r="AA116" s="172"/>
      <c r="AB116" s="172"/>
      <c r="AC116" s="172"/>
      <c r="AD116" s="172"/>
      <c r="AE116" s="172"/>
      <c r="AF116" s="172"/>
      <c r="AG116" s="158"/>
      <c r="AH116" s="647"/>
      <c r="AI116" s="648"/>
      <c r="AJ116" s="782"/>
      <c r="AK116" s="782"/>
      <c r="AL116" s="627"/>
      <c r="AM116" s="627"/>
      <c r="AN116" s="627"/>
      <c r="AO116" s="627"/>
      <c r="AP116" s="627"/>
      <c r="AQ116" s="627"/>
      <c r="AR116" s="627"/>
      <c r="AS116" s="627"/>
      <c r="AT116" s="627"/>
      <c r="AU116" s="627"/>
      <c r="AV116" s="627"/>
      <c r="AW116" s="627"/>
      <c r="AX116" s="628"/>
      <c r="AY116" s="629"/>
    </row>
    <row r="117" spans="2:51" ht="15" customHeight="1" x14ac:dyDescent="0.25">
      <c r="B117" s="537"/>
      <c r="C117" s="538"/>
      <c r="D117" s="538"/>
      <c r="E117" s="517"/>
      <c r="F117" s="518"/>
      <c r="G117" s="518"/>
      <c r="H117" s="518"/>
      <c r="I117" s="518"/>
      <c r="J117" s="541" t="s">
        <v>370</v>
      </c>
      <c r="K117" s="542"/>
      <c r="L117" s="542"/>
      <c r="M117" s="542"/>
      <c r="N117" s="542"/>
      <c r="O117" s="543"/>
      <c r="P117" s="652" t="s">
        <v>212</v>
      </c>
      <c r="Q117" s="654" t="s">
        <v>316</v>
      </c>
      <c r="R117" s="655"/>
      <c r="S117" s="633" t="s">
        <v>180</v>
      </c>
      <c r="T117" s="631">
        <v>2</v>
      </c>
      <c r="V117" s="172"/>
      <c r="W117" s="172"/>
      <c r="X117" s="172"/>
      <c r="Y117" s="112"/>
      <c r="Z117" s="112"/>
      <c r="AA117" s="172"/>
      <c r="AB117" s="172"/>
      <c r="AC117" s="172"/>
      <c r="AD117" s="172"/>
      <c r="AE117" s="172"/>
      <c r="AF117" s="172"/>
      <c r="AG117" s="158"/>
      <c r="AH117" s="645" t="s">
        <v>371</v>
      </c>
      <c r="AI117" s="646"/>
      <c r="AJ117" s="785">
        <v>10000</v>
      </c>
      <c r="AK117" s="786"/>
      <c r="AL117" s="627" t="str">
        <f t="shared" ref="AL117:AW117" si="51">IF((V118="CUMPLIDO"),"1","0")</f>
        <v>0</v>
      </c>
      <c r="AM117" s="627" t="str">
        <f t="shared" si="51"/>
        <v>0</v>
      </c>
      <c r="AN117" s="627" t="str">
        <f t="shared" si="51"/>
        <v>0</v>
      </c>
      <c r="AO117" s="627" t="str">
        <f t="shared" si="51"/>
        <v>0</v>
      </c>
      <c r="AP117" s="627" t="str">
        <f t="shared" si="51"/>
        <v>0</v>
      </c>
      <c r="AQ117" s="627" t="str">
        <f t="shared" si="51"/>
        <v>0</v>
      </c>
      <c r="AR117" s="627" t="str">
        <f t="shared" si="51"/>
        <v>0</v>
      </c>
      <c r="AS117" s="627" t="str">
        <f t="shared" si="51"/>
        <v>0</v>
      </c>
      <c r="AT117" s="627" t="str">
        <f t="shared" si="51"/>
        <v>0</v>
      </c>
      <c r="AU117" s="627" t="str">
        <f t="shared" si="51"/>
        <v>0</v>
      </c>
      <c r="AV117" s="627" t="str">
        <f t="shared" si="51"/>
        <v>0</v>
      </c>
      <c r="AW117" s="627" t="str">
        <f t="shared" si="51"/>
        <v>0</v>
      </c>
      <c r="AX117" s="628">
        <f>SUM(AL117+AM117+AN117+AO117+AP117+AQ117+AR117+AS117+AT117+AU117+AV117+AW117)</f>
        <v>0</v>
      </c>
      <c r="AY117" s="629">
        <f>AX117/2</f>
        <v>0</v>
      </c>
    </row>
    <row r="118" spans="2:51" ht="15" customHeight="1" x14ac:dyDescent="0.25">
      <c r="B118" s="537"/>
      <c r="C118" s="538"/>
      <c r="D118" s="538"/>
      <c r="E118" s="517"/>
      <c r="F118" s="518"/>
      <c r="G118" s="518"/>
      <c r="H118" s="518"/>
      <c r="I118" s="518"/>
      <c r="J118" s="546"/>
      <c r="K118" s="547"/>
      <c r="L118" s="547"/>
      <c r="M118" s="547"/>
      <c r="N118" s="547"/>
      <c r="O118" s="548"/>
      <c r="P118" s="653"/>
      <c r="Q118" s="656"/>
      <c r="R118" s="657"/>
      <c r="S118" s="634"/>
      <c r="T118" s="632"/>
      <c r="V118" s="172"/>
      <c r="W118" s="172"/>
      <c r="X118" s="172"/>
      <c r="Y118" s="136" t="s">
        <v>516</v>
      </c>
      <c r="Z118" s="136" t="s">
        <v>516</v>
      </c>
      <c r="AA118" s="172"/>
      <c r="AB118" s="172"/>
      <c r="AC118" s="172"/>
      <c r="AD118" s="172"/>
      <c r="AE118" s="172"/>
      <c r="AF118" s="172"/>
      <c r="AG118" s="158"/>
      <c r="AH118" s="647"/>
      <c r="AI118" s="648"/>
      <c r="AJ118" s="787"/>
      <c r="AK118" s="788"/>
      <c r="AL118" s="627"/>
      <c r="AM118" s="627"/>
      <c r="AN118" s="627"/>
      <c r="AO118" s="627"/>
      <c r="AP118" s="627"/>
      <c r="AQ118" s="627"/>
      <c r="AR118" s="627"/>
      <c r="AS118" s="627"/>
      <c r="AT118" s="627"/>
      <c r="AU118" s="627"/>
      <c r="AV118" s="627"/>
      <c r="AW118" s="627"/>
      <c r="AX118" s="628"/>
      <c r="AY118" s="629"/>
    </row>
    <row r="119" spans="2:51" ht="15" customHeight="1" x14ac:dyDescent="0.25">
      <c r="B119" s="537"/>
      <c r="C119" s="538"/>
      <c r="D119" s="538"/>
      <c r="E119" s="517"/>
      <c r="F119" s="518"/>
      <c r="G119" s="518"/>
      <c r="H119" s="518"/>
      <c r="I119" s="518"/>
      <c r="J119" s="541" t="s">
        <v>218</v>
      </c>
      <c r="K119" s="542"/>
      <c r="L119" s="542"/>
      <c r="M119" s="542"/>
      <c r="N119" s="542"/>
      <c r="O119" s="543"/>
      <c r="P119" s="652" t="s">
        <v>212</v>
      </c>
      <c r="Q119" s="654" t="s">
        <v>233</v>
      </c>
      <c r="R119" s="655"/>
      <c r="S119" s="633" t="s">
        <v>180</v>
      </c>
      <c r="T119" s="631">
        <v>1</v>
      </c>
      <c r="V119" s="172"/>
      <c r="W119" s="172"/>
      <c r="X119" s="172"/>
      <c r="Y119" s="112"/>
      <c r="Z119" s="172"/>
      <c r="AA119" s="172"/>
      <c r="AB119" s="172"/>
      <c r="AC119" s="172"/>
      <c r="AD119" s="172"/>
      <c r="AE119" s="172"/>
      <c r="AF119" s="172"/>
      <c r="AG119" s="158"/>
      <c r="AH119" s="645" t="s">
        <v>372</v>
      </c>
      <c r="AI119" s="646"/>
      <c r="AJ119" s="785">
        <v>16000</v>
      </c>
      <c r="AK119" s="786"/>
      <c r="AL119" s="627" t="str">
        <f t="shared" ref="AL119:AW119" si="52">IF((V120="CUMPLIDO"),"1","0")</f>
        <v>0</v>
      </c>
      <c r="AM119" s="627" t="str">
        <f t="shared" si="52"/>
        <v>0</v>
      </c>
      <c r="AN119" s="627" t="str">
        <f t="shared" si="52"/>
        <v>0</v>
      </c>
      <c r="AO119" s="627" t="str">
        <f t="shared" si="52"/>
        <v>1</v>
      </c>
      <c r="AP119" s="627" t="str">
        <f t="shared" si="52"/>
        <v>0</v>
      </c>
      <c r="AQ119" s="627" t="str">
        <f t="shared" si="52"/>
        <v>0</v>
      </c>
      <c r="AR119" s="627" t="str">
        <f t="shared" si="52"/>
        <v>0</v>
      </c>
      <c r="AS119" s="627" t="str">
        <f t="shared" si="52"/>
        <v>0</v>
      </c>
      <c r="AT119" s="627" t="str">
        <f t="shared" si="52"/>
        <v>0</v>
      </c>
      <c r="AU119" s="627" t="str">
        <f t="shared" si="52"/>
        <v>0</v>
      </c>
      <c r="AV119" s="627" t="str">
        <f t="shared" si="52"/>
        <v>0</v>
      </c>
      <c r="AW119" s="627" t="str">
        <f t="shared" si="52"/>
        <v>0</v>
      </c>
      <c r="AX119" s="628">
        <f>SUM(AL119+AM119+AN119+AO119+AP119+AQ119+AR119+AS119+AT119+AU119+AV119+AW119)</f>
        <v>1</v>
      </c>
      <c r="AY119" s="629">
        <f>AX119/1</f>
        <v>1</v>
      </c>
    </row>
    <row r="120" spans="2:51" ht="15" customHeight="1" x14ac:dyDescent="0.25">
      <c r="B120" s="537"/>
      <c r="C120" s="538"/>
      <c r="D120" s="538"/>
      <c r="E120" s="520"/>
      <c r="F120" s="521"/>
      <c r="G120" s="521"/>
      <c r="H120" s="521"/>
      <c r="I120" s="521"/>
      <c r="J120" s="546"/>
      <c r="K120" s="547"/>
      <c r="L120" s="547"/>
      <c r="M120" s="547"/>
      <c r="N120" s="547"/>
      <c r="O120" s="548"/>
      <c r="P120" s="653"/>
      <c r="Q120" s="656"/>
      <c r="R120" s="657"/>
      <c r="S120" s="634"/>
      <c r="T120" s="632"/>
      <c r="V120" s="72"/>
      <c r="W120" s="72"/>
      <c r="X120" s="72"/>
      <c r="Y120" s="136" t="s">
        <v>522</v>
      </c>
      <c r="Z120" s="72"/>
      <c r="AA120" s="72"/>
      <c r="AB120" s="72"/>
      <c r="AC120" s="72"/>
      <c r="AD120" s="72"/>
      <c r="AE120" s="72"/>
      <c r="AF120" s="72"/>
      <c r="AG120" s="151"/>
      <c r="AH120" s="647"/>
      <c r="AI120" s="648"/>
      <c r="AJ120" s="787"/>
      <c r="AK120" s="788"/>
      <c r="AL120" s="627"/>
      <c r="AM120" s="627"/>
      <c r="AN120" s="627"/>
      <c r="AO120" s="627"/>
      <c r="AP120" s="627"/>
      <c r="AQ120" s="627"/>
      <c r="AR120" s="627"/>
      <c r="AS120" s="627"/>
      <c r="AT120" s="627"/>
      <c r="AU120" s="627"/>
      <c r="AV120" s="627"/>
      <c r="AW120" s="627"/>
      <c r="AX120" s="628"/>
      <c r="AY120" s="629"/>
    </row>
    <row r="121" spans="2:51" ht="15" customHeight="1" x14ac:dyDescent="0.25">
      <c r="B121" s="514" t="s">
        <v>56</v>
      </c>
      <c r="C121" s="515"/>
      <c r="D121" s="516"/>
      <c r="E121" s="578" t="s">
        <v>57</v>
      </c>
      <c r="F121" s="578"/>
      <c r="G121" s="578"/>
      <c r="H121" s="578"/>
      <c r="I121" s="725"/>
      <c r="J121" s="541" t="s">
        <v>156</v>
      </c>
      <c r="K121" s="542"/>
      <c r="L121" s="542"/>
      <c r="M121" s="542"/>
      <c r="N121" s="542"/>
      <c r="O121" s="543"/>
      <c r="P121" s="652" t="s">
        <v>140</v>
      </c>
      <c r="Q121" s="726"/>
      <c r="R121" s="727"/>
      <c r="S121" s="633" t="s">
        <v>180</v>
      </c>
      <c r="T121" s="631">
        <v>1</v>
      </c>
      <c r="V121" s="72"/>
      <c r="W121" s="72"/>
      <c r="X121" s="112"/>
      <c r="Y121" s="72"/>
      <c r="Z121" s="72"/>
      <c r="AA121" s="72"/>
      <c r="AB121" s="72"/>
      <c r="AC121" s="72"/>
      <c r="AD121" s="72"/>
      <c r="AE121" s="72"/>
      <c r="AF121" s="72"/>
      <c r="AG121" s="165"/>
      <c r="AH121" s="644" t="s">
        <v>460</v>
      </c>
      <c r="AI121" s="644"/>
      <c r="AJ121" s="782"/>
      <c r="AK121" s="782"/>
      <c r="AL121" s="627" t="str">
        <f t="shared" ref="AL121:AW121" si="53">IF((V122="CUMPLIDO"),"1","0")</f>
        <v>0</v>
      </c>
      <c r="AM121" s="627" t="str">
        <f t="shared" si="53"/>
        <v>0</v>
      </c>
      <c r="AN121" s="627" t="str">
        <f t="shared" si="53"/>
        <v>0</v>
      </c>
      <c r="AO121" s="627" t="str">
        <f t="shared" si="53"/>
        <v>0</v>
      </c>
      <c r="AP121" s="627" t="str">
        <f t="shared" si="53"/>
        <v>0</v>
      </c>
      <c r="AQ121" s="627" t="str">
        <f t="shared" si="53"/>
        <v>0</v>
      </c>
      <c r="AR121" s="627" t="str">
        <f t="shared" si="53"/>
        <v>0</v>
      </c>
      <c r="AS121" s="627" t="str">
        <f t="shared" si="53"/>
        <v>0</v>
      </c>
      <c r="AT121" s="627" t="str">
        <f t="shared" si="53"/>
        <v>0</v>
      </c>
      <c r="AU121" s="627" t="str">
        <f t="shared" si="53"/>
        <v>0</v>
      </c>
      <c r="AV121" s="627" t="str">
        <f t="shared" si="53"/>
        <v>0</v>
      </c>
      <c r="AW121" s="627" t="str">
        <f t="shared" si="53"/>
        <v>0</v>
      </c>
      <c r="AX121" s="628">
        <f>SUM(AL121+AM121+AN121+AO121+AP121+AQ121+AR121+AS121+AT121+AU121+AV121+AW121)</f>
        <v>0</v>
      </c>
      <c r="AY121" s="629">
        <f>AX121/1</f>
        <v>0</v>
      </c>
    </row>
    <row r="122" spans="2:51" ht="15" customHeight="1" x14ac:dyDescent="0.25">
      <c r="B122" s="517"/>
      <c r="C122" s="518"/>
      <c r="D122" s="519"/>
      <c r="E122" s="578"/>
      <c r="F122" s="578"/>
      <c r="G122" s="578"/>
      <c r="H122" s="578"/>
      <c r="I122" s="725"/>
      <c r="J122" s="546"/>
      <c r="K122" s="547"/>
      <c r="L122" s="547"/>
      <c r="M122" s="547"/>
      <c r="N122" s="547"/>
      <c r="O122" s="548"/>
      <c r="P122" s="653"/>
      <c r="Q122" s="728"/>
      <c r="R122" s="729"/>
      <c r="S122" s="634"/>
      <c r="T122" s="632"/>
      <c r="V122" s="172"/>
      <c r="W122" s="172"/>
      <c r="X122" s="136" t="s">
        <v>516</v>
      </c>
      <c r="Y122" s="172"/>
      <c r="Z122" s="172"/>
      <c r="AA122" s="172"/>
      <c r="AB122" s="172"/>
      <c r="AC122" s="172"/>
      <c r="AD122" s="172"/>
      <c r="AE122" s="172"/>
      <c r="AF122" s="172"/>
      <c r="AG122" s="165"/>
      <c r="AH122" s="644"/>
      <c r="AI122" s="644"/>
      <c r="AJ122" s="782"/>
      <c r="AK122" s="782"/>
      <c r="AL122" s="627"/>
      <c r="AM122" s="627"/>
      <c r="AN122" s="627"/>
      <c r="AO122" s="627"/>
      <c r="AP122" s="627"/>
      <c r="AQ122" s="627"/>
      <c r="AR122" s="627"/>
      <c r="AS122" s="627"/>
      <c r="AT122" s="627"/>
      <c r="AU122" s="627"/>
      <c r="AV122" s="627"/>
      <c r="AW122" s="627"/>
      <c r="AX122" s="628"/>
      <c r="AY122" s="629"/>
    </row>
    <row r="123" spans="2:51" ht="15" customHeight="1" x14ac:dyDescent="0.25">
      <c r="B123" s="517"/>
      <c r="C123" s="518"/>
      <c r="D123" s="519"/>
      <c r="E123" s="578"/>
      <c r="F123" s="578"/>
      <c r="G123" s="578"/>
      <c r="H123" s="578"/>
      <c r="I123" s="725"/>
      <c r="J123" s="541" t="s">
        <v>157</v>
      </c>
      <c r="K123" s="542"/>
      <c r="L123" s="542"/>
      <c r="M123" s="542"/>
      <c r="N123" s="542"/>
      <c r="O123" s="543"/>
      <c r="P123" s="652" t="s">
        <v>373</v>
      </c>
      <c r="Q123" s="654" t="s">
        <v>316</v>
      </c>
      <c r="R123" s="655"/>
      <c r="S123" s="633" t="s">
        <v>180</v>
      </c>
      <c r="T123" s="631">
        <v>12</v>
      </c>
      <c r="V123" s="112"/>
      <c r="W123" s="112"/>
      <c r="X123" s="112"/>
      <c r="Y123" s="112"/>
      <c r="Z123" s="112"/>
      <c r="AA123" s="112"/>
      <c r="AB123" s="112"/>
      <c r="AC123" s="112"/>
      <c r="AD123" s="112"/>
      <c r="AE123" s="112"/>
      <c r="AF123" s="112"/>
      <c r="AG123" s="168"/>
      <c r="AH123" s="644" t="s">
        <v>374</v>
      </c>
      <c r="AI123" s="644"/>
      <c r="AJ123" s="782"/>
      <c r="AK123" s="782"/>
      <c r="AL123" s="627" t="str">
        <f t="shared" ref="AL123:AW123" si="54">IF((V124="CUMPLIDO"),"1","0")</f>
        <v>1</v>
      </c>
      <c r="AM123" s="627" t="str">
        <f t="shared" si="54"/>
        <v>1</v>
      </c>
      <c r="AN123" s="627" t="str">
        <f t="shared" si="54"/>
        <v>1</v>
      </c>
      <c r="AO123" s="627" t="str">
        <f t="shared" si="54"/>
        <v>0</v>
      </c>
      <c r="AP123" s="627" t="str">
        <f t="shared" si="54"/>
        <v>0</v>
      </c>
      <c r="AQ123" s="627" t="str">
        <f t="shared" si="54"/>
        <v>0</v>
      </c>
      <c r="AR123" s="627" t="str">
        <f t="shared" si="54"/>
        <v>0</v>
      </c>
      <c r="AS123" s="627" t="str">
        <f t="shared" si="54"/>
        <v>0</v>
      </c>
      <c r="AT123" s="627" t="str">
        <f t="shared" si="54"/>
        <v>0</v>
      </c>
      <c r="AU123" s="627" t="str">
        <f t="shared" si="54"/>
        <v>0</v>
      </c>
      <c r="AV123" s="627" t="str">
        <f t="shared" si="54"/>
        <v>0</v>
      </c>
      <c r="AW123" s="627" t="str">
        <f t="shared" si="54"/>
        <v>0</v>
      </c>
      <c r="AX123" s="628">
        <f>SUM(AL123+AM123+AN123+AO123+AP123+AQ123+AR123+AS123+AT123+AU123+AV123+AW123)</f>
        <v>3</v>
      </c>
      <c r="AY123" s="629">
        <f>AX123/12</f>
        <v>0.25</v>
      </c>
    </row>
    <row r="124" spans="2:51" ht="15" customHeight="1" x14ac:dyDescent="0.25">
      <c r="B124" s="517"/>
      <c r="C124" s="518"/>
      <c r="D124" s="519"/>
      <c r="E124" s="578"/>
      <c r="F124" s="578"/>
      <c r="G124" s="578"/>
      <c r="H124" s="578"/>
      <c r="I124" s="725"/>
      <c r="J124" s="546"/>
      <c r="K124" s="547"/>
      <c r="L124" s="547"/>
      <c r="M124" s="547"/>
      <c r="N124" s="547"/>
      <c r="O124" s="548"/>
      <c r="P124" s="653"/>
      <c r="Q124" s="656"/>
      <c r="R124" s="657"/>
      <c r="S124" s="634"/>
      <c r="T124" s="632"/>
      <c r="V124" s="136" t="s">
        <v>522</v>
      </c>
      <c r="W124" s="136" t="s">
        <v>522</v>
      </c>
      <c r="X124" s="136" t="s">
        <v>522</v>
      </c>
      <c r="Y124" s="136" t="s">
        <v>516</v>
      </c>
      <c r="Z124" s="136" t="s">
        <v>516</v>
      </c>
      <c r="AA124" s="136" t="s">
        <v>516</v>
      </c>
      <c r="AB124" s="136" t="s">
        <v>516</v>
      </c>
      <c r="AC124" s="136" t="s">
        <v>516</v>
      </c>
      <c r="AD124" s="136" t="s">
        <v>516</v>
      </c>
      <c r="AE124" s="136" t="s">
        <v>516</v>
      </c>
      <c r="AF124" s="136" t="s">
        <v>516</v>
      </c>
      <c r="AG124" s="136" t="s">
        <v>516</v>
      </c>
      <c r="AH124" s="644"/>
      <c r="AI124" s="644"/>
      <c r="AJ124" s="782"/>
      <c r="AK124" s="782"/>
      <c r="AL124" s="627"/>
      <c r="AM124" s="627"/>
      <c r="AN124" s="627"/>
      <c r="AO124" s="627"/>
      <c r="AP124" s="627"/>
      <c r="AQ124" s="627"/>
      <c r="AR124" s="627"/>
      <c r="AS124" s="627"/>
      <c r="AT124" s="627"/>
      <c r="AU124" s="627"/>
      <c r="AV124" s="627"/>
      <c r="AW124" s="627"/>
      <c r="AX124" s="628"/>
      <c r="AY124" s="629"/>
    </row>
    <row r="125" spans="2:51" ht="15" customHeight="1" x14ac:dyDescent="0.25">
      <c r="B125" s="517"/>
      <c r="C125" s="518"/>
      <c r="D125" s="519"/>
      <c r="E125" s="578"/>
      <c r="F125" s="578"/>
      <c r="G125" s="578"/>
      <c r="H125" s="578"/>
      <c r="I125" s="725"/>
      <c r="J125" s="541" t="s">
        <v>158</v>
      </c>
      <c r="K125" s="542"/>
      <c r="L125" s="542"/>
      <c r="M125" s="542"/>
      <c r="N125" s="542"/>
      <c r="O125" s="543"/>
      <c r="P125" s="652" t="s">
        <v>194</v>
      </c>
      <c r="Q125" s="581" t="s">
        <v>375</v>
      </c>
      <c r="R125" s="583"/>
      <c r="S125" s="633" t="s">
        <v>180</v>
      </c>
      <c r="T125" s="631">
        <v>1</v>
      </c>
      <c r="V125" s="172"/>
      <c r="W125" s="172"/>
      <c r="X125" s="112"/>
      <c r="Y125" s="172"/>
      <c r="Z125" s="172"/>
      <c r="AA125" s="172"/>
      <c r="AB125" s="172"/>
      <c r="AC125" s="172"/>
      <c r="AD125" s="172"/>
      <c r="AE125" s="172"/>
      <c r="AF125" s="172"/>
      <c r="AG125" s="165"/>
      <c r="AH125" s="644" t="s">
        <v>376</v>
      </c>
      <c r="AI125" s="644"/>
      <c r="AJ125" s="644"/>
      <c r="AK125" s="644"/>
      <c r="AL125" s="627" t="str">
        <f t="shared" ref="AL125:AW125" si="55">IF((V126="CUMPLIDO"),"1","0")</f>
        <v>0</v>
      </c>
      <c r="AM125" s="627" t="str">
        <f t="shared" si="55"/>
        <v>0</v>
      </c>
      <c r="AN125" s="627" t="str">
        <f t="shared" si="55"/>
        <v>0</v>
      </c>
      <c r="AO125" s="627" t="str">
        <f t="shared" si="55"/>
        <v>0</v>
      </c>
      <c r="AP125" s="627" t="str">
        <f t="shared" si="55"/>
        <v>0</v>
      </c>
      <c r="AQ125" s="627" t="str">
        <f t="shared" si="55"/>
        <v>0</v>
      </c>
      <c r="AR125" s="627" t="str">
        <f t="shared" si="55"/>
        <v>0</v>
      </c>
      <c r="AS125" s="627" t="str">
        <f t="shared" si="55"/>
        <v>0</v>
      </c>
      <c r="AT125" s="627" t="str">
        <f t="shared" si="55"/>
        <v>0</v>
      </c>
      <c r="AU125" s="627" t="str">
        <f t="shared" si="55"/>
        <v>0</v>
      </c>
      <c r="AV125" s="627" t="str">
        <f t="shared" si="55"/>
        <v>0</v>
      </c>
      <c r="AW125" s="627" t="str">
        <f t="shared" si="55"/>
        <v>0</v>
      </c>
      <c r="AX125" s="628">
        <f>SUM(AL125+AM125+AN125+AO125+AP125+AQ125+AR125+AS125+AT125+AU125+AV125+AW125)</f>
        <v>0</v>
      </c>
      <c r="AY125" s="629">
        <f>AX125/1</f>
        <v>0</v>
      </c>
    </row>
    <row r="126" spans="2:51" ht="15" customHeight="1" x14ac:dyDescent="0.25">
      <c r="B126" s="517"/>
      <c r="C126" s="518"/>
      <c r="D126" s="519"/>
      <c r="E126" s="578"/>
      <c r="F126" s="578"/>
      <c r="G126" s="578"/>
      <c r="H126" s="578"/>
      <c r="I126" s="725"/>
      <c r="J126" s="546"/>
      <c r="K126" s="547"/>
      <c r="L126" s="547"/>
      <c r="M126" s="547"/>
      <c r="N126" s="547"/>
      <c r="O126" s="548"/>
      <c r="P126" s="653"/>
      <c r="Q126" s="664"/>
      <c r="R126" s="665"/>
      <c r="S126" s="634"/>
      <c r="T126" s="632"/>
      <c r="V126" s="72"/>
      <c r="W126" s="72"/>
      <c r="X126" s="136" t="s">
        <v>516</v>
      </c>
      <c r="Y126" s="72"/>
      <c r="Z126" s="72"/>
      <c r="AA126" s="72"/>
      <c r="AB126" s="72"/>
      <c r="AC126" s="72"/>
      <c r="AD126" s="72"/>
      <c r="AE126" s="72"/>
      <c r="AF126" s="72"/>
      <c r="AG126" s="165"/>
      <c r="AH126" s="644"/>
      <c r="AI126" s="644"/>
      <c r="AJ126" s="644"/>
      <c r="AK126" s="644"/>
      <c r="AL126" s="627"/>
      <c r="AM126" s="627"/>
      <c r="AN126" s="627"/>
      <c r="AO126" s="627"/>
      <c r="AP126" s="627"/>
      <c r="AQ126" s="627"/>
      <c r="AR126" s="627"/>
      <c r="AS126" s="627"/>
      <c r="AT126" s="627"/>
      <c r="AU126" s="627"/>
      <c r="AV126" s="627"/>
      <c r="AW126" s="627"/>
      <c r="AX126" s="628"/>
      <c r="AY126" s="629"/>
    </row>
    <row r="127" spans="2:51" ht="15" customHeight="1" x14ac:dyDescent="0.25">
      <c r="B127" s="517"/>
      <c r="C127" s="518"/>
      <c r="D127" s="519"/>
      <c r="E127" s="578" t="s">
        <v>58</v>
      </c>
      <c r="F127" s="578"/>
      <c r="G127" s="578"/>
      <c r="H127" s="578"/>
      <c r="I127" s="725"/>
      <c r="J127" s="541" t="s">
        <v>378</v>
      </c>
      <c r="K127" s="542"/>
      <c r="L127" s="542"/>
      <c r="M127" s="542"/>
      <c r="N127" s="542"/>
      <c r="O127" s="543"/>
      <c r="P127" s="652" t="s">
        <v>194</v>
      </c>
      <c r="Q127" s="654" t="s">
        <v>377</v>
      </c>
      <c r="R127" s="655"/>
      <c r="S127" s="633" t="s">
        <v>180</v>
      </c>
      <c r="T127" s="631">
        <v>12</v>
      </c>
      <c r="V127" s="112"/>
      <c r="W127" s="112"/>
      <c r="X127" s="112"/>
      <c r="Y127" s="112"/>
      <c r="Z127" s="112"/>
      <c r="AA127" s="112"/>
      <c r="AB127" s="112"/>
      <c r="AC127" s="112"/>
      <c r="AD127" s="112"/>
      <c r="AE127" s="112"/>
      <c r="AF127" s="112"/>
      <c r="AG127" s="168"/>
      <c r="AH127" s="644" t="s">
        <v>379</v>
      </c>
      <c r="AI127" s="644"/>
      <c r="AJ127" s="782"/>
      <c r="AK127" s="782"/>
      <c r="AL127" s="627" t="str">
        <f t="shared" ref="AL127:AW127" si="56">IF((V128="CUMPLIDO"),"1","0")</f>
        <v>1</v>
      </c>
      <c r="AM127" s="627" t="str">
        <f t="shared" si="56"/>
        <v>1</v>
      </c>
      <c r="AN127" s="627" t="str">
        <f t="shared" si="56"/>
        <v>1</v>
      </c>
      <c r="AO127" s="627" t="str">
        <f t="shared" si="56"/>
        <v>1</v>
      </c>
      <c r="AP127" s="627" t="str">
        <f t="shared" si="56"/>
        <v>1</v>
      </c>
      <c r="AQ127" s="627" t="str">
        <f t="shared" si="56"/>
        <v>0</v>
      </c>
      <c r="AR127" s="627" t="str">
        <f t="shared" si="56"/>
        <v>0</v>
      </c>
      <c r="AS127" s="627" t="str">
        <f t="shared" si="56"/>
        <v>0</v>
      </c>
      <c r="AT127" s="627" t="str">
        <f t="shared" si="56"/>
        <v>0</v>
      </c>
      <c r="AU127" s="627" t="str">
        <f t="shared" si="56"/>
        <v>0</v>
      </c>
      <c r="AV127" s="627" t="str">
        <f t="shared" si="56"/>
        <v>0</v>
      </c>
      <c r="AW127" s="627" t="str">
        <f t="shared" si="56"/>
        <v>0</v>
      </c>
      <c r="AX127" s="628">
        <f>SUM(AL127+AM127+AN127+AO127+AP127+AQ127+AR127+AS127+AT127+AU127+AV127+AW127)</f>
        <v>5</v>
      </c>
      <c r="AY127" s="629">
        <f>AX127/12</f>
        <v>0.41666666666666669</v>
      </c>
    </row>
    <row r="128" spans="2:51" ht="15" customHeight="1" x14ac:dyDescent="0.25">
      <c r="B128" s="517"/>
      <c r="C128" s="518"/>
      <c r="D128" s="519"/>
      <c r="E128" s="578"/>
      <c r="F128" s="578"/>
      <c r="G128" s="578"/>
      <c r="H128" s="578"/>
      <c r="I128" s="725"/>
      <c r="J128" s="546"/>
      <c r="K128" s="547"/>
      <c r="L128" s="547"/>
      <c r="M128" s="547"/>
      <c r="N128" s="547"/>
      <c r="O128" s="548"/>
      <c r="P128" s="653"/>
      <c r="Q128" s="656"/>
      <c r="R128" s="657"/>
      <c r="S128" s="634"/>
      <c r="T128" s="632"/>
      <c r="V128" s="136" t="s">
        <v>522</v>
      </c>
      <c r="W128" s="136" t="s">
        <v>522</v>
      </c>
      <c r="X128" s="136" t="s">
        <v>522</v>
      </c>
      <c r="Y128" s="136" t="s">
        <v>522</v>
      </c>
      <c r="Z128" s="136" t="s">
        <v>522</v>
      </c>
      <c r="AA128" s="136" t="s">
        <v>516</v>
      </c>
      <c r="AB128" s="136" t="s">
        <v>516</v>
      </c>
      <c r="AC128" s="136" t="s">
        <v>516</v>
      </c>
      <c r="AD128" s="136" t="s">
        <v>516</v>
      </c>
      <c r="AE128" s="136" t="s">
        <v>516</v>
      </c>
      <c r="AF128" s="136" t="s">
        <v>516</v>
      </c>
      <c r="AG128" s="136" t="s">
        <v>516</v>
      </c>
      <c r="AH128" s="644"/>
      <c r="AI128" s="644"/>
      <c r="AJ128" s="782"/>
      <c r="AK128" s="782"/>
      <c r="AL128" s="627"/>
      <c r="AM128" s="627"/>
      <c r="AN128" s="627"/>
      <c r="AO128" s="627"/>
      <c r="AP128" s="627"/>
      <c r="AQ128" s="627"/>
      <c r="AR128" s="627"/>
      <c r="AS128" s="627"/>
      <c r="AT128" s="627"/>
      <c r="AU128" s="627"/>
      <c r="AV128" s="627"/>
      <c r="AW128" s="627"/>
      <c r="AX128" s="628"/>
      <c r="AY128" s="629"/>
    </row>
    <row r="129" spans="2:51" ht="15" customHeight="1" x14ac:dyDescent="0.25">
      <c r="B129" s="578" t="s">
        <v>59</v>
      </c>
      <c r="C129" s="578"/>
      <c r="D129" s="578"/>
      <c r="E129" s="514" t="s">
        <v>192</v>
      </c>
      <c r="F129" s="515"/>
      <c r="G129" s="515"/>
      <c r="H129" s="515"/>
      <c r="I129" s="516"/>
      <c r="J129" s="541" t="s">
        <v>160</v>
      </c>
      <c r="K129" s="542"/>
      <c r="L129" s="542"/>
      <c r="M129" s="542"/>
      <c r="N129" s="542"/>
      <c r="O129" s="543"/>
      <c r="P129" s="652" t="s">
        <v>194</v>
      </c>
      <c r="Q129" s="654" t="s">
        <v>233</v>
      </c>
      <c r="R129" s="655"/>
      <c r="S129" s="633" t="s">
        <v>180</v>
      </c>
      <c r="T129" s="631">
        <v>1</v>
      </c>
      <c r="V129" s="72"/>
      <c r="W129" s="72"/>
      <c r="X129" s="72"/>
      <c r="Y129" s="72"/>
      <c r="Z129" s="72"/>
      <c r="AA129" s="112"/>
      <c r="AB129" s="72"/>
      <c r="AC129" s="72"/>
      <c r="AD129" s="72"/>
      <c r="AE129" s="72"/>
      <c r="AF129" s="72"/>
      <c r="AG129" s="165"/>
      <c r="AH129" s="644" t="s">
        <v>380</v>
      </c>
      <c r="AI129" s="644"/>
      <c r="AJ129" s="782"/>
      <c r="AK129" s="782"/>
      <c r="AL129" s="627" t="str">
        <f t="shared" ref="AL129:AW129" si="57">IF((V130="CUMPLIDO"),"1","0")</f>
        <v>0</v>
      </c>
      <c r="AM129" s="627" t="str">
        <f t="shared" si="57"/>
        <v>0</v>
      </c>
      <c r="AN129" s="627" t="str">
        <f t="shared" si="57"/>
        <v>0</v>
      </c>
      <c r="AO129" s="627" t="str">
        <f t="shared" si="57"/>
        <v>0</v>
      </c>
      <c r="AP129" s="627" t="str">
        <f t="shared" si="57"/>
        <v>0</v>
      </c>
      <c r="AQ129" s="627" t="str">
        <f t="shared" si="57"/>
        <v>1</v>
      </c>
      <c r="AR129" s="627" t="str">
        <f t="shared" si="57"/>
        <v>0</v>
      </c>
      <c r="AS129" s="627" t="str">
        <f t="shared" si="57"/>
        <v>0</v>
      </c>
      <c r="AT129" s="627" t="str">
        <f t="shared" si="57"/>
        <v>0</v>
      </c>
      <c r="AU129" s="627" t="str">
        <f t="shared" si="57"/>
        <v>0</v>
      </c>
      <c r="AV129" s="627" t="str">
        <f t="shared" si="57"/>
        <v>0</v>
      </c>
      <c r="AW129" s="627" t="str">
        <f t="shared" si="57"/>
        <v>0</v>
      </c>
      <c r="AX129" s="628">
        <f>SUM(AL129+AM129+AN129+AO129+AP129+AQ129+AR129+AS129+AT129+AU129+AV129+AW129)</f>
        <v>1</v>
      </c>
      <c r="AY129" s="629">
        <f>AX129/1</f>
        <v>1</v>
      </c>
    </row>
    <row r="130" spans="2:51" ht="15" customHeight="1" x14ac:dyDescent="0.25">
      <c r="B130" s="578"/>
      <c r="C130" s="578"/>
      <c r="D130" s="578"/>
      <c r="E130" s="517"/>
      <c r="F130" s="518"/>
      <c r="G130" s="518"/>
      <c r="H130" s="518"/>
      <c r="I130" s="519"/>
      <c r="J130" s="546"/>
      <c r="K130" s="547"/>
      <c r="L130" s="547"/>
      <c r="M130" s="547"/>
      <c r="N130" s="547"/>
      <c r="O130" s="548"/>
      <c r="P130" s="653"/>
      <c r="Q130" s="656"/>
      <c r="R130" s="657"/>
      <c r="S130" s="634"/>
      <c r="T130" s="632"/>
      <c r="V130" s="172"/>
      <c r="W130" s="172"/>
      <c r="X130" s="172"/>
      <c r="Y130" s="172"/>
      <c r="Z130" s="172"/>
      <c r="AA130" s="136" t="s">
        <v>522</v>
      </c>
      <c r="AB130" s="172"/>
      <c r="AC130" s="172"/>
      <c r="AD130" s="172"/>
      <c r="AE130" s="172"/>
      <c r="AF130" s="172"/>
      <c r="AG130" s="165"/>
      <c r="AH130" s="644"/>
      <c r="AI130" s="644"/>
      <c r="AJ130" s="782"/>
      <c r="AK130" s="782"/>
      <c r="AL130" s="627"/>
      <c r="AM130" s="627"/>
      <c r="AN130" s="627"/>
      <c r="AO130" s="627"/>
      <c r="AP130" s="627"/>
      <c r="AQ130" s="627"/>
      <c r="AR130" s="627"/>
      <c r="AS130" s="627"/>
      <c r="AT130" s="627"/>
      <c r="AU130" s="627"/>
      <c r="AV130" s="627"/>
      <c r="AW130" s="627"/>
      <c r="AX130" s="628"/>
      <c r="AY130" s="629"/>
    </row>
    <row r="131" spans="2:51" ht="15" customHeight="1" x14ac:dyDescent="0.25">
      <c r="B131" s="578"/>
      <c r="C131" s="578"/>
      <c r="D131" s="578"/>
      <c r="E131" s="520"/>
      <c r="F131" s="521"/>
      <c r="G131" s="521"/>
      <c r="H131" s="521"/>
      <c r="I131" s="522"/>
      <c r="J131" s="541" t="s">
        <v>161</v>
      </c>
      <c r="K131" s="542"/>
      <c r="L131" s="542"/>
      <c r="M131" s="542"/>
      <c r="N131" s="542"/>
      <c r="O131" s="543"/>
      <c r="P131" s="652" t="s">
        <v>194</v>
      </c>
      <c r="Q131" s="654" t="s">
        <v>233</v>
      </c>
      <c r="R131" s="655"/>
      <c r="S131" s="633" t="s">
        <v>180</v>
      </c>
      <c r="T131" s="631">
        <v>12</v>
      </c>
      <c r="V131" s="112"/>
      <c r="W131" s="112"/>
      <c r="X131" s="112"/>
      <c r="Y131" s="112"/>
      <c r="Z131" s="112"/>
      <c r="AA131" s="112"/>
      <c r="AB131" s="112"/>
      <c r="AC131" s="112"/>
      <c r="AD131" s="112"/>
      <c r="AE131" s="112"/>
      <c r="AF131" s="112"/>
      <c r="AG131" s="168"/>
      <c r="AH131" s="644" t="s">
        <v>381</v>
      </c>
      <c r="AI131" s="644"/>
      <c r="AJ131" s="782"/>
      <c r="AK131" s="782"/>
      <c r="AL131" s="627" t="str">
        <f t="shared" ref="AL131:AW131" si="58">IF((V132="CUMPLIDO"),"1","0")</f>
        <v>1</v>
      </c>
      <c r="AM131" s="627" t="str">
        <f t="shared" si="58"/>
        <v>1</v>
      </c>
      <c r="AN131" s="627" t="str">
        <f t="shared" si="58"/>
        <v>1</v>
      </c>
      <c r="AO131" s="627" t="str">
        <f t="shared" si="58"/>
        <v>1</v>
      </c>
      <c r="AP131" s="627" t="str">
        <f t="shared" si="58"/>
        <v>1</v>
      </c>
      <c r="AQ131" s="627" t="str">
        <f t="shared" si="58"/>
        <v>1</v>
      </c>
      <c r="AR131" s="627" t="str">
        <f t="shared" si="58"/>
        <v>0</v>
      </c>
      <c r="AS131" s="627" t="str">
        <f t="shared" si="58"/>
        <v>0</v>
      </c>
      <c r="AT131" s="627" t="str">
        <f t="shared" si="58"/>
        <v>0</v>
      </c>
      <c r="AU131" s="627" t="str">
        <f t="shared" si="58"/>
        <v>0</v>
      </c>
      <c r="AV131" s="627" t="str">
        <f t="shared" si="58"/>
        <v>0</v>
      </c>
      <c r="AW131" s="627" t="str">
        <f t="shared" si="58"/>
        <v>0</v>
      </c>
      <c r="AX131" s="628">
        <f>SUM(AL131+AM131+AN131+AO131+AP131+AQ131+AR131+AS131+AT131+AU131+AV131+AW131)</f>
        <v>6</v>
      </c>
      <c r="AY131" s="629">
        <f>AX131/12</f>
        <v>0.5</v>
      </c>
    </row>
    <row r="132" spans="2:51" ht="15" customHeight="1" x14ac:dyDescent="0.25">
      <c r="B132" s="578"/>
      <c r="C132" s="578"/>
      <c r="D132" s="578"/>
      <c r="E132" s="514" t="s">
        <v>193</v>
      </c>
      <c r="F132" s="515"/>
      <c r="G132" s="515"/>
      <c r="H132" s="515"/>
      <c r="I132" s="516"/>
      <c r="J132" s="546"/>
      <c r="K132" s="547"/>
      <c r="L132" s="547"/>
      <c r="M132" s="547"/>
      <c r="N132" s="547"/>
      <c r="O132" s="548"/>
      <c r="P132" s="653"/>
      <c r="Q132" s="656"/>
      <c r="R132" s="657"/>
      <c r="S132" s="634"/>
      <c r="T132" s="632"/>
      <c r="V132" s="136" t="s">
        <v>522</v>
      </c>
      <c r="W132" s="136" t="s">
        <v>522</v>
      </c>
      <c r="X132" s="136" t="s">
        <v>522</v>
      </c>
      <c r="Y132" s="136" t="s">
        <v>522</v>
      </c>
      <c r="Z132" s="136" t="s">
        <v>522</v>
      </c>
      <c r="AA132" s="136" t="s">
        <v>522</v>
      </c>
      <c r="AB132" s="136" t="s">
        <v>516</v>
      </c>
      <c r="AC132" s="136" t="s">
        <v>516</v>
      </c>
      <c r="AD132" s="136" t="s">
        <v>516</v>
      </c>
      <c r="AE132" s="136" t="s">
        <v>516</v>
      </c>
      <c r="AF132" s="136" t="s">
        <v>516</v>
      </c>
      <c r="AG132" s="136" t="s">
        <v>516</v>
      </c>
      <c r="AH132" s="644"/>
      <c r="AI132" s="644"/>
      <c r="AJ132" s="782"/>
      <c r="AK132" s="782"/>
      <c r="AL132" s="627"/>
      <c r="AM132" s="627"/>
      <c r="AN132" s="627"/>
      <c r="AO132" s="627"/>
      <c r="AP132" s="627"/>
      <c r="AQ132" s="627"/>
      <c r="AR132" s="627"/>
      <c r="AS132" s="627"/>
      <c r="AT132" s="627"/>
      <c r="AU132" s="627"/>
      <c r="AV132" s="627"/>
      <c r="AW132" s="627"/>
      <c r="AX132" s="628"/>
      <c r="AY132" s="629"/>
    </row>
    <row r="133" spans="2:51" ht="15" customHeight="1" x14ac:dyDescent="0.25">
      <c r="B133" s="578"/>
      <c r="C133" s="578"/>
      <c r="D133" s="578"/>
      <c r="E133" s="517"/>
      <c r="F133" s="518"/>
      <c r="G133" s="518"/>
      <c r="H133" s="518"/>
      <c r="I133" s="519"/>
      <c r="J133" s="541" t="s">
        <v>162</v>
      </c>
      <c r="K133" s="542"/>
      <c r="L133" s="542"/>
      <c r="M133" s="542"/>
      <c r="N133" s="542"/>
      <c r="O133" s="543"/>
      <c r="P133" s="652" t="s">
        <v>212</v>
      </c>
      <c r="Q133" s="654" t="s">
        <v>373</v>
      </c>
      <c r="R133" s="655"/>
      <c r="S133" s="633" t="s">
        <v>180</v>
      </c>
      <c r="T133" s="631">
        <v>6</v>
      </c>
      <c r="V133" s="112"/>
      <c r="W133" s="112"/>
      <c r="X133" s="112"/>
      <c r="Y133" s="112"/>
      <c r="Z133" s="112"/>
      <c r="AA133" s="112"/>
      <c r="AB133" s="142"/>
      <c r="AC133" s="142"/>
      <c r="AD133" s="142"/>
      <c r="AE133" s="142"/>
      <c r="AF133" s="142"/>
      <c r="AG133" s="165"/>
      <c r="AH133" s="644" t="s">
        <v>382</v>
      </c>
      <c r="AI133" s="644"/>
      <c r="AJ133" s="782"/>
      <c r="AK133" s="782"/>
      <c r="AL133" s="627" t="str">
        <f t="shared" ref="AL133:AW133" si="59">IF((V134="CUMPLIDO"),"1","0")</f>
        <v>1</v>
      </c>
      <c r="AM133" s="627" t="str">
        <f t="shared" si="59"/>
        <v>1</v>
      </c>
      <c r="AN133" s="627" t="str">
        <f t="shared" si="59"/>
        <v>1</v>
      </c>
      <c r="AO133" s="627" t="str">
        <f t="shared" si="59"/>
        <v>1</v>
      </c>
      <c r="AP133" s="627" t="str">
        <f t="shared" si="59"/>
        <v>1</v>
      </c>
      <c r="AQ133" s="627" t="str">
        <f t="shared" si="59"/>
        <v>1</v>
      </c>
      <c r="AR133" s="627" t="str">
        <f t="shared" si="59"/>
        <v>0</v>
      </c>
      <c r="AS133" s="627" t="str">
        <f t="shared" si="59"/>
        <v>0</v>
      </c>
      <c r="AT133" s="627" t="str">
        <f t="shared" si="59"/>
        <v>0</v>
      </c>
      <c r="AU133" s="627" t="str">
        <f t="shared" si="59"/>
        <v>0</v>
      </c>
      <c r="AV133" s="627" t="str">
        <f t="shared" si="59"/>
        <v>0</v>
      </c>
      <c r="AW133" s="627" t="str">
        <f t="shared" si="59"/>
        <v>0</v>
      </c>
      <c r="AX133" s="628">
        <f>SUM(AL133+AM133+AN133+AO133+AP133+AQ133+AR133+AS133+AT133+AU133+AV133+AW133)</f>
        <v>6</v>
      </c>
      <c r="AY133" s="629">
        <f>AX133/6</f>
        <v>1</v>
      </c>
    </row>
    <row r="134" spans="2:51" ht="15" customHeight="1" x14ac:dyDescent="0.25">
      <c r="B134" s="578"/>
      <c r="C134" s="578"/>
      <c r="D134" s="578"/>
      <c r="E134" s="520"/>
      <c r="F134" s="521"/>
      <c r="G134" s="521"/>
      <c r="H134" s="521"/>
      <c r="I134" s="522"/>
      <c r="J134" s="546"/>
      <c r="K134" s="547"/>
      <c r="L134" s="547"/>
      <c r="M134" s="547"/>
      <c r="N134" s="547"/>
      <c r="O134" s="548"/>
      <c r="P134" s="653"/>
      <c r="Q134" s="656"/>
      <c r="R134" s="657"/>
      <c r="S134" s="634"/>
      <c r="T134" s="632"/>
      <c r="V134" s="136" t="s">
        <v>522</v>
      </c>
      <c r="W134" s="136" t="s">
        <v>522</v>
      </c>
      <c r="X134" s="136" t="s">
        <v>522</v>
      </c>
      <c r="Y134" s="136" t="s">
        <v>522</v>
      </c>
      <c r="Z134" s="136" t="s">
        <v>522</v>
      </c>
      <c r="AA134" s="136" t="s">
        <v>522</v>
      </c>
      <c r="AB134" s="172"/>
      <c r="AC134" s="172"/>
      <c r="AD134" s="176"/>
      <c r="AE134" s="172"/>
      <c r="AF134" s="172"/>
      <c r="AG134" s="160"/>
      <c r="AH134" s="644"/>
      <c r="AI134" s="644"/>
      <c r="AJ134" s="782"/>
      <c r="AK134" s="782"/>
      <c r="AL134" s="627"/>
      <c r="AM134" s="627"/>
      <c r="AN134" s="627"/>
      <c r="AO134" s="627"/>
      <c r="AP134" s="627"/>
      <c r="AQ134" s="627"/>
      <c r="AR134" s="627"/>
      <c r="AS134" s="627"/>
      <c r="AT134" s="627"/>
      <c r="AU134" s="627"/>
      <c r="AV134" s="627"/>
      <c r="AW134" s="627"/>
      <c r="AX134" s="628"/>
      <c r="AY134" s="629"/>
    </row>
    <row r="135" spans="2:51" ht="15" customHeight="1" x14ac:dyDescent="0.25">
      <c r="B135" s="578"/>
      <c r="C135" s="578"/>
      <c r="D135" s="578"/>
      <c r="E135" s="514" t="s">
        <v>216</v>
      </c>
      <c r="F135" s="515"/>
      <c r="G135" s="515"/>
      <c r="H135" s="515"/>
      <c r="I135" s="516"/>
      <c r="J135" s="541" t="s">
        <v>210</v>
      </c>
      <c r="K135" s="542"/>
      <c r="L135" s="542"/>
      <c r="M135" s="542"/>
      <c r="N135" s="542"/>
      <c r="O135" s="543"/>
      <c r="P135" s="652" t="s">
        <v>212</v>
      </c>
      <c r="Q135" s="654" t="s">
        <v>259</v>
      </c>
      <c r="R135" s="655"/>
      <c r="S135" s="633" t="s">
        <v>180</v>
      </c>
      <c r="T135" s="631">
        <v>4</v>
      </c>
      <c r="V135" s="185"/>
      <c r="X135" s="112"/>
      <c r="Y135" s="185"/>
      <c r="Z135" s="185"/>
      <c r="AA135" s="112"/>
      <c r="AB135" s="185"/>
      <c r="AC135" s="185"/>
      <c r="AD135" s="112"/>
      <c r="AE135" s="185"/>
      <c r="AF135" s="185"/>
      <c r="AG135" s="161"/>
      <c r="AH135" s="644" t="s">
        <v>383</v>
      </c>
      <c r="AI135" s="644"/>
      <c r="AJ135" s="782"/>
      <c r="AK135" s="782"/>
      <c r="AL135" s="627" t="str">
        <f t="shared" ref="AL135:AW135" si="60">IF((V136="CUMPLIDO"),"1","0")</f>
        <v>0</v>
      </c>
      <c r="AM135" s="627" t="str">
        <f t="shared" si="60"/>
        <v>0</v>
      </c>
      <c r="AN135" s="627" t="str">
        <f t="shared" si="60"/>
        <v>1</v>
      </c>
      <c r="AO135" s="627" t="str">
        <f t="shared" si="60"/>
        <v>0</v>
      </c>
      <c r="AP135" s="627" t="str">
        <f t="shared" si="60"/>
        <v>0</v>
      </c>
      <c r="AQ135" s="627" t="str">
        <f t="shared" si="60"/>
        <v>1</v>
      </c>
      <c r="AR135" s="627" t="str">
        <f t="shared" si="60"/>
        <v>0</v>
      </c>
      <c r="AS135" s="627" t="str">
        <f t="shared" si="60"/>
        <v>0</v>
      </c>
      <c r="AT135" s="627" t="str">
        <f t="shared" si="60"/>
        <v>0</v>
      </c>
      <c r="AU135" s="627" t="str">
        <f t="shared" si="60"/>
        <v>0</v>
      </c>
      <c r="AV135" s="627" t="str">
        <f t="shared" si="60"/>
        <v>0</v>
      </c>
      <c r="AW135" s="627" t="str">
        <f t="shared" si="60"/>
        <v>0</v>
      </c>
      <c r="AX135" s="628">
        <f>SUM(AL135+AM135+AN135+AO135+AP135+AQ135+AR135+AS135+AT135+AU135+AV135+AW135)</f>
        <v>2</v>
      </c>
      <c r="AY135" s="629">
        <f>AX135/4</f>
        <v>0.5</v>
      </c>
    </row>
    <row r="136" spans="2:51" ht="15" customHeight="1" x14ac:dyDescent="0.25">
      <c r="B136" s="578"/>
      <c r="C136" s="578"/>
      <c r="D136" s="578"/>
      <c r="E136" s="520"/>
      <c r="F136" s="521"/>
      <c r="G136" s="521"/>
      <c r="H136" s="521"/>
      <c r="I136" s="522"/>
      <c r="J136" s="546"/>
      <c r="K136" s="547"/>
      <c r="L136" s="547"/>
      <c r="M136" s="547"/>
      <c r="N136" s="547"/>
      <c r="O136" s="548"/>
      <c r="P136" s="653"/>
      <c r="Q136" s="656"/>
      <c r="R136" s="657"/>
      <c r="S136" s="634"/>
      <c r="T136" s="632"/>
      <c r="V136" s="185"/>
      <c r="W136" s="185"/>
      <c r="X136" s="136" t="s">
        <v>522</v>
      </c>
      <c r="Y136" s="185"/>
      <c r="Z136" s="185"/>
      <c r="AA136" s="136" t="s">
        <v>522</v>
      </c>
      <c r="AB136" s="185"/>
      <c r="AC136" s="185"/>
      <c r="AD136" s="136" t="s">
        <v>516</v>
      </c>
      <c r="AE136" s="185"/>
      <c r="AF136" s="185"/>
      <c r="AG136" s="136" t="s">
        <v>516</v>
      </c>
      <c r="AH136" s="644"/>
      <c r="AI136" s="644"/>
      <c r="AJ136" s="782"/>
      <c r="AK136" s="782"/>
      <c r="AL136" s="627"/>
      <c r="AM136" s="627"/>
      <c r="AN136" s="627"/>
      <c r="AO136" s="627"/>
      <c r="AP136" s="627"/>
      <c r="AQ136" s="627"/>
      <c r="AR136" s="627"/>
      <c r="AS136" s="627"/>
      <c r="AT136" s="627"/>
      <c r="AU136" s="627"/>
      <c r="AV136" s="627"/>
      <c r="AW136" s="627"/>
      <c r="AX136" s="628"/>
      <c r="AY136" s="629"/>
    </row>
    <row r="137" spans="2:51" ht="15" customHeight="1" x14ac:dyDescent="0.25">
      <c r="B137" s="541" t="s">
        <v>60</v>
      </c>
      <c r="C137" s="542"/>
      <c r="D137" s="543"/>
      <c r="E137" s="542" t="s">
        <v>61</v>
      </c>
      <c r="F137" s="542"/>
      <c r="G137" s="542"/>
      <c r="H137" s="542"/>
      <c r="I137" s="543"/>
      <c r="J137" s="541" t="s">
        <v>131</v>
      </c>
      <c r="K137" s="542"/>
      <c r="L137" s="542"/>
      <c r="M137" s="542"/>
      <c r="N137" s="542"/>
      <c r="O137" s="543"/>
      <c r="P137" s="652" t="s">
        <v>133</v>
      </c>
      <c r="Q137" s="581" t="s">
        <v>140</v>
      </c>
      <c r="R137" s="583"/>
      <c r="S137" s="633" t="s">
        <v>180</v>
      </c>
      <c r="T137" s="631">
        <v>12</v>
      </c>
      <c r="V137" s="112"/>
      <c r="W137" s="112"/>
      <c r="X137" s="112"/>
      <c r="Y137" s="112"/>
      <c r="Z137" s="112"/>
      <c r="AA137" s="112"/>
      <c r="AB137" s="112"/>
      <c r="AC137" s="112"/>
      <c r="AD137" s="112"/>
      <c r="AE137" s="112"/>
      <c r="AF137" s="112"/>
      <c r="AG137" s="161"/>
      <c r="AH137" s="644" t="s">
        <v>474</v>
      </c>
      <c r="AI137" s="644"/>
      <c r="AJ137" s="782"/>
      <c r="AK137" s="782"/>
      <c r="AL137" s="627" t="str">
        <f t="shared" ref="AL137:AW137" si="61">IF((V138="CUMPLIDO"),"1","0")</f>
        <v>1</v>
      </c>
      <c r="AM137" s="627" t="str">
        <f t="shared" si="61"/>
        <v>1</v>
      </c>
      <c r="AN137" s="627" t="str">
        <f t="shared" si="61"/>
        <v>1</v>
      </c>
      <c r="AO137" s="627" t="str">
        <f t="shared" si="61"/>
        <v>0</v>
      </c>
      <c r="AP137" s="627" t="str">
        <f t="shared" si="61"/>
        <v>0</v>
      </c>
      <c r="AQ137" s="627" t="str">
        <f t="shared" si="61"/>
        <v>0</v>
      </c>
      <c r="AR137" s="627" t="str">
        <f t="shared" si="61"/>
        <v>0</v>
      </c>
      <c r="AS137" s="627" t="str">
        <f t="shared" si="61"/>
        <v>0</v>
      </c>
      <c r="AT137" s="627" t="str">
        <f t="shared" si="61"/>
        <v>0</v>
      </c>
      <c r="AU137" s="627" t="str">
        <f t="shared" si="61"/>
        <v>0</v>
      </c>
      <c r="AV137" s="627" t="str">
        <f t="shared" si="61"/>
        <v>0</v>
      </c>
      <c r="AW137" s="627" t="str">
        <f t="shared" si="61"/>
        <v>0</v>
      </c>
      <c r="AX137" s="628">
        <f>SUM(AL137+AM137+AN137+AO137+AP137+AQ137+AR137+AS137+AT137+AU137+AV137+AW137)</f>
        <v>3</v>
      </c>
      <c r="AY137" s="629">
        <f>AX137/12</f>
        <v>0.25</v>
      </c>
    </row>
    <row r="138" spans="2:51" ht="15" customHeight="1" x14ac:dyDescent="0.25">
      <c r="B138" s="544"/>
      <c r="C138" s="485"/>
      <c r="D138" s="545"/>
      <c r="E138" s="485"/>
      <c r="F138" s="485"/>
      <c r="G138" s="485"/>
      <c r="H138" s="485"/>
      <c r="I138" s="545"/>
      <c r="J138" s="546"/>
      <c r="K138" s="547"/>
      <c r="L138" s="547"/>
      <c r="M138" s="547"/>
      <c r="N138" s="547"/>
      <c r="O138" s="548"/>
      <c r="P138" s="653"/>
      <c r="Q138" s="664"/>
      <c r="R138" s="665"/>
      <c r="S138" s="634"/>
      <c r="T138" s="632"/>
      <c r="V138" s="136" t="s">
        <v>522</v>
      </c>
      <c r="W138" s="136" t="s">
        <v>522</v>
      </c>
      <c r="X138" s="136" t="s">
        <v>522</v>
      </c>
      <c r="Y138" s="136" t="s">
        <v>516</v>
      </c>
      <c r="Z138" s="136" t="s">
        <v>516</v>
      </c>
      <c r="AA138" s="136" t="s">
        <v>516</v>
      </c>
      <c r="AB138" s="136" t="s">
        <v>516</v>
      </c>
      <c r="AC138" s="136" t="s">
        <v>516</v>
      </c>
      <c r="AD138" s="136" t="s">
        <v>516</v>
      </c>
      <c r="AE138" s="136" t="s">
        <v>516</v>
      </c>
      <c r="AF138" s="136" t="s">
        <v>516</v>
      </c>
      <c r="AG138" s="136" t="s">
        <v>516</v>
      </c>
      <c r="AH138" s="644"/>
      <c r="AI138" s="644"/>
      <c r="AJ138" s="782"/>
      <c r="AK138" s="782"/>
      <c r="AL138" s="627"/>
      <c r="AM138" s="627"/>
      <c r="AN138" s="627"/>
      <c r="AO138" s="627"/>
      <c r="AP138" s="627"/>
      <c r="AQ138" s="627"/>
      <c r="AR138" s="627"/>
      <c r="AS138" s="627"/>
      <c r="AT138" s="627"/>
      <c r="AU138" s="627"/>
      <c r="AV138" s="627"/>
      <c r="AW138" s="627"/>
      <c r="AX138" s="628"/>
      <c r="AY138" s="629"/>
    </row>
    <row r="139" spans="2:51" ht="15" customHeight="1" x14ac:dyDescent="0.25">
      <c r="B139" s="544"/>
      <c r="C139" s="485"/>
      <c r="D139" s="545"/>
      <c r="E139" s="485"/>
      <c r="F139" s="485"/>
      <c r="G139" s="485"/>
      <c r="H139" s="485"/>
      <c r="I139" s="545"/>
      <c r="J139" s="541" t="s">
        <v>134</v>
      </c>
      <c r="K139" s="542"/>
      <c r="L139" s="542"/>
      <c r="M139" s="542"/>
      <c r="N139" s="542"/>
      <c r="O139" s="543"/>
      <c r="P139" s="652" t="s">
        <v>140</v>
      </c>
      <c r="Q139" s="581" t="s">
        <v>141</v>
      </c>
      <c r="R139" s="583"/>
      <c r="S139" s="633" t="s">
        <v>180</v>
      </c>
      <c r="T139" s="631">
        <v>3</v>
      </c>
      <c r="V139" s="112"/>
      <c r="W139" s="112"/>
      <c r="X139" s="112"/>
      <c r="Y139" s="72"/>
      <c r="Z139" s="72"/>
      <c r="AA139" s="72"/>
      <c r="AB139" s="72"/>
      <c r="AC139" s="72"/>
      <c r="AD139" s="72"/>
      <c r="AE139" s="72"/>
      <c r="AF139" s="72"/>
      <c r="AG139" s="165"/>
      <c r="AH139" s="644" t="s">
        <v>461</v>
      </c>
      <c r="AI139" s="644"/>
      <c r="AJ139" s="782"/>
      <c r="AK139" s="782"/>
      <c r="AL139" s="627" t="str">
        <f t="shared" ref="AL139:AW139" si="62">IF((V140="CUMPLIDO"),"1","0")</f>
        <v>1</v>
      </c>
      <c r="AM139" s="627" t="str">
        <f t="shared" si="62"/>
        <v>1</v>
      </c>
      <c r="AN139" s="627" t="str">
        <f t="shared" si="62"/>
        <v>1</v>
      </c>
      <c r="AO139" s="627" t="str">
        <f t="shared" si="62"/>
        <v>0</v>
      </c>
      <c r="AP139" s="627" t="str">
        <f t="shared" si="62"/>
        <v>0</v>
      </c>
      <c r="AQ139" s="627" t="str">
        <f t="shared" si="62"/>
        <v>0</v>
      </c>
      <c r="AR139" s="627" t="str">
        <f t="shared" si="62"/>
        <v>0</v>
      </c>
      <c r="AS139" s="627" t="str">
        <f t="shared" si="62"/>
        <v>0</v>
      </c>
      <c r="AT139" s="627" t="str">
        <f t="shared" si="62"/>
        <v>0</v>
      </c>
      <c r="AU139" s="627" t="str">
        <f t="shared" si="62"/>
        <v>0</v>
      </c>
      <c r="AV139" s="627" t="str">
        <f t="shared" si="62"/>
        <v>0</v>
      </c>
      <c r="AW139" s="627" t="str">
        <f t="shared" si="62"/>
        <v>0</v>
      </c>
      <c r="AX139" s="628">
        <f>SUM(AL139+AM139+AN139+AO139+AP139+AQ139+AR139+AS139+AT139+AU139+AV139+AW139)</f>
        <v>3</v>
      </c>
      <c r="AY139" s="629">
        <f>AX139/3</f>
        <v>1</v>
      </c>
    </row>
    <row r="140" spans="2:51" ht="15" customHeight="1" x14ac:dyDescent="0.25">
      <c r="B140" s="544"/>
      <c r="C140" s="485"/>
      <c r="D140" s="545"/>
      <c r="E140" s="485"/>
      <c r="F140" s="485"/>
      <c r="G140" s="485"/>
      <c r="H140" s="485"/>
      <c r="I140" s="545"/>
      <c r="J140" s="546"/>
      <c r="K140" s="547"/>
      <c r="L140" s="547"/>
      <c r="M140" s="547"/>
      <c r="N140" s="547"/>
      <c r="O140" s="548"/>
      <c r="P140" s="653"/>
      <c r="Q140" s="664"/>
      <c r="R140" s="665"/>
      <c r="S140" s="634"/>
      <c r="T140" s="632"/>
      <c r="V140" s="136" t="s">
        <v>522</v>
      </c>
      <c r="W140" s="136" t="s">
        <v>522</v>
      </c>
      <c r="X140" s="136" t="s">
        <v>522</v>
      </c>
      <c r="Y140" s="114"/>
      <c r="Z140" s="114"/>
      <c r="AA140" s="114"/>
      <c r="AB140" s="114"/>
      <c r="AC140" s="114"/>
      <c r="AD140" s="114"/>
      <c r="AE140" s="114"/>
      <c r="AF140" s="114"/>
      <c r="AG140" s="165"/>
      <c r="AH140" s="644"/>
      <c r="AI140" s="644"/>
      <c r="AJ140" s="782"/>
      <c r="AK140" s="782"/>
      <c r="AL140" s="627"/>
      <c r="AM140" s="627"/>
      <c r="AN140" s="627"/>
      <c r="AO140" s="627"/>
      <c r="AP140" s="627"/>
      <c r="AQ140" s="627"/>
      <c r="AR140" s="627"/>
      <c r="AS140" s="627"/>
      <c r="AT140" s="627"/>
      <c r="AU140" s="627"/>
      <c r="AV140" s="627"/>
      <c r="AW140" s="627"/>
      <c r="AX140" s="628"/>
      <c r="AY140" s="629"/>
    </row>
    <row r="141" spans="2:51" ht="15" customHeight="1" x14ac:dyDescent="0.25">
      <c r="B141" s="544"/>
      <c r="C141" s="485"/>
      <c r="D141" s="545"/>
      <c r="E141" s="485"/>
      <c r="F141" s="485"/>
      <c r="G141" s="485"/>
      <c r="H141" s="485"/>
      <c r="I141" s="545"/>
      <c r="J141" s="541" t="s">
        <v>132</v>
      </c>
      <c r="K141" s="542"/>
      <c r="L141" s="542"/>
      <c r="M141" s="542"/>
      <c r="N141" s="542"/>
      <c r="O141" s="543"/>
      <c r="P141" s="652" t="s">
        <v>140</v>
      </c>
      <c r="Q141" s="581" t="s">
        <v>142</v>
      </c>
      <c r="R141" s="583"/>
      <c r="S141" s="633" t="s">
        <v>180</v>
      </c>
      <c r="T141" s="631">
        <v>6</v>
      </c>
      <c r="V141" s="72"/>
      <c r="W141" s="72"/>
      <c r="X141" s="72"/>
      <c r="Y141" s="72"/>
      <c r="Z141" s="113"/>
      <c r="AA141" s="113"/>
      <c r="AB141" s="112"/>
      <c r="AC141" s="112"/>
      <c r="AD141" s="112"/>
      <c r="AE141" s="112"/>
      <c r="AF141" s="112"/>
      <c r="AG141" s="161"/>
      <c r="AH141" s="644" t="s">
        <v>462</v>
      </c>
      <c r="AI141" s="644"/>
      <c r="AJ141" s="782">
        <v>700</v>
      </c>
      <c r="AK141" s="782"/>
      <c r="AL141" s="627" t="str">
        <f t="shared" ref="AL141:AW141" si="63">IF((V142="CUMPLIDO"),"1","0")</f>
        <v>0</v>
      </c>
      <c r="AM141" s="627" t="str">
        <f t="shared" si="63"/>
        <v>0</v>
      </c>
      <c r="AN141" s="627" t="str">
        <f t="shared" si="63"/>
        <v>0</v>
      </c>
      <c r="AO141" s="627" t="str">
        <f t="shared" si="63"/>
        <v>0</v>
      </c>
      <c r="AP141" s="627" t="str">
        <f t="shared" si="63"/>
        <v>0</v>
      </c>
      <c r="AQ141" s="627" t="str">
        <f t="shared" si="63"/>
        <v>0</v>
      </c>
      <c r="AR141" s="627" t="str">
        <f t="shared" si="63"/>
        <v>0</v>
      </c>
      <c r="AS141" s="627" t="str">
        <f t="shared" si="63"/>
        <v>0</v>
      </c>
      <c r="AT141" s="627" t="str">
        <f t="shared" si="63"/>
        <v>0</v>
      </c>
      <c r="AU141" s="627" t="str">
        <f t="shared" si="63"/>
        <v>0</v>
      </c>
      <c r="AV141" s="627" t="str">
        <f t="shared" si="63"/>
        <v>0</v>
      </c>
      <c r="AW141" s="627" t="str">
        <f t="shared" si="63"/>
        <v>0</v>
      </c>
      <c r="AX141" s="628">
        <f>SUM(AL141+AM141+AN141+AO141+AP141+AQ141+AR141+AS141+AT141+AU141+AV141+AW141)</f>
        <v>0</v>
      </c>
      <c r="AY141" s="629">
        <f>AX141/6</f>
        <v>0</v>
      </c>
    </row>
    <row r="142" spans="2:51" ht="15" customHeight="1" x14ac:dyDescent="0.25">
      <c r="B142" s="544"/>
      <c r="C142" s="485"/>
      <c r="D142" s="545"/>
      <c r="E142" s="485"/>
      <c r="F142" s="485"/>
      <c r="G142" s="485"/>
      <c r="H142" s="485"/>
      <c r="I142" s="545"/>
      <c r="J142" s="546"/>
      <c r="K142" s="547"/>
      <c r="L142" s="547"/>
      <c r="M142" s="547"/>
      <c r="N142" s="547"/>
      <c r="O142" s="548"/>
      <c r="P142" s="653"/>
      <c r="Q142" s="664"/>
      <c r="R142" s="665"/>
      <c r="S142" s="634"/>
      <c r="T142" s="632"/>
      <c r="V142" s="114"/>
      <c r="W142" s="114"/>
      <c r="X142" s="114"/>
      <c r="Y142" s="114"/>
      <c r="Z142" s="113"/>
      <c r="AA142" s="113"/>
      <c r="AB142" s="136" t="s">
        <v>516</v>
      </c>
      <c r="AC142" s="136" t="s">
        <v>516</v>
      </c>
      <c r="AD142" s="136" t="s">
        <v>516</v>
      </c>
      <c r="AE142" s="136" t="s">
        <v>516</v>
      </c>
      <c r="AF142" s="136" t="s">
        <v>516</v>
      </c>
      <c r="AG142" s="136" t="s">
        <v>516</v>
      </c>
      <c r="AH142" s="644"/>
      <c r="AI142" s="644"/>
      <c r="AJ142" s="782"/>
      <c r="AK142" s="782"/>
      <c r="AL142" s="627"/>
      <c r="AM142" s="627"/>
      <c r="AN142" s="627"/>
      <c r="AO142" s="627"/>
      <c r="AP142" s="627"/>
      <c r="AQ142" s="627"/>
      <c r="AR142" s="627"/>
      <c r="AS142" s="627"/>
      <c r="AT142" s="627"/>
      <c r="AU142" s="627"/>
      <c r="AV142" s="627"/>
      <c r="AW142" s="627"/>
      <c r="AX142" s="628"/>
      <c r="AY142" s="629"/>
    </row>
    <row r="143" spans="2:51" ht="15" customHeight="1" x14ac:dyDescent="0.25">
      <c r="B143" s="544"/>
      <c r="C143" s="485"/>
      <c r="D143" s="545"/>
      <c r="E143" s="514" t="s">
        <v>135</v>
      </c>
      <c r="F143" s="515"/>
      <c r="G143" s="515"/>
      <c r="H143" s="515"/>
      <c r="I143" s="516"/>
      <c r="J143" s="541" t="s">
        <v>136</v>
      </c>
      <c r="K143" s="542"/>
      <c r="L143" s="542"/>
      <c r="M143" s="542"/>
      <c r="N143" s="542"/>
      <c r="O143" s="543"/>
      <c r="P143" s="652" t="s">
        <v>140</v>
      </c>
      <c r="Q143" s="581" t="s">
        <v>143</v>
      </c>
      <c r="R143" s="583"/>
      <c r="S143" s="633" t="s">
        <v>180</v>
      </c>
      <c r="T143" s="631">
        <v>2</v>
      </c>
      <c r="V143" s="72"/>
      <c r="W143" s="112"/>
      <c r="X143" s="112"/>
      <c r="Y143" s="72"/>
      <c r="Z143" s="72"/>
      <c r="AA143" s="72"/>
      <c r="AB143" s="72"/>
      <c r="AC143" s="72"/>
      <c r="AD143" s="72"/>
      <c r="AE143" s="72"/>
      <c r="AF143" s="72"/>
      <c r="AG143" s="165"/>
      <c r="AH143" s="644" t="s">
        <v>464</v>
      </c>
      <c r="AI143" s="644"/>
      <c r="AJ143" s="782"/>
      <c r="AK143" s="782"/>
      <c r="AL143" s="627" t="str">
        <f t="shared" ref="AL143:AW143" si="64">IF((V144="CUMPLIDO"),"1","0")</f>
        <v>0</v>
      </c>
      <c r="AM143" s="627" t="str">
        <f t="shared" si="64"/>
        <v>0</v>
      </c>
      <c r="AN143" s="627" t="str">
        <f t="shared" si="64"/>
        <v>0</v>
      </c>
      <c r="AO143" s="627" t="str">
        <f t="shared" si="64"/>
        <v>0</v>
      </c>
      <c r="AP143" s="627" t="str">
        <f t="shared" si="64"/>
        <v>0</v>
      </c>
      <c r="AQ143" s="627" t="str">
        <f t="shared" si="64"/>
        <v>0</v>
      </c>
      <c r="AR143" s="627" t="str">
        <f t="shared" si="64"/>
        <v>0</v>
      </c>
      <c r="AS143" s="627" t="str">
        <f t="shared" si="64"/>
        <v>0</v>
      </c>
      <c r="AT143" s="627" t="str">
        <f t="shared" si="64"/>
        <v>0</v>
      </c>
      <c r="AU143" s="627" t="str">
        <f t="shared" si="64"/>
        <v>0</v>
      </c>
      <c r="AV143" s="627" t="str">
        <f t="shared" si="64"/>
        <v>0</v>
      </c>
      <c r="AW143" s="627" t="str">
        <f t="shared" si="64"/>
        <v>0</v>
      </c>
      <c r="AX143" s="628">
        <f>SUM(AL143+AM143+AN143+AO143+AP143+AQ143+AR143+AS143+AT143+AU143+AV143+AW143)</f>
        <v>0</v>
      </c>
      <c r="AY143" s="629">
        <f>AX143/2</f>
        <v>0</v>
      </c>
    </row>
    <row r="144" spans="2:51" ht="15" customHeight="1" x14ac:dyDescent="0.25">
      <c r="B144" s="544"/>
      <c r="C144" s="485"/>
      <c r="D144" s="545"/>
      <c r="E144" s="517"/>
      <c r="F144" s="518"/>
      <c r="G144" s="518"/>
      <c r="H144" s="518"/>
      <c r="I144" s="519"/>
      <c r="J144" s="546"/>
      <c r="K144" s="547"/>
      <c r="L144" s="547"/>
      <c r="M144" s="547"/>
      <c r="N144" s="547"/>
      <c r="O144" s="548"/>
      <c r="P144" s="653"/>
      <c r="Q144" s="664"/>
      <c r="R144" s="665"/>
      <c r="S144" s="634"/>
      <c r="T144" s="632"/>
      <c r="V144" s="114"/>
      <c r="W144" s="136" t="s">
        <v>516</v>
      </c>
      <c r="X144" s="136" t="s">
        <v>516</v>
      </c>
      <c r="Y144" s="114"/>
      <c r="Z144" s="114"/>
      <c r="AA144" s="114"/>
      <c r="AB144" s="114"/>
      <c r="AC144" s="114"/>
      <c r="AD144" s="114"/>
      <c r="AE144" s="114"/>
      <c r="AF144" s="114"/>
      <c r="AG144" s="165"/>
      <c r="AH144" s="644"/>
      <c r="AI144" s="644"/>
      <c r="AJ144" s="782"/>
      <c r="AK144" s="782"/>
      <c r="AL144" s="627"/>
      <c r="AM144" s="627"/>
      <c r="AN144" s="627"/>
      <c r="AO144" s="627"/>
      <c r="AP144" s="627"/>
      <c r="AQ144" s="627"/>
      <c r="AR144" s="627"/>
      <c r="AS144" s="627"/>
      <c r="AT144" s="627"/>
      <c r="AU144" s="627"/>
      <c r="AV144" s="627"/>
      <c r="AW144" s="627"/>
      <c r="AX144" s="628"/>
      <c r="AY144" s="629"/>
    </row>
    <row r="145" spans="1:58" ht="15" customHeight="1" x14ac:dyDescent="0.25">
      <c r="B145" s="544"/>
      <c r="C145" s="485"/>
      <c r="D145" s="545"/>
      <c r="E145" s="517"/>
      <c r="F145" s="518"/>
      <c r="G145" s="518"/>
      <c r="H145" s="518"/>
      <c r="I145" s="519"/>
      <c r="J145" s="514" t="s">
        <v>137</v>
      </c>
      <c r="K145" s="515"/>
      <c r="L145" s="515"/>
      <c r="M145" s="515"/>
      <c r="N145" s="515"/>
      <c r="O145" s="516"/>
      <c r="P145" s="652" t="s">
        <v>140</v>
      </c>
      <c r="Q145" s="581" t="s">
        <v>144</v>
      </c>
      <c r="R145" s="583"/>
      <c r="S145" s="633" t="s">
        <v>180</v>
      </c>
      <c r="T145" s="631">
        <v>2</v>
      </c>
      <c r="V145" s="72"/>
      <c r="W145" s="72"/>
      <c r="X145" s="72"/>
      <c r="Y145" s="112"/>
      <c r="Z145" s="112"/>
      <c r="AA145" s="72"/>
      <c r="AB145" s="72"/>
      <c r="AC145" s="72"/>
      <c r="AD145" s="72"/>
      <c r="AE145" s="72"/>
      <c r="AF145" s="72"/>
      <c r="AG145" s="165"/>
      <c r="AH145" s="644" t="s">
        <v>463</v>
      </c>
      <c r="AI145" s="644"/>
      <c r="AJ145" s="782">
        <v>2000</v>
      </c>
      <c r="AK145" s="782"/>
      <c r="AL145" s="627" t="str">
        <f t="shared" ref="AL145:AW145" si="65">IF((V146="CUMPLIDO"),"1","0")</f>
        <v>0</v>
      </c>
      <c r="AM145" s="627" t="str">
        <f t="shared" si="65"/>
        <v>0</v>
      </c>
      <c r="AN145" s="627" t="str">
        <f t="shared" si="65"/>
        <v>0</v>
      </c>
      <c r="AO145" s="627" t="str">
        <f t="shared" si="65"/>
        <v>0</v>
      </c>
      <c r="AP145" s="627" t="str">
        <f t="shared" si="65"/>
        <v>0</v>
      </c>
      <c r="AQ145" s="627" t="str">
        <f t="shared" si="65"/>
        <v>0</v>
      </c>
      <c r="AR145" s="627" t="str">
        <f t="shared" si="65"/>
        <v>0</v>
      </c>
      <c r="AS145" s="627" t="str">
        <f t="shared" si="65"/>
        <v>0</v>
      </c>
      <c r="AT145" s="627" t="str">
        <f t="shared" si="65"/>
        <v>0</v>
      </c>
      <c r="AU145" s="627" t="str">
        <f t="shared" si="65"/>
        <v>0</v>
      </c>
      <c r="AV145" s="627" t="str">
        <f t="shared" si="65"/>
        <v>0</v>
      </c>
      <c r="AW145" s="627" t="str">
        <f t="shared" si="65"/>
        <v>0</v>
      </c>
      <c r="AX145" s="628">
        <f>SUM(AL145+AM145+AN145+AO145+AP145+AQ145+AR145+AS145+AT145+AU145+AV145+AW145)</f>
        <v>0</v>
      </c>
      <c r="AY145" s="629">
        <f>AX145/2</f>
        <v>0</v>
      </c>
    </row>
    <row r="146" spans="1:58" ht="15" customHeight="1" x14ac:dyDescent="0.25">
      <c r="B146" s="544"/>
      <c r="C146" s="485"/>
      <c r="D146" s="545"/>
      <c r="E146" s="517"/>
      <c r="F146" s="518"/>
      <c r="G146" s="518"/>
      <c r="H146" s="518"/>
      <c r="I146" s="519"/>
      <c r="J146" s="520"/>
      <c r="K146" s="521"/>
      <c r="L146" s="521"/>
      <c r="M146" s="521"/>
      <c r="N146" s="521"/>
      <c r="O146" s="522"/>
      <c r="P146" s="653"/>
      <c r="Q146" s="664"/>
      <c r="R146" s="665"/>
      <c r="S146" s="634"/>
      <c r="T146" s="632"/>
      <c r="V146" s="114"/>
      <c r="W146" s="114"/>
      <c r="X146" s="114"/>
      <c r="Y146" s="136" t="s">
        <v>516</v>
      </c>
      <c r="Z146" s="136" t="s">
        <v>516</v>
      </c>
      <c r="AA146" s="114"/>
      <c r="AB146" s="114"/>
      <c r="AC146" s="114"/>
      <c r="AD146" s="114"/>
      <c r="AE146" s="114"/>
      <c r="AF146" s="114"/>
      <c r="AG146" s="165"/>
      <c r="AH146" s="644"/>
      <c r="AI146" s="644"/>
      <c r="AJ146" s="782"/>
      <c r="AK146" s="782"/>
      <c r="AL146" s="627"/>
      <c r="AM146" s="627"/>
      <c r="AN146" s="627"/>
      <c r="AO146" s="627"/>
      <c r="AP146" s="627"/>
      <c r="AQ146" s="627"/>
      <c r="AR146" s="627"/>
      <c r="AS146" s="627"/>
      <c r="AT146" s="627"/>
      <c r="AU146" s="627"/>
      <c r="AV146" s="627"/>
      <c r="AW146" s="627"/>
      <c r="AX146" s="628"/>
      <c r="AY146" s="629"/>
    </row>
    <row r="147" spans="1:58" ht="15" customHeight="1" x14ac:dyDescent="0.25">
      <c r="B147" s="544"/>
      <c r="C147" s="485"/>
      <c r="D147" s="545"/>
      <c r="E147" s="517"/>
      <c r="F147" s="518"/>
      <c r="G147" s="518"/>
      <c r="H147" s="518"/>
      <c r="I147" s="519"/>
      <c r="J147" s="541" t="s">
        <v>138</v>
      </c>
      <c r="K147" s="542"/>
      <c r="L147" s="542"/>
      <c r="M147" s="542"/>
      <c r="N147" s="542"/>
      <c r="O147" s="543"/>
      <c r="P147" s="652" t="s">
        <v>140</v>
      </c>
      <c r="Q147" s="581" t="s">
        <v>145</v>
      </c>
      <c r="R147" s="583"/>
      <c r="S147" s="633" t="s">
        <v>180</v>
      </c>
      <c r="T147" s="631">
        <v>11</v>
      </c>
      <c r="V147" s="114"/>
      <c r="W147" s="112"/>
      <c r="X147" s="112"/>
      <c r="Y147" s="112"/>
      <c r="Z147" s="112"/>
      <c r="AA147" s="112"/>
      <c r="AB147" s="112"/>
      <c r="AC147" s="112"/>
      <c r="AD147" s="112"/>
      <c r="AE147" s="112"/>
      <c r="AF147" s="112"/>
      <c r="AG147" s="203"/>
      <c r="AH147" s="644" t="s">
        <v>465</v>
      </c>
      <c r="AI147" s="644"/>
      <c r="AJ147" s="782">
        <v>800</v>
      </c>
      <c r="AK147" s="782"/>
      <c r="AL147" s="627" t="str">
        <f t="shared" ref="AL147:AW147" si="66">IF((V148="CUMPLIDO"),"1","0")</f>
        <v>0</v>
      </c>
      <c r="AM147" s="627" t="str">
        <f t="shared" si="66"/>
        <v>1</v>
      </c>
      <c r="AN147" s="627" t="str">
        <f t="shared" si="66"/>
        <v>1</v>
      </c>
      <c r="AO147" s="627" t="str">
        <f t="shared" si="66"/>
        <v>0</v>
      </c>
      <c r="AP147" s="627" t="str">
        <f t="shared" si="66"/>
        <v>0</v>
      </c>
      <c r="AQ147" s="627" t="str">
        <f t="shared" si="66"/>
        <v>0</v>
      </c>
      <c r="AR147" s="627" t="str">
        <f t="shared" si="66"/>
        <v>0</v>
      </c>
      <c r="AS147" s="627" t="str">
        <f t="shared" si="66"/>
        <v>0</v>
      </c>
      <c r="AT147" s="627" t="str">
        <f t="shared" si="66"/>
        <v>0</v>
      </c>
      <c r="AU147" s="627" t="str">
        <f t="shared" si="66"/>
        <v>0</v>
      </c>
      <c r="AV147" s="627" t="str">
        <f t="shared" si="66"/>
        <v>0</v>
      </c>
      <c r="AW147" s="627" t="str">
        <f t="shared" si="66"/>
        <v>0</v>
      </c>
      <c r="AX147" s="628">
        <f>SUM(AL147+AM147+AN147+AO147+AP147+AQ147+AR147+AS147+AT147+AU147+AV147+AW147)</f>
        <v>2</v>
      </c>
      <c r="AY147" s="629">
        <f>AX147/11</f>
        <v>0.18181818181818182</v>
      </c>
      <c r="BD147" s="336"/>
      <c r="BE147" s="336" t="s">
        <v>520</v>
      </c>
      <c r="BF147" s="336" t="s">
        <v>521</v>
      </c>
    </row>
    <row r="148" spans="1:58" ht="15" customHeight="1" x14ac:dyDescent="0.25">
      <c r="A148" s="138"/>
      <c r="B148" s="546"/>
      <c r="C148" s="547"/>
      <c r="D148" s="548"/>
      <c r="E148" s="520"/>
      <c r="F148" s="521"/>
      <c r="G148" s="521"/>
      <c r="H148" s="521"/>
      <c r="I148" s="522"/>
      <c r="J148" s="546"/>
      <c r="K148" s="547"/>
      <c r="L148" s="547"/>
      <c r="M148" s="547"/>
      <c r="N148" s="547"/>
      <c r="O148" s="548"/>
      <c r="P148" s="653"/>
      <c r="Q148" s="664"/>
      <c r="R148" s="665"/>
      <c r="S148" s="634"/>
      <c r="T148" s="632"/>
      <c r="U148" s="138"/>
      <c r="V148" s="139"/>
      <c r="W148" s="136" t="s">
        <v>522</v>
      </c>
      <c r="X148" s="136" t="s">
        <v>522</v>
      </c>
      <c r="Y148" s="136" t="s">
        <v>516</v>
      </c>
      <c r="Z148" s="136" t="s">
        <v>516</v>
      </c>
      <c r="AA148" s="136" t="s">
        <v>516</v>
      </c>
      <c r="AB148" s="136" t="s">
        <v>516</v>
      </c>
      <c r="AC148" s="136" t="s">
        <v>516</v>
      </c>
      <c r="AD148" s="136" t="s">
        <v>516</v>
      </c>
      <c r="AE148" s="136" t="s">
        <v>516</v>
      </c>
      <c r="AF148" s="136" t="s">
        <v>516</v>
      </c>
      <c r="AG148" s="136" t="s">
        <v>516</v>
      </c>
      <c r="AH148" s="644"/>
      <c r="AI148" s="644"/>
      <c r="AJ148" s="782"/>
      <c r="AK148" s="782"/>
      <c r="AL148" s="627"/>
      <c r="AM148" s="627"/>
      <c r="AN148" s="627"/>
      <c r="AO148" s="627"/>
      <c r="AP148" s="627"/>
      <c r="AQ148" s="627"/>
      <c r="AR148" s="627"/>
      <c r="AS148" s="627"/>
      <c r="AT148" s="627"/>
      <c r="AU148" s="627"/>
      <c r="AV148" s="627"/>
      <c r="AW148" s="627"/>
      <c r="AX148" s="628"/>
      <c r="AY148" s="630"/>
      <c r="BD148" s="336"/>
      <c r="BE148" s="336">
        <v>0</v>
      </c>
      <c r="BF148" s="336">
        <v>0</v>
      </c>
    </row>
    <row r="149" spans="1:58" ht="24" customHeight="1" x14ac:dyDescent="0.25">
      <c r="B149" s="720" t="str">
        <f>HYPERLINK("#B6","PERSPECTIVA 1")</f>
        <v>PERSPECTIVA 1</v>
      </c>
      <c r="C149" s="721"/>
      <c r="D149" s="722"/>
      <c r="E149" s="723"/>
      <c r="F149" s="683"/>
      <c r="G149" s="723"/>
      <c r="H149" s="683"/>
      <c r="I149" s="684"/>
      <c r="J149" s="684"/>
      <c r="K149" s="125"/>
      <c r="AY149" s="315">
        <f>AVERAGE(AY97:AY148)</f>
        <v>0.4012237762237762</v>
      </c>
      <c r="BD149" s="337">
        <f>PI()*AY149</f>
        <v>1.2604816678301705</v>
      </c>
      <c r="BE149" s="336">
        <f>-COS(BD149)</f>
        <v>-0.30535828163170486</v>
      </c>
      <c r="BF149" s="336">
        <f>SIN(BD149)</f>
        <v>0.95223753330717453</v>
      </c>
    </row>
    <row r="150" spans="1:58" ht="30" customHeight="1" x14ac:dyDescent="0.25">
      <c r="B150" s="450" t="s">
        <v>77</v>
      </c>
      <c r="C150" s="450"/>
      <c r="D150" s="450"/>
      <c r="E150" s="140" t="s">
        <v>95</v>
      </c>
      <c r="F150" s="141"/>
      <c r="G150" s="141"/>
      <c r="H150" s="141"/>
      <c r="I150" s="141"/>
      <c r="J150" s="681"/>
      <c r="K150" s="681"/>
      <c r="L150" s="682"/>
      <c r="M150" s="682"/>
      <c r="N150" s="682"/>
      <c r="O150" s="682"/>
      <c r="P150" s="682"/>
      <c r="Q150" s="682"/>
      <c r="R150" s="682"/>
      <c r="S150" s="313"/>
      <c r="T150" s="313"/>
      <c r="U150" s="685"/>
      <c r="V150" s="119"/>
      <c r="W150" s="120"/>
      <c r="X150" s="120"/>
      <c r="Y150" s="120"/>
      <c r="Z150" s="120"/>
      <c r="AA150" s="120"/>
      <c r="AB150" s="120"/>
      <c r="AC150" s="120"/>
      <c r="AD150" s="120"/>
      <c r="AE150" s="120"/>
      <c r="AF150" s="120"/>
      <c r="AG150" s="120"/>
    </row>
    <row r="151" spans="1:58" ht="6" customHeight="1" x14ac:dyDescent="0.25">
      <c r="B151" s="724"/>
      <c r="C151" s="724"/>
      <c r="D151" s="724"/>
      <c r="E151" s="724"/>
      <c r="F151" s="724"/>
      <c r="G151" s="724"/>
      <c r="H151" s="724"/>
      <c r="I151" s="724"/>
      <c r="J151" s="724"/>
      <c r="K151" s="724"/>
      <c r="L151" s="724"/>
      <c r="M151" s="724"/>
      <c r="N151" s="724"/>
      <c r="O151" s="724"/>
      <c r="P151" s="724"/>
      <c r="Q151" s="724"/>
      <c r="R151" s="724"/>
      <c r="S151" s="314"/>
      <c r="T151" s="314"/>
      <c r="U151" s="685"/>
    </row>
    <row r="152" spans="1:58" ht="22.5" customHeight="1" x14ac:dyDescent="0.25">
      <c r="B152" s="705" t="s">
        <v>36</v>
      </c>
      <c r="C152" s="705"/>
      <c r="D152" s="705"/>
      <c r="E152" s="705" t="s">
        <v>37</v>
      </c>
      <c r="F152" s="705"/>
      <c r="G152" s="705"/>
      <c r="H152" s="705"/>
      <c r="I152" s="705"/>
      <c r="J152" s="560"/>
      <c r="K152" s="561"/>
      <c r="L152" s="561"/>
      <c r="M152" s="561"/>
      <c r="N152" s="561"/>
      <c r="O152" s="561"/>
      <c r="P152" s="561"/>
      <c r="Q152" s="561"/>
      <c r="R152" s="561"/>
      <c r="S152" s="126"/>
      <c r="T152" s="126"/>
      <c r="U152" s="685"/>
      <c r="V152" s="527" t="s">
        <v>122</v>
      </c>
      <c r="W152" s="527"/>
      <c r="X152" s="527"/>
      <c r="Y152" s="527"/>
      <c r="Z152" s="527"/>
      <c r="AA152" s="527"/>
      <c r="AB152" s="527"/>
      <c r="AC152" s="527"/>
      <c r="AD152" s="527"/>
      <c r="AE152" s="527"/>
      <c r="AF152" s="527"/>
      <c r="AG152" s="527"/>
      <c r="AH152" s="639" t="s">
        <v>205</v>
      </c>
      <c r="AI152" s="640"/>
      <c r="AJ152" s="635" t="s">
        <v>217</v>
      </c>
      <c r="AK152" s="636"/>
      <c r="AL152" s="308"/>
      <c r="AY152" s="527" t="s">
        <v>179</v>
      </c>
    </row>
    <row r="153" spans="1:58" ht="22.5" customHeight="1" x14ac:dyDescent="0.25">
      <c r="B153" s="527"/>
      <c r="C153" s="527"/>
      <c r="D153" s="527"/>
      <c r="E153" s="527"/>
      <c r="F153" s="527"/>
      <c r="G153" s="527"/>
      <c r="H153" s="527"/>
      <c r="I153" s="527"/>
      <c r="J153" s="673" t="s">
        <v>106</v>
      </c>
      <c r="K153" s="674"/>
      <c r="L153" s="674"/>
      <c r="M153" s="674"/>
      <c r="N153" s="674"/>
      <c r="O153" s="675"/>
      <c r="P153" s="134" t="s">
        <v>139</v>
      </c>
      <c r="Q153" s="624" t="s">
        <v>107</v>
      </c>
      <c r="R153" s="686"/>
      <c r="S153" s="624"/>
      <c r="T153" s="686"/>
      <c r="U153" s="685"/>
      <c r="V153" s="96" t="s">
        <v>108</v>
      </c>
      <c r="W153" s="95" t="s">
        <v>109</v>
      </c>
      <c r="X153" s="95" t="s">
        <v>110</v>
      </c>
      <c r="Y153" s="95" t="s">
        <v>111</v>
      </c>
      <c r="Z153" s="95" t="s">
        <v>112</v>
      </c>
      <c r="AA153" s="95" t="s">
        <v>113</v>
      </c>
      <c r="AB153" s="95" t="s">
        <v>114</v>
      </c>
      <c r="AC153" s="94" t="s">
        <v>115</v>
      </c>
      <c r="AD153" s="94" t="s">
        <v>116</v>
      </c>
      <c r="AE153" s="94" t="s">
        <v>117</v>
      </c>
      <c r="AF153" s="94" t="s">
        <v>118</v>
      </c>
      <c r="AG153" s="94" t="s">
        <v>119</v>
      </c>
      <c r="AH153" s="641"/>
      <c r="AI153" s="642"/>
      <c r="AJ153" s="637"/>
      <c r="AK153" s="643"/>
      <c r="AL153" s="308"/>
      <c r="AY153" s="527"/>
    </row>
    <row r="154" spans="1:58" ht="15" customHeight="1" x14ac:dyDescent="0.25">
      <c r="B154" s="696" t="s">
        <v>62</v>
      </c>
      <c r="C154" s="697"/>
      <c r="D154" s="698"/>
      <c r="E154" s="610" t="s">
        <v>63</v>
      </c>
      <c r="F154" s="611"/>
      <c r="G154" s="611"/>
      <c r="H154" s="611"/>
      <c r="I154" s="612"/>
      <c r="J154" s="541" t="s">
        <v>163</v>
      </c>
      <c r="K154" s="542"/>
      <c r="L154" s="542"/>
      <c r="M154" s="542"/>
      <c r="N154" s="542"/>
      <c r="O154" s="543"/>
      <c r="P154" s="676" t="s">
        <v>181</v>
      </c>
      <c r="Q154" s="687" t="s">
        <v>182</v>
      </c>
      <c r="R154" s="688"/>
      <c r="S154" s="633" t="s">
        <v>180</v>
      </c>
      <c r="T154" s="694">
        <v>12</v>
      </c>
      <c r="U154" s="685"/>
      <c r="V154" s="112"/>
      <c r="W154" s="112"/>
      <c r="X154" s="112"/>
      <c r="Y154" s="112"/>
      <c r="Z154" s="112"/>
      <c r="AA154" s="112"/>
      <c r="AB154" s="112"/>
      <c r="AC154" s="112"/>
      <c r="AD154" s="112"/>
      <c r="AE154" s="112"/>
      <c r="AF154" s="112"/>
      <c r="AG154" s="161"/>
      <c r="AH154" s="644" t="s">
        <v>450</v>
      </c>
      <c r="AI154" s="644"/>
      <c r="AJ154" s="761">
        <v>0</v>
      </c>
      <c r="AK154" s="762"/>
      <c r="AL154" s="627" t="str">
        <f t="shared" ref="AL154:AW154" si="67">IF((V155="CUMPLIDO"),"1","0")</f>
        <v>0</v>
      </c>
      <c r="AM154" s="627" t="str">
        <f t="shared" si="67"/>
        <v>0</v>
      </c>
      <c r="AN154" s="627" t="str">
        <f t="shared" si="67"/>
        <v>0</v>
      </c>
      <c r="AO154" s="627" t="str">
        <f t="shared" si="67"/>
        <v>0</v>
      </c>
      <c r="AP154" s="627" t="str">
        <f t="shared" si="67"/>
        <v>1</v>
      </c>
      <c r="AQ154" s="627" t="str">
        <f t="shared" si="67"/>
        <v>1</v>
      </c>
      <c r="AR154" s="627" t="str">
        <f t="shared" si="67"/>
        <v>0</v>
      </c>
      <c r="AS154" s="627" t="str">
        <f t="shared" si="67"/>
        <v>0</v>
      </c>
      <c r="AT154" s="627" t="str">
        <f t="shared" si="67"/>
        <v>0</v>
      </c>
      <c r="AU154" s="627" t="str">
        <f t="shared" si="67"/>
        <v>0</v>
      </c>
      <c r="AV154" s="627" t="str">
        <f t="shared" si="67"/>
        <v>0</v>
      </c>
      <c r="AW154" s="627" t="str">
        <f t="shared" si="67"/>
        <v>0</v>
      </c>
      <c r="AX154" s="628">
        <f>SUM(AL154+AM154+AN154+AO154+AP154+AQ154+AR154+AS154+AT154+AU154+AV154+AW154)</f>
        <v>2</v>
      </c>
      <c r="AY154" s="629">
        <f t="shared" ref="AY154:AY188" si="68">AX154/12</f>
        <v>0.16666666666666666</v>
      </c>
    </row>
    <row r="155" spans="1:58" ht="15" customHeight="1" x14ac:dyDescent="0.25">
      <c r="B155" s="699"/>
      <c r="C155" s="700"/>
      <c r="D155" s="701"/>
      <c r="E155" s="613"/>
      <c r="F155" s="496"/>
      <c r="G155" s="496"/>
      <c r="H155" s="496"/>
      <c r="I155" s="614"/>
      <c r="J155" s="546"/>
      <c r="K155" s="547"/>
      <c r="L155" s="547"/>
      <c r="M155" s="547"/>
      <c r="N155" s="547"/>
      <c r="O155" s="548"/>
      <c r="P155" s="653"/>
      <c r="Q155" s="656"/>
      <c r="R155" s="657"/>
      <c r="S155" s="634"/>
      <c r="T155" s="695"/>
      <c r="U155" s="115"/>
      <c r="V155" s="136" t="s">
        <v>516</v>
      </c>
      <c r="W155" s="136" t="s">
        <v>516</v>
      </c>
      <c r="X155" s="136" t="s">
        <v>516</v>
      </c>
      <c r="Y155" s="136" t="s">
        <v>516</v>
      </c>
      <c r="Z155" s="136" t="s">
        <v>522</v>
      </c>
      <c r="AA155" s="136" t="s">
        <v>522</v>
      </c>
      <c r="AB155" s="136" t="s">
        <v>516</v>
      </c>
      <c r="AC155" s="136" t="s">
        <v>516</v>
      </c>
      <c r="AD155" s="136" t="s">
        <v>516</v>
      </c>
      <c r="AE155" s="136" t="s">
        <v>516</v>
      </c>
      <c r="AF155" s="136" t="s">
        <v>516</v>
      </c>
      <c r="AG155" s="136" t="s">
        <v>516</v>
      </c>
      <c r="AH155" s="644"/>
      <c r="AI155" s="644"/>
      <c r="AJ155" s="763"/>
      <c r="AK155" s="764"/>
      <c r="AL155" s="627"/>
      <c r="AM155" s="627"/>
      <c r="AN155" s="627"/>
      <c r="AO155" s="627"/>
      <c r="AP155" s="627"/>
      <c r="AQ155" s="627"/>
      <c r="AR155" s="627"/>
      <c r="AS155" s="627"/>
      <c r="AT155" s="627"/>
      <c r="AU155" s="627"/>
      <c r="AV155" s="627"/>
      <c r="AW155" s="627"/>
      <c r="AX155" s="628"/>
      <c r="AY155" s="629"/>
    </row>
    <row r="156" spans="1:58" ht="15" customHeight="1" x14ac:dyDescent="0.25">
      <c r="B156" s="699"/>
      <c r="C156" s="700"/>
      <c r="D156" s="701"/>
      <c r="E156" s="613"/>
      <c r="F156" s="496"/>
      <c r="G156" s="496"/>
      <c r="H156" s="496"/>
      <c r="I156" s="614"/>
      <c r="J156" s="541" t="s">
        <v>186</v>
      </c>
      <c r="K156" s="542"/>
      <c r="L156" s="542"/>
      <c r="M156" s="542"/>
      <c r="N156" s="542"/>
      <c r="O156" s="543"/>
      <c r="P156" s="676" t="s">
        <v>181</v>
      </c>
      <c r="Q156" s="654" t="s">
        <v>182</v>
      </c>
      <c r="R156" s="655"/>
      <c r="S156" s="633" t="s">
        <v>180</v>
      </c>
      <c r="T156" s="694">
        <v>6</v>
      </c>
      <c r="V156" s="112"/>
      <c r="W156" s="72"/>
      <c r="X156" s="112"/>
      <c r="Y156" s="72"/>
      <c r="Z156" s="112"/>
      <c r="AA156" s="72"/>
      <c r="AB156" s="112"/>
      <c r="AC156" s="72"/>
      <c r="AD156" s="112"/>
      <c r="AE156" s="72"/>
      <c r="AF156" s="112"/>
      <c r="AG156" s="72"/>
      <c r="AH156" s="644" t="s">
        <v>451</v>
      </c>
      <c r="AI156" s="644"/>
      <c r="AJ156" s="761">
        <v>0</v>
      </c>
      <c r="AK156" s="762"/>
      <c r="AL156" s="627" t="str">
        <f t="shared" ref="AL156:AW156" si="69">IF((V157="CUMPLIDO"),"1","0")</f>
        <v>1</v>
      </c>
      <c r="AM156" s="627" t="str">
        <f t="shared" si="69"/>
        <v>0</v>
      </c>
      <c r="AN156" s="627" t="str">
        <f t="shared" si="69"/>
        <v>1</v>
      </c>
      <c r="AO156" s="627" t="str">
        <f t="shared" si="69"/>
        <v>0</v>
      </c>
      <c r="AP156" s="627" t="str">
        <f t="shared" si="69"/>
        <v>0</v>
      </c>
      <c r="AQ156" s="627" t="str">
        <f t="shared" si="69"/>
        <v>0</v>
      </c>
      <c r="AR156" s="627" t="str">
        <f t="shared" si="69"/>
        <v>0</v>
      </c>
      <c r="AS156" s="627" t="str">
        <f t="shared" si="69"/>
        <v>0</v>
      </c>
      <c r="AT156" s="627" t="str">
        <f t="shared" si="69"/>
        <v>0</v>
      </c>
      <c r="AU156" s="627" t="str">
        <f t="shared" si="69"/>
        <v>0</v>
      </c>
      <c r="AV156" s="627" t="str">
        <f t="shared" si="69"/>
        <v>0</v>
      </c>
      <c r="AW156" s="627" t="str">
        <f t="shared" si="69"/>
        <v>0</v>
      </c>
      <c r="AX156" s="628">
        <f>SUM(AL156+AM156+AN156+AO156+AP156+AQ156+AR156+AS156+AT156+AU156+AV156+AW156)</f>
        <v>2</v>
      </c>
      <c r="AY156" s="629">
        <f>AX156/6</f>
        <v>0.33333333333333331</v>
      </c>
    </row>
    <row r="157" spans="1:58" ht="15" customHeight="1" x14ac:dyDescent="0.25">
      <c r="B157" s="699"/>
      <c r="C157" s="700"/>
      <c r="D157" s="701"/>
      <c r="E157" s="613"/>
      <c r="F157" s="496"/>
      <c r="G157" s="496"/>
      <c r="H157" s="496"/>
      <c r="I157" s="614"/>
      <c r="J157" s="546"/>
      <c r="K157" s="547"/>
      <c r="L157" s="547"/>
      <c r="M157" s="547"/>
      <c r="N157" s="547"/>
      <c r="O157" s="548"/>
      <c r="P157" s="653"/>
      <c r="Q157" s="656"/>
      <c r="R157" s="657"/>
      <c r="S157" s="634"/>
      <c r="T157" s="695"/>
      <c r="V157" s="136" t="s">
        <v>522</v>
      </c>
      <c r="W157" s="114"/>
      <c r="X157" s="136" t="s">
        <v>522</v>
      </c>
      <c r="Y157" s="114"/>
      <c r="Z157" s="136" t="s">
        <v>516</v>
      </c>
      <c r="AA157" s="114"/>
      <c r="AB157" s="136" t="s">
        <v>516</v>
      </c>
      <c r="AC157" s="114"/>
      <c r="AD157" s="136" t="s">
        <v>516</v>
      </c>
      <c r="AE157" s="114"/>
      <c r="AF157" s="136" t="s">
        <v>516</v>
      </c>
      <c r="AG157" s="114"/>
      <c r="AH157" s="644"/>
      <c r="AI157" s="644"/>
      <c r="AJ157" s="763"/>
      <c r="AK157" s="764"/>
      <c r="AL157" s="627"/>
      <c r="AM157" s="627"/>
      <c r="AN157" s="627"/>
      <c r="AO157" s="627"/>
      <c r="AP157" s="627"/>
      <c r="AQ157" s="627"/>
      <c r="AR157" s="627"/>
      <c r="AS157" s="627"/>
      <c r="AT157" s="627"/>
      <c r="AU157" s="627"/>
      <c r="AV157" s="627"/>
      <c r="AW157" s="627"/>
      <c r="AX157" s="628"/>
      <c r="AY157" s="629"/>
    </row>
    <row r="158" spans="1:58" ht="15" customHeight="1" x14ac:dyDescent="0.25">
      <c r="B158" s="699"/>
      <c r="C158" s="700"/>
      <c r="D158" s="701"/>
      <c r="E158" s="613"/>
      <c r="F158" s="496"/>
      <c r="G158" s="496"/>
      <c r="H158" s="496"/>
      <c r="I158" s="614"/>
      <c r="J158" s="541" t="s">
        <v>164</v>
      </c>
      <c r="K158" s="542"/>
      <c r="L158" s="542"/>
      <c r="M158" s="542"/>
      <c r="N158" s="542"/>
      <c r="O158" s="543"/>
      <c r="P158" s="676" t="s">
        <v>181</v>
      </c>
      <c r="Q158" s="654" t="s">
        <v>182</v>
      </c>
      <c r="R158" s="655"/>
      <c r="S158" s="633" t="s">
        <v>180</v>
      </c>
      <c r="T158" s="694">
        <v>12</v>
      </c>
      <c r="V158" s="112"/>
      <c r="W158" s="112"/>
      <c r="X158" s="112"/>
      <c r="Y158" s="112"/>
      <c r="Z158" s="112"/>
      <c r="AA158" s="112"/>
      <c r="AB158" s="112"/>
      <c r="AC158" s="112"/>
      <c r="AD158" s="112"/>
      <c r="AE158" s="112"/>
      <c r="AF158" s="112"/>
      <c r="AG158" s="112"/>
      <c r="AH158" s="644" t="s">
        <v>452</v>
      </c>
      <c r="AI158" s="644"/>
      <c r="AJ158" s="761"/>
      <c r="AK158" s="762"/>
      <c r="AL158" s="627" t="str">
        <f t="shared" ref="AL158:AW158" si="70">IF((V159="CUMPLIDO"),"1","0")</f>
        <v>1</v>
      </c>
      <c r="AM158" s="627" t="str">
        <f t="shared" si="70"/>
        <v>1</v>
      </c>
      <c r="AN158" s="627" t="str">
        <f t="shared" si="70"/>
        <v>1</v>
      </c>
      <c r="AO158" s="627" t="str">
        <f t="shared" si="70"/>
        <v>1</v>
      </c>
      <c r="AP158" s="627" t="str">
        <f t="shared" si="70"/>
        <v>1</v>
      </c>
      <c r="AQ158" s="627" t="str">
        <f t="shared" si="70"/>
        <v>0</v>
      </c>
      <c r="AR158" s="627" t="str">
        <f t="shared" si="70"/>
        <v>0</v>
      </c>
      <c r="AS158" s="627" t="str">
        <f t="shared" si="70"/>
        <v>0</v>
      </c>
      <c r="AT158" s="627" t="str">
        <f t="shared" si="70"/>
        <v>0</v>
      </c>
      <c r="AU158" s="627" t="str">
        <f t="shared" si="70"/>
        <v>0</v>
      </c>
      <c r="AV158" s="627" t="str">
        <f t="shared" si="70"/>
        <v>0</v>
      </c>
      <c r="AW158" s="627" t="str">
        <f t="shared" si="70"/>
        <v>0</v>
      </c>
      <c r="AX158" s="628">
        <f>SUM(AL158+AM158+AN158+AO158+AP158+AQ158+AR158+AS158+AT158+AU158+AV158+AW158)</f>
        <v>5</v>
      </c>
      <c r="AY158" s="629">
        <f t="shared" si="68"/>
        <v>0.41666666666666669</v>
      </c>
    </row>
    <row r="159" spans="1:58" ht="15" customHeight="1" x14ac:dyDescent="0.25">
      <c r="B159" s="699"/>
      <c r="C159" s="700"/>
      <c r="D159" s="701"/>
      <c r="E159" s="613"/>
      <c r="F159" s="496"/>
      <c r="G159" s="496"/>
      <c r="H159" s="496"/>
      <c r="I159" s="614"/>
      <c r="J159" s="546"/>
      <c r="K159" s="547"/>
      <c r="L159" s="547"/>
      <c r="M159" s="547"/>
      <c r="N159" s="547"/>
      <c r="O159" s="548"/>
      <c r="P159" s="653"/>
      <c r="Q159" s="656"/>
      <c r="R159" s="657"/>
      <c r="S159" s="634"/>
      <c r="T159" s="695"/>
      <c r="V159" s="136" t="s">
        <v>522</v>
      </c>
      <c r="W159" s="136" t="s">
        <v>522</v>
      </c>
      <c r="X159" s="136" t="s">
        <v>522</v>
      </c>
      <c r="Y159" s="136" t="s">
        <v>522</v>
      </c>
      <c r="Z159" s="136" t="s">
        <v>522</v>
      </c>
      <c r="AA159" s="136" t="s">
        <v>516</v>
      </c>
      <c r="AB159" s="136" t="s">
        <v>516</v>
      </c>
      <c r="AC159" s="136" t="s">
        <v>516</v>
      </c>
      <c r="AD159" s="136" t="s">
        <v>516</v>
      </c>
      <c r="AE159" s="136" t="s">
        <v>516</v>
      </c>
      <c r="AF159" s="136" t="s">
        <v>516</v>
      </c>
      <c r="AG159" s="136" t="s">
        <v>516</v>
      </c>
      <c r="AH159" s="644"/>
      <c r="AI159" s="644"/>
      <c r="AJ159" s="763"/>
      <c r="AK159" s="764"/>
      <c r="AL159" s="627"/>
      <c r="AM159" s="627"/>
      <c r="AN159" s="627"/>
      <c r="AO159" s="627"/>
      <c r="AP159" s="627"/>
      <c r="AQ159" s="627"/>
      <c r="AR159" s="627"/>
      <c r="AS159" s="627"/>
      <c r="AT159" s="627"/>
      <c r="AU159" s="627"/>
      <c r="AV159" s="627"/>
      <c r="AW159" s="627"/>
      <c r="AX159" s="628"/>
      <c r="AY159" s="629"/>
    </row>
    <row r="160" spans="1:58" ht="15" customHeight="1" x14ac:dyDescent="0.25">
      <c r="B160" s="699"/>
      <c r="C160" s="700"/>
      <c r="D160" s="701"/>
      <c r="E160" s="613"/>
      <c r="F160" s="496"/>
      <c r="G160" s="496"/>
      <c r="H160" s="496"/>
      <c r="I160" s="614"/>
      <c r="J160" s="541" t="s">
        <v>303</v>
      </c>
      <c r="K160" s="542"/>
      <c r="L160" s="542"/>
      <c r="M160" s="542"/>
      <c r="N160" s="542"/>
      <c r="O160" s="543"/>
      <c r="P160" s="652" t="s">
        <v>302</v>
      </c>
      <c r="Q160" s="654" t="s">
        <v>182</v>
      </c>
      <c r="R160" s="655"/>
      <c r="S160" s="633" t="s">
        <v>180</v>
      </c>
      <c r="T160" s="631">
        <v>1</v>
      </c>
      <c r="V160" s="97"/>
      <c r="W160" s="97"/>
      <c r="X160" s="97"/>
      <c r="Y160" s="97"/>
      <c r="Z160" s="97"/>
      <c r="AA160" s="112"/>
      <c r="AB160" s="97"/>
      <c r="AC160" s="97"/>
      <c r="AD160" s="97"/>
      <c r="AE160" s="97"/>
      <c r="AF160" s="97"/>
      <c r="AG160" s="161"/>
      <c r="AH160" s="645" t="s">
        <v>304</v>
      </c>
      <c r="AI160" s="646"/>
      <c r="AJ160" s="761"/>
      <c r="AK160" s="762"/>
      <c r="AL160" s="627" t="str">
        <f t="shared" ref="AL160:AW160" si="71">IF((V161="CUMPLIDO"),"1","0")</f>
        <v>0</v>
      </c>
      <c r="AM160" s="627" t="str">
        <f t="shared" si="71"/>
        <v>0</v>
      </c>
      <c r="AN160" s="627" t="str">
        <f t="shared" si="71"/>
        <v>0</v>
      </c>
      <c r="AO160" s="627" t="str">
        <f t="shared" si="71"/>
        <v>0</v>
      </c>
      <c r="AP160" s="627" t="str">
        <f t="shared" si="71"/>
        <v>0</v>
      </c>
      <c r="AQ160" s="627" t="str">
        <f t="shared" si="71"/>
        <v>0</v>
      </c>
      <c r="AR160" s="627" t="str">
        <f t="shared" si="71"/>
        <v>0</v>
      </c>
      <c r="AS160" s="627" t="str">
        <f t="shared" si="71"/>
        <v>0</v>
      </c>
      <c r="AT160" s="627" t="str">
        <f t="shared" si="71"/>
        <v>0</v>
      </c>
      <c r="AU160" s="627" t="str">
        <f t="shared" si="71"/>
        <v>0</v>
      </c>
      <c r="AV160" s="627" t="str">
        <f t="shared" si="71"/>
        <v>0</v>
      </c>
      <c r="AW160" s="627" t="str">
        <f t="shared" si="71"/>
        <v>0</v>
      </c>
      <c r="AX160" s="628">
        <f>SUM(AL160+AM160+AN160+AO160+AP160+AQ160+AR160+AS160+AT160+AU160+AV160+AW160)</f>
        <v>0</v>
      </c>
      <c r="AY160" s="629">
        <f>AX160/1</f>
        <v>0</v>
      </c>
    </row>
    <row r="161" spans="2:51" ht="15" customHeight="1" x14ac:dyDescent="0.25">
      <c r="B161" s="699"/>
      <c r="C161" s="700"/>
      <c r="D161" s="701"/>
      <c r="E161" s="613"/>
      <c r="F161" s="496"/>
      <c r="G161" s="496"/>
      <c r="H161" s="496"/>
      <c r="I161" s="614"/>
      <c r="J161" s="546"/>
      <c r="K161" s="547"/>
      <c r="L161" s="547"/>
      <c r="M161" s="547"/>
      <c r="N161" s="547"/>
      <c r="O161" s="548"/>
      <c r="P161" s="653"/>
      <c r="Q161" s="656"/>
      <c r="R161" s="657"/>
      <c r="S161" s="634"/>
      <c r="T161" s="632"/>
      <c r="V161" s="164"/>
      <c r="W161" s="164"/>
      <c r="X161" s="164"/>
      <c r="Y161" s="164"/>
      <c r="Z161" s="164"/>
      <c r="AA161" s="136" t="s">
        <v>516</v>
      </c>
      <c r="AB161" s="164"/>
      <c r="AC161" s="164"/>
      <c r="AD161" s="164"/>
      <c r="AE161" s="164"/>
      <c r="AF161" s="164"/>
      <c r="AG161" s="136" t="s">
        <v>516</v>
      </c>
      <c r="AH161" s="649"/>
      <c r="AI161" s="650"/>
      <c r="AJ161" s="763"/>
      <c r="AK161" s="764"/>
      <c r="AL161" s="627"/>
      <c r="AM161" s="627"/>
      <c r="AN161" s="627"/>
      <c r="AO161" s="627"/>
      <c r="AP161" s="627"/>
      <c r="AQ161" s="627"/>
      <c r="AR161" s="627"/>
      <c r="AS161" s="627"/>
      <c r="AT161" s="627"/>
      <c r="AU161" s="627"/>
      <c r="AV161" s="627"/>
      <c r="AW161" s="627"/>
      <c r="AX161" s="628"/>
      <c r="AY161" s="629"/>
    </row>
    <row r="162" spans="2:51" ht="15" customHeight="1" x14ac:dyDescent="0.25">
      <c r="B162" s="699"/>
      <c r="C162" s="700"/>
      <c r="D162" s="701"/>
      <c r="E162" s="613"/>
      <c r="F162" s="496"/>
      <c r="G162" s="496"/>
      <c r="H162" s="496"/>
      <c r="I162" s="614"/>
      <c r="J162" s="541" t="s">
        <v>305</v>
      </c>
      <c r="K162" s="542"/>
      <c r="L162" s="542"/>
      <c r="M162" s="542"/>
      <c r="N162" s="542"/>
      <c r="O162" s="543"/>
      <c r="P162" s="339" t="s">
        <v>306</v>
      </c>
      <c r="Q162" s="660" t="s">
        <v>308</v>
      </c>
      <c r="R162" s="661"/>
      <c r="S162" s="633" t="s">
        <v>180</v>
      </c>
      <c r="T162" s="631">
        <v>1</v>
      </c>
      <c r="V162" s="97"/>
      <c r="W162" s="112"/>
      <c r="X162" s="97"/>
      <c r="Y162" s="97"/>
      <c r="Z162" s="97"/>
      <c r="AA162" s="97"/>
      <c r="AB162" s="97"/>
      <c r="AC162" s="97"/>
      <c r="AD162" s="97"/>
      <c r="AE162" s="97"/>
      <c r="AF162" s="97"/>
      <c r="AG162" s="165"/>
      <c r="AH162" s="645" t="s">
        <v>307</v>
      </c>
      <c r="AI162" s="646"/>
      <c r="AJ162" s="761"/>
      <c r="AK162" s="762"/>
      <c r="AL162" s="627" t="str">
        <f t="shared" ref="AL162:AW162" si="72">IF((V163="CUMPLIDO"),"1","0")</f>
        <v>0</v>
      </c>
      <c r="AM162" s="627" t="str">
        <f t="shared" si="72"/>
        <v>1</v>
      </c>
      <c r="AN162" s="627" t="str">
        <f t="shared" si="72"/>
        <v>0</v>
      </c>
      <c r="AO162" s="627" t="str">
        <f t="shared" si="72"/>
        <v>0</v>
      </c>
      <c r="AP162" s="627" t="str">
        <f t="shared" si="72"/>
        <v>0</v>
      </c>
      <c r="AQ162" s="627" t="str">
        <f t="shared" si="72"/>
        <v>0</v>
      </c>
      <c r="AR162" s="627" t="str">
        <f t="shared" si="72"/>
        <v>0</v>
      </c>
      <c r="AS162" s="627" t="str">
        <f t="shared" si="72"/>
        <v>0</v>
      </c>
      <c r="AT162" s="627" t="str">
        <f t="shared" si="72"/>
        <v>0</v>
      </c>
      <c r="AU162" s="627" t="str">
        <f t="shared" si="72"/>
        <v>0</v>
      </c>
      <c r="AV162" s="627" t="str">
        <f t="shared" si="72"/>
        <v>0</v>
      </c>
      <c r="AW162" s="627" t="str">
        <f t="shared" si="72"/>
        <v>0</v>
      </c>
      <c r="AX162" s="628">
        <f>SUM(AL162+AM162+AN162+AO162+AP162+AQ162+AR162+AS162+AT162+AU162+AV162+AW162)</f>
        <v>1</v>
      </c>
      <c r="AY162" s="629">
        <f>AX162/1</f>
        <v>1</v>
      </c>
    </row>
    <row r="163" spans="2:51" ht="15" customHeight="1" x14ac:dyDescent="0.25">
      <c r="B163" s="699"/>
      <c r="C163" s="700"/>
      <c r="D163" s="701"/>
      <c r="E163" s="615"/>
      <c r="F163" s="616"/>
      <c r="G163" s="616"/>
      <c r="H163" s="616"/>
      <c r="I163" s="617"/>
      <c r="J163" s="546"/>
      <c r="K163" s="547"/>
      <c r="L163" s="547"/>
      <c r="M163" s="547"/>
      <c r="N163" s="547"/>
      <c r="O163" s="548"/>
      <c r="P163" s="340"/>
      <c r="Q163" s="662"/>
      <c r="R163" s="663"/>
      <c r="S163" s="634"/>
      <c r="T163" s="632"/>
      <c r="V163" s="164"/>
      <c r="W163" s="136" t="s">
        <v>522</v>
      </c>
      <c r="X163" s="164"/>
      <c r="Y163" s="164"/>
      <c r="Z163" s="164"/>
      <c r="AA163" s="164"/>
      <c r="AB163" s="164"/>
      <c r="AC163" s="164"/>
      <c r="AD163" s="164"/>
      <c r="AE163" s="164"/>
      <c r="AF163" s="164"/>
      <c r="AG163" s="165"/>
      <c r="AH163" s="647"/>
      <c r="AI163" s="648"/>
      <c r="AJ163" s="763"/>
      <c r="AK163" s="764"/>
      <c r="AL163" s="627"/>
      <c r="AM163" s="627"/>
      <c r="AN163" s="627"/>
      <c r="AO163" s="627"/>
      <c r="AP163" s="627"/>
      <c r="AQ163" s="627"/>
      <c r="AR163" s="627"/>
      <c r="AS163" s="627"/>
      <c r="AT163" s="627"/>
      <c r="AU163" s="627"/>
      <c r="AV163" s="627"/>
      <c r="AW163" s="627"/>
      <c r="AX163" s="628"/>
      <c r="AY163" s="629"/>
    </row>
    <row r="164" spans="2:51" ht="15" customHeight="1" x14ac:dyDescent="0.25">
      <c r="B164" s="699"/>
      <c r="C164" s="700"/>
      <c r="D164" s="701"/>
      <c r="E164" s="610" t="s">
        <v>64</v>
      </c>
      <c r="F164" s="611"/>
      <c r="G164" s="611"/>
      <c r="H164" s="611"/>
      <c r="I164" s="612"/>
      <c r="J164" s="541" t="s">
        <v>309</v>
      </c>
      <c r="K164" s="542"/>
      <c r="L164" s="542"/>
      <c r="M164" s="542"/>
      <c r="N164" s="542"/>
      <c r="O164" s="543"/>
      <c r="P164" s="652" t="s">
        <v>302</v>
      </c>
      <c r="Q164" s="654" t="s">
        <v>310</v>
      </c>
      <c r="R164" s="655"/>
      <c r="S164" s="633" t="s">
        <v>180</v>
      </c>
      <c r="T164" s="694">
        <v>6</v>
      </c>
      <c r="V164" s="112"/>
      <c r="W164" s="72"/>
      <c r="X164" s="112"/>
      <c r="Y164" s="72"/>
      <c r="Z164" s="112"/>
      <c r="AA164" s="72"/>
      <c r="AB164" s="112"/>
      <c r="AC164" s="72"/>
      <c r="AD164" s="112"/>
      <c r="AE164" s="72"/>
      <c r="AF164" s="112"/>
      <c r="AG164" s="165"/>
      <c r="AH164" s="645" t="s">
        <v>311</v>
      </c>
      <c r="AI164" s="646"/>
      <c r="AJ164" s="761"/>
      <c r="AK164" s="762"/>
      <c r="AL164" s="627" t="str">
        <f t="shared" ref="AL164:AW164" si="73">IF((V165="CUMPLIDO"),"1","0")</f>
        <v>0</v>
      </c>
      <c r="AM164" s="627" t="str">
        <f t="shared" si="73"/>
        <v>0</v>
      </c>
      <c r="AN164" s="627" t="str">
        <f t="shared" si="73"/>
        <v>0</v>
      </c>
      <c r="AO164" s="627" t="str">
        <f t="shared" si="73"/>
        <v>0</v>
      </c>
      <c r="AP164" s="627" t="str">
        <f t="shared" si="73"/>
        <v>0</v>
      </c>
      <c r="AQ164" s="627" t="str">
        <f t="shared" si="73"/>
        <v>0</v>
      </c>
      <c r="AR164" s="627" t="str">
        <f t="shared" si="73"/>
        <v>0</v>
      </c>
      <c r="AS164" s="627" t="str">
        <f t="shared" si="73"/>
        <v>0</v>
      </c>
      <c r="AT164" s="627" t="str">
        <f t="shared" si="73"/>
        <v>0</v>
      </c>
      <c r="AU164" s="627" t="str">
        <f t="shared" si="73"/>
        <v>0</v>
      </c>
      <c r="AV164" s="627" t="str">
        <f t="shared" si="73"/>
        <v>0</v>
      </c>
      <c r="AW164" s="627" t="str">
        <f t="shared" si="73"/>
        <v>0</v>
      </c>
      <c r="AX164" s="628">
        <f>SUM(AL164+AM164+AN164+AO164+AP164+AQ164+AR164+AS164+AT164+AU164+AV164+AW164)</f>
        <v>0</v>
      </c>
      <c r="AY164" s="629">
        <f>AX164/6</f>
        <v>0</v>
      </c>
    </row>
    <row r="165" spans="2:51" ht="15" customHeight="1" x14ac:dyDescent="0.25">
      <c r="B165" s="699"/>
      <c r="C165" s="700"/>
      <c r="D165" s="701"/>
      <c r="E165" s="613"/>
      <c r="F165" s="496"/>
      <c r="G165" s="496"/>
      <c r="H165" s="496"/>
      <c r="I165" s="614"/>
      <c r="J165" s="546"/>
      <c r="K165" s="547"/>
      <c r="L165" s="547"/>
      <c r="M165" s="547"/>
      <c r="N165" s="547"/>
      <c r="O165" s="548"/>
      <c r="P165" s="653"/>
      <c r="Q165" s="656"/>
      <c r="R165" s="657"/>
      <c r="S165" s="634"/>
      <c r="T165" s="695"/>
      <c r="V165" s="136" t="s">
        <v>516</v>
      </c>
      <c r="W165" s="185"/>
      <c r="X165" s="136" t="s">
        <v>516</v>
      </c>
      <c r="Y165" s="185"/>
      <c r="Z165" s="136" t="s">
        <v>516</v>
      </c>
      <c r="AA165" s="185"/>
      <c r="AB165" s="136" t="s">
        <v>516</v>
      </c>
      <c r="AC165" s="185"/>
      <c r="AD165" s="136" t="s">
        <v>516</v>
      </c>
      <c r="AE165" s="185"/>
      <c r="AF165" s="136" t="s">
        <v>516</v>
      </c>
      <c r="AG165" s="165"/>
      <c r="AH165" s="647"/>
      <c r="AI165" s="648"/>
      <c r="AJ165" s="763"/>
      <c r="AK165" s="764"/>
      <c r="AL165" s="627"/>
      <c r="AM165" s="627"/>
      <c r="AN165" s="627"/>
      <c r="AO165" s="627"/>
      <c r="AP165" s="627"/>
      <c r="AQ165" s="627"/>
      <c r="AR165" s="627"/>
      <c r="AS165" s="627"/>
      <c r="AT165" s="627"/>
      <c r="AU165" s="627"/>
      <c r="AV165" s="627"/>
      <c r="AW165" s="627"/>
      <c r="AX165" s="628"/>
      <c r="AY165" s="629"/>
    </row>
    <row r="166" spans="2:51" ht="15" customHeight="1" x14ac:dyDescent="0.25">
      <c r="B166" s="699"/>
      <c r="C166" s="700"/>
      <c r="D166" s="701"/>
      <c r="E166" s="613"/>
      <c r="F166" s="496"/>
      <c r="G166" s="496"/>
      <c r="H166" s="496"/>
      <c r="I166" s="614"/>
      <c r="J166" s="541" t="s">
        <v>312</v>
      </c>
      <c r="K166" s="542"/>
      <c r="L166" s="542"/>
      <c r="M166" s="542"/>
      <c r="N166" s="542"/>
      <c r="O166" s="543"/>
      <c r="P166" s="652" t="s">
        <v>302</v>
      </c>
      <c r="Q166" s="654" t="s">
        <v>310</v>
      </c>
      <c r="R166" s="655"/>
      <c r="S166" s="633" t="s">
        <v>180</v>
      </c>
      <c r="T166" s="631">
        <v>12</v>
      </c>
      <c r="V166" s="112"/>
      <c r="W166" s="112"/>
      <c r="X166" s="112"/>
      <c r="Y166" s="112"/>
      <c r="Z166" s="112"/>
      <c r="AA166" s="112"/>
      <c r="AB166" s="112"/>
      <c r="AC166" s="112"/>
      <c r="AD166" s="112"/>
      <c r="AE166" s="112"/>
      <c r="AF166" s="112"/>
      <c r="AG166" s="168"/>
      <c r="AH166" s="645" t="s">
        <v>313</v>
      </c>
      <c r="AI166" s="646"/>
      <c r="AJ166" s="761"/>
      <c r="AK166" s="762"/>
      <c r="AL166" s="627" t="str">
        <f t="shared" ref="AL166:AW166" si="74">IF((V167="CUMPLIDO"),"1","0")</f>
        <v>1</v>
      </c>
      <c r="AM166" s="627" t="str">
        <f t="shared" si="74"/>
        <v>1</v>
      </c>
      <c r="AN166" s="627" t="str">
        <f t="shared" si="74"/>
        <v>1</v>
      </c>
      <c r="AO166" s="627" t="str">
        <f t="shared" si="74"/>
        <v>0</v>
      </c>
      <c r="AP166" s="627" t="str">
        <f t="shared" si="74"/>
        <v>0</v>
      </c>
      <c r="AQ166" s="627" t="str">
        <f t="shared" si="74"/>
        <v>0</v>
      </c>
      <c r="AR166" s="627" t="str">
        <f t="shared" si="74"/>
        <v>0</v>
      </c>
      <c r="AS166" s="627" t="str">
        <f t="shared" si="74"/>
        <v>0</v>
      </c>
      <c r="AT166" s="627" t="str">
        <f t="shared" si="74"/>
        <v>0</v>
      </c>
      <c r="AU166" s="627" t="str">
        <f t="shared" si="74"/>
        <v>0</v>
      </c>
      <c r="AV166" s="627" t="str">
        <f t="shared" si="74"/>
        <v>0</v>
      </c>
      <c r="AW166" s="627" t="str">
        <f t="shared" si="74"/>
        <v>0</v>
      </c>
      <c r="AX166" s="628">
        <f>SUM(AL166+AM166+AN166+AO166+AP166+AQ166+AR166+AS166+AT166+AU166+AV166+AW166)</f>
        <v>3</v>
      </c>
      <c r="AY166" s="629">
        <f t="shared" si="68"/>
        <v>0.25</v>
      </c>
    </row>
    <row r="167" spans="2:51" ht="15" customHeight="1" x14ac:dyDescent="0.25">
      <c r="B167" s="699"/>
      <c r="C167" s="700"/>
      <c r="D167" s="701"/>
      <c r="E167" s="613"/>
      <c r="F167" s="496"/>
      <c r="G167" s="496"/>
      <c r="H167" s="496"/>
      <c r="I167" s="614"/>
      <c r="J167" s="546"/>
      <c r="K167" s="547"/>
      <c r="L167" s="547"/>
      <c r="M167" s="547"/>
      <c r="N167" s="547"/>
      <c r="O167" s="548"/>
      <c r="P167" s="653"/>
      <c r="Q167" s="656"/>
      <c r="R167" s="657"/>
      <c r="S167" s="634"/>
      <c r="T167" s="632"/>
      <c r="V167" s="136" t="s">
        <v>522</v>
      </c>
      <c r="W167" s="136" t="s">
        <v>522</v>
      </c>
      <c r="X167" s="136" t="s">
        <v>522</v>
      </c>
      <c r="Y167" s="136" t="s">
        <v>516</v>
      </c>
      <c r="Z167" s="136" t="s">
        <v>516</v>
      </c>
      <c r="AA167" s="136" t="s">
        <v>516</v>
      </c>
      <c r="AB167" s="136" t="s">
        <v>516</v>
      </c>
      <c r="AC167" s="136" t="s">
        <v>516</v>
      </c>
      <c r="AD167" s="136" t="s">
        <v>516</v>
      </c>
      <c r="AE167" s="136" t="s">
        <v>516</v>
      </c>
      <c r="AF167" s="136" t="s">
        <v>516</v>
      </c>
      <c r="AG167" s="136" t="s">
        <v>516</v>
      </c>
      <c r="AH167" s="647"/>
      <c r="AI167" s="648"/>
      <c r="AJ167" s="763"/>
      <c r="AK167" s="764"/>
      <c r="AL167" s="627"/>
      <c r="AM167" s="627"/>
      <c r="AN167" s="627"/>
      <c r="AO167" s="627"/>
      <c r="AP167" s="627"/>
      <c r="AQ167" s="627"/>
      <c r="AR167" s="627"/>
      <c r="AS167" s="627"/>
      <c r="AT167" s="627"/>
      <c r="AU167" s="627"/>
      <c r="AV167" s="627"/>
      <c r="AW167" s="627"/>
      <c r="AX167" s="628"/>
      <c r="AY167" s="629"/>
    </row>
    <row r="168" spans="2:51" ht="15" customHeight="1" x14ac:dyDescent="0.25">
      <c r="B168" s="699"/>
      <c r="C168" s="700"/>
      <c r="D168" s="701"/>
      <c r="E168" s="613"/>
      <c r="F168" s="496"/>
      <c r="G168" s="496"/>
      <c r="H168" s="496"/>
      <c r="I168" s="614"/>
      <c r="J168" s="541" t="s">
        <v>165</v>
      </c>
      <c r="K168" s="542"/>
      <c r="L168" s="542"/>
      <c r="M168" s="542"/>
      <c r="N168" s="542"/>
      <c r="O168" s="543"/>
      <c r="P168" s="652" t="s">
        <v>181</v>
      </c>
      <c r="Q168" s="654" t="s">
        <v>316</v>
      </c>
      <c r="R168" s="655"/>
      <c r="S168" s="633" t="s">
        <v>180</v>
      </c>
      <c r="T168" s="631">
        <v>2</v>
      </c>
      <c r="V168" s="72"/>
      <c r="W168" s="72"/>
      <c r="X168" s="72"/>
      <c r="Y168" s="72"/>
      <c r="Z168" s="112"/>
      <c r="AA168" s="72"/>
      <c r="AB168" s="72"/>
      <c r="AC168" s="72"/>
      <c r="AD168" s="72"/>
      <c r="AE168" s="72"/>
      <c r="AF168" s="112"/>
      <c r="AG168" s="158"/>
      <c r="AH168" s="644" t="s">
        <v>317</v>
      </c>
      <c r="AI168" s="644"/>
      <c r="AJ168" s="761">
        <v>5000</v>
      </c>
      <c r="AK168" s="762"/>
      <c r="AL168" s="627" t="str">
        <f t="shared" ref="AL168:AW168" si="75">IF((V169="CUMPLIDO"),"1","0")</f>
        <v>0</v>
      </c>
      <c r="AM168" s="627" t="str">
        <f t="shared" si="75"/>
        <v>0</v>
      </c>
      <c r="AN168" s="627" t="str">
        <f t="shared" si="75"/>
        <v>0</v>
      </c>
      <c r="AO168" s="627" t="str">
        <f t="shared" si="75"/>
        <v>0</v>
      </c>
      <c r="AP168" s="627" t="str">
        <f t="shared" si="75"/>
        <v>0</v>
      </c>
      <c r="AQ168" s="627" t="str">
        <f t="shared" si="75"/>
        <v>0</v>
      </c>
      <c r="AR168" s="627" t="str">
        <f t="shared" si="75"/>
        <v>0</v>
      </c>
      <c r="AS168" s="627" t="str">
        <f t="shared" si="75"/>
        <v>0</v>
      </c>
      <c r="AT168" s="627" t="str">
        <f t="shared" si="75"/>
        <v>0</v>
      </c>
      <c r="AU168" s="627" t="str">
        <f t="shared" si="75"/>
        <v>0</v>
      </c>
      <c r="AV168" s="627" t="str">
        <f t="shared" si="75"/>
        <v>0</v>
      </c>
      <c r="AW168" s="627" t="str">
        <f t="shared" si="75"/>
        <v>0</v>
      </c>
      <c r="AX168" s="628">
        <f>SUM(AL168+AM168+AN168+AO168+AP168+AQ168+AR168+AS168+AT168+AU168+AV168+AW168)</f>
        <v>0</v>
      </c>
      <c r="AY168" s="629">
        <f>AX168/2</f>
        <v>0</v>
      </c>
    </row>
    <row r="169" spans="2:51" ht="15" customHeight="1" x14ac:dyDescent="0.25">
      <c r="B169" s="699"/>
      <c r="C169" s="700"/>
      <c r="D169" s="701"/>
      <c r="E169" s="613"/>
      <c r="F169" s="496"/>
      <c r="G169" s="496"/>
      <c r="H169" s="496"/>
      <c r="I169" s="614"/>
      <c r="J169" s="546"/>
      <c r="K169" s="547"/>
      <c r="L169" s="547"/>
      <c r="M169" s="547"/>
      <c r="N169" s="547"/>
      <c r="O169" s="548"/>
      <c r="P169" s="653"/>
      <c r="Q169" s="656"/>
      <c r="R169" s="657"/>
      <c r="S169" s="634"/>
      <c r="T169" s="632"/>
      <c r="V169" s="164"/>
      <c r="W169" s="164"/>
      <c r="X169" s="164"/>
      <c r="Y169" s="164"/>
      <c r="Z169" s="136" t="s">
        <v>516</v>
      </c>
      <c r="AA169" s="164"/>
      <c r="AB169" s="164"/>
      <c r="AC169" s="164"/>
      <c r="AD169" s="164"/>
      <c r="AE169" s="164"/>
      <c r="AF169" s="136" t="s">
        <v>516</v>
      </c>
      <c r="AG169" s="165"/>
      <c r="AH169" s="644"/>
      <c r="AI169" s="644"/>
      <c r="AJ169" s="763"/>
      <c r="AK169" s="764"/>
      <c r="AL169" s="627"/>
      <c r="AM169" s="627"/>
      <c r="AN169" s="627"/>
      <c r="AO169" s="627"/>
      <c r="AP169" s="627"/>
      <c r="AQ169" s="627"/>
      <c r="AR169" s="627"/>
      <c r="AS169" s="627"/>
      <c r="AT169" s="627"/>
      <c r="AU169" s="627"/>
      <c r="AV169" s="627"/>
      <c r="AW169" s="627"/>
      <c r="AX169" s="628"/>
      <c r="AY169" s="629"/>
    </row>
    <row r="170" spans="2:51" ht="15" customHeight="1" x14ac:dyDescent="0.25">
      <c r="B170" s="699"/>
      <c r="C170" s="700"/>
      <c r="D170" s="701"/>
      <c r="E170" s="613"/>
      <c r="F170" s="496"/>
      <c r="G170" s="496"/>
      <c r="H170" s="496"/>
      <c r="I170" s="614"/>
      <c r="J170" s="541" t="s">
        <v>314</v>
      </c>
      <c r="K170" s="542"/>
      <c r="L170" s="542"/>
      <c r="M170" s="542"/>
      <c r="N170" s="542"/>
      <c r="O170" s="543"/>
      <c r="P170" s="652" t="s">
        <v>302</v>
      </c>
      <c r="Q170" s="654" t="s">
        <v>256</v>
      </c>
      <c r="R170" s="655"/>
      <c r="S170" s="633" t="s">
        <v>180</v>
      </c>
      <c r="T170" s="631">
        <v>2</v>
      </c>
      <c r="V170" s="164"/>
      <c r="W170" s="164"/>
      <c r="X170" s="164"/>
      <c r="Y170" s="164"/>
      <c r="Z170" s="164"/>
      <c r="AA170" s="112"/>
      <c r="AB170" s="164"/>
      <c r="AC170" s="164"/>
      <c r="AD170" s="164"/>
      <c r="AE170" s="164"/>
      <c r="AF170" s="164"/>
      <c r="AG170" s="161"/>
      <c r="AH170" s="645" t="s">
        <v>315</v>
      </c>
      <c r="AI170" s="646"/>
      <c r="AJ170" s="761"/>
      <c r="AK170" s="762"/>
      <c r="AL170" s="627" t="str">
        <f t="shared" ref="AL170:AW170" si="76">IF((V171="CUMPLIDO"),"1","0")</f>
        <v>0</v>
      </c>
      <c r="AM170" s="627" t="str">
        <f t="shared" si="76"/>
        <v>0</v>
      </c>
      <c r="AN170" s="627" t="str">
        <f t="shared" si="76"/>
        <v>0</v>
      </c>
      <c r="AO170" s="627" t="str">
        <f t="shared" si="76"/>
        <v>0</v>
      </c>
      <c r="AP170" s="627" t="str">
        <f t="shared" si="76"/>
        <v>0</v>
      </c>
      <c r="AQ170" s="627" t="str">
        <f t="shared" si="76"/>
        <v>0</v>
      </c>
      <c r="AR170" s="627" t="str">
        <f t="shared" si="76"/>
        <v>0</v>
      </c>
      <c r="AS170" s="627" t="str">
        <f t="shared" si="76"/>
        <v>0</v>
      </c>
      <c r="AT170" s="627" t="str">
        <f t="shared" si="76"/>
        <v>0</v>
      </c>
      <c r="AU170" s="627" t="str">
        <f t="shared" si="76"/>
        <v>0</v>
      </c>
      <c r="AV170" s="627" t="str">
        <f t="shared" si="76"/>
        <v>0</v>
      </c>
      <c r="AW170" s="627" t="str">
        <f t="shared" si="76"/>
        <v>0</v>
      </c>
      <c r="AX170" s="628">
        <f>SUM(AL170+AM170+AN170+AO170+AP170+AQ170+AR170+AS170+AT170+AU170+AV170+AW170)</f>
        <v>0</v>
      </c>
      <c r="AY170" s="629">
        <f>AX170/2</f>
        <v>0</v>
      </c>
    </row>
    <row r="171" spans="2:51" ht="15" customHeight="1" x14ac:dyDescent="0.25">
      <c r="B171" s="699"/>
      <c r="C171" s="700"/>
      <c r="D171" s="701"/>
      <c r="E171" s="613"/>
      <c r="F171" s="496"/>
      <c r="G171" s="496"/>
      <c r="H171" s="496"/>
      <c r="I171" s="614"/>
      <c r="J171" s="546"/>
      <c r="K171" s="547"/>
      <c r="L171" s="547"/>
      <c r="M171" s="547"/>
      <c r="N171" s="547"/>
      <c r="O171" s="548"/>
      <c r="P171" s="653"/>
      <c r="Q171" s="656"/>
      <c r="R171" s="657"/>
      <c r="S171" s="634"/>
      <c r="T171" s="632"/>
      <c r="V171" s="164"/>
      <c r="W171" s="164"/>
      <c r="X171" s="164"/>
      <c r="Y171" s="164"/>
      <c r="Z171" s="164"/>
      <c r="AA171" s="136" t="s">
        <v>516</v>
      </c>
      <c r="AB171" s="185"/>
      <c r="AC171" s="185"/>
      <c r="AD171" s="185"/>
      <c r="AE171" s="185"/>
      <c r="AF171" s="185"/>
      <c r="AG171" s="136" t="s">
        <v>516</v>
      </c>
      <c r="AH171" s="647"/>
      <c r="AI171" s="648"/>
      <c r="AJ171" s="763"/>
      <c r="AK171" s="764"/>
      <c r="AL171" s="627"/>
      <c r="AM171" s="627"/>
      <c r="AN171" s="627"/>
      <c r="AO171" s="627"/>
      <c r="AP171" s="627"/>
      <c r="AQ171" s="627"/>
      <c r="AR171" s="627"/>
      <c r="AS171" s="627"/>
      <c r="AT171" s="627"/>
      <c r="AU171" s="627"/>
      <c r="AV171" s="627"/>
      <c r="AW171" s="627"/>
      <c r="AX171" s="628"/>
      <c r="AY171" s="629"/>
    </row>
    <row r="172" spans="2:51" ht="15" customHeight="1" x14ac:dyDescent="0.25">
      <c r="B172" s="699"/>
      <c r="C172" s="700"/>
      <c r="D172" s="700"/>
      <c r="E172" s="712" t="s">
        <v>318</v>
      </c>
      <c r="F172" s="713"/>
      <c r="G172" s="713"/>
      <c r="H172" s="713"/>
      <c r="I172" s="714"/>
      <c r="J172" s="542" t="s">
        <v>476</v>
      </c>
      <c r="K172" s="542"/>
      <c r="L172" s="542"/>
      <c r="M172" s="542"/>
      <c r="N172" s="542"/>
      <c r="O172" s="543"/>
      <c r="P172" s="652" t="s">
        <v>319</v>
      </c>
      <c r="Q172" s="654" t="s">
        <v>320</v>
      </c>
      <c r="R172" s="655"/>
      <c r="S172" s="633" t="s">
        <v>180</v>
      </c>
      <c r="T172" s="631">
        <v>12</v>
      </c>
      <c r="V172" s="112"/>
      <c r="W172" s="112"/>
      <c r="X172" s="112"/>
      <c r="Y172" s="112"/>
      <c r="Z172" s="112"/>
      <c r="AA172" s="112"/>
      <c r="AB172" s="112"/>
      <c r="AC172" s="112"/>
      <c r="AD172" s="112"/>
      <c r="AE172" s="112"/>
      <c r="AF172" s="112"/>
      <c r="AG172" s="168"/>
      <c r="AH172" s="645" t="s">
        <v>315</v>
      </c>
      <c r="AI172" s="646"/>
      <c r="AJ172" s="761"/>
      <c r="AK172" s="762"/>
      <c r="AL172" s="627" t="str">
        <f t="shared" ref="AL172:AW172" si="77">IF((V173="CUMPLIDO"),"1","0")</f>
        <v>1</v>
      </c>
      <c r="AM172" s="627" t="str">
        <f t="shared" si="77"/>
        <v>1</v>
      </c>
      <c r="AN172" s="627" t="str">
        <f t="shared" si="77"/>
        <v>1</v>
      </c>
      <c r="AO172" s="627" t="str">
        <f t="shared" si="77"/>
        <v>0</v>
      </c>
      <c r="AP172" s="627" t="str">
        <f t="shared" si="77"/>
        <v>0</v>
      </c>
      <c r="AQ172" s="627" t="str">
        <f t="shared" si="77"/>
        <v>0</v>
      </c>
      <c r="AR172" s="627" t="str">
        <f t="shared" si="77"/>
        <v>0</v>
      </c>
      <c r="AS172" s="627" t="str">
        <f t="shared" si="77"/>
        <v>0</v>
      </c>
      <c r="AT172" s="627" t="str">
        <f t="shared" si="77"/>
        <v>0</v>
      </c>
      <c r="AU172" s="627" t="str">
        <f t="shared" si="77"/>
        <v>0</v>
      </c>
      <c r="AV172" s="627" t="str">
        <f t="shared" si="77"/>
        <v>0</v>
      </c>
      <c r="AW172" s="627" t="str">
        <f t="shared" si="77"/>
        <v>0</v>
      </c>
      <c r="AX172" s="628">
        <f>SUM(AL172+AM172+AN172+AO172+AP172+AQ172+AR172+AS172+AT172+AU172+AV172+AW172)</f>
        <v>3</v>
      </c>
      <c r="AY172" s="629">
        <f t="shared" si="68"/>
        <v>0.25</v>
      </c>
    </row>
    <row r="173" spans="2:51" ht="15" customHeight="1" x14ac:dyDescent="0.25">
      <c r="B173" s="699"/>
      <c r="C173" s="700"/>
      <c r="D173" s="700"/>
      <c r="E173" s="715"/>
      <c r="F173" s="716"/>
      <c r="G173" s="716"/>
      <c r="H173" s="716"/>
      <c r="I173" s="717"/>
      <c r="J173" s="547"/>
      <c r="K173" s="547"/>
      <c r="L173" s="547"/>
      <c r="M173" s="547"/>
      <c r="N173" s="547"/>
      <c r="O173" s="548"/>
      <c r="P173" s="653"/>
      <c r="Q173" s="656"/>
      <c r="R173" s="657"/>
      <c r="S173" s="634"/>
      <c r="T173" s="632"/>
      <c r="V173" s="136" t="s">
        <v>522</v>
      </c>
      <c r="W173" s="136" t="s">
        <v>522</v>
      </c>
      <c r="X173" s="136" t="s">
        <v>522</v>
      </c>
      <c r="Y173" s="136" t="s">
        <v>516</v>
      </c>
      <c r="Z173" s="136" t="s">
        <v>516</v>
      </c>
      <c r="AA173" s="136" t="s">
        <v>516</v>
      </c>
      <c r="AB173" s="136" t="s">
        <v>516</v>
      </c>
      <c r="AC173" s="136" t="s">
        <v>516</v>
      </c>
      <c r="AD173" s="136" t="s">
        <v>516</v>
      </c>
      <c r="AE173" s="136" t="s">
        <v>516</v>
      </c>
      <c r="AF173" s="136" t="s">
        <v>516</v>
      </c>
      <c r="AG173" s="136" t="s">
        <v>516</v>
      </c>
      <c r="AH173" s="647"/>
      <c r="AI173" s="648"/>
      <c r="AJ173" s="763"/>
      <c r="AK173" s="764"/>
      <c r="AL173" s="627"/>
      <c r="AM173" s="627"/>
      <c r="AN173" s="627"/>
      <c r="AO173" s="627"/>
      <c r="AP173" s="627"/>
      <c r="AQ173" s="627"/>
      <c r="AR173" s="627"/>
      <c r="AS173" s="627"/>
      <c r="AT173" s="627"/>
      <c r="AU173" s="627"/>
      <c r="AV173" s="627"/>
      <c r="AW173" s="627"/>
      <c r="AX173" s="628"/>
      <c r="AY173" s="629"/>
    </row>
    <row r="174" spans="2:51" ht="15" customHeight="1" x14ac:dyDescent="0.25">
      <c r="B174" s="699"/>
      <c r="C174" s="700"/>
      <c r="D174" s="701"/>
      <c r="E174" s="718" t="s">
        <v>323</v>
      </c>
      <c r="F174" s="713"/>
      <c r="G174" s="713"/>
      <c r="H174" s="713"/>
      <c r="I174" s="719"/>
      <c r="J174" s="541" t="s">
        <v>187</v>
      </c>
      <c r="K174" s="542"/>
      <c r="L174" s="542"/>
      <c r="M174" s="542"/>
      <c r="N174" s="542"/>
      <c r="O174" s="543"/>
      <c r="P174" s="652" t="s">
        <v>321</v>
      </c>
      <c r="Q174" s="654" t="s">
        <v>322</v>
      </c>
      <c r="R174" s="655"/>
      <c r="S174" s="633" t="s">
        <v>180</v>
      </c>
      <c r="T174" s="631">
        <v>12</v>
      </c>
      <c r="V174" s="112"/>
      <c r="W174" s="112"/>
      <c r="X174" s="112"/>
      <c r="Y174" s="112"/>
      <c r="Z174" s="112"/>
      <c r="AA174" s="112"/>
      <c r="AB174" s="112"/>
      <c r="AC174" s="112"/>
      <c r="AD174" s="112"/>
      <c r="AE174" s="112"/>
      <c r="AF174" s="112"/>
      <c r="AG174" s="168"/>
      <c r="AH174" s="645" t="s">
        <v>360</v>
      </c>
      <c r="AI174" s="646"/>
      <c r="AJ174" s="761"/>
      <c r="AK174" s="762"/>
      <c r="AL174" s="627" t="str">
        <f t="shared" ref="AL174:AW174" si="78">IF((V175="CUMPLIDO"),"1","0")</f>
        <v>1</v>
      </c>
      <c r="AM174" s="627" t="str">
        <f t="shared" si="78"/>
        <v>1</v>
      </c>
      <c r="AN174" s="627" t="str">
        <f t="shared" si="78"/>
        <v>1</v>
      </c>
      <c r="AO174" s="627" t="str">
        <f t="shared" si="78"/>
        <v>0</v>
      </c>
      <c r="AP174" s="627" t="str">
        <f t="shared" si="78"/>
        <v>0</v>
      </c>
      <c r="AQ174" s="627" t="str">
        <f t="shared" si="78"/>
        <v>0</v>
      </c>
      <c r="AR174" s="627" t="str">
        <f t="shared" si="78"/>
        <v>0</v>
      </c>
      <c r="AS174" s="627" t="str">
        <f t="shared" si="78"/>
        <v>0</v>
      </c>
      <c r="AT174" s="627" t="str">
        <f t="shared" si="78"/>
        <v>0</v>
      </c>
      <c r="AU174" s="627" t="str">
        <f t="shared" si="78"/>
        <v>0</v>
      </c>
      <c r="AV174" s="627" t="str">
        <f t="shared" si="78"/>
        <v>0</v>
      </c>
      <c r="AW174" s="627" t="str">
        <f t="shared" si="78"/>
        <v>0</v>
      </c>
      <c r="AX174" s="628">
        <f>SUM(AL174+AM174+AN174+AO174+AP174+AQ174+AR174+AS174+AT174+AU174+AV174+AW174)</f>
        <v>3</v>
      </c>
      <c r="AY174" s="629">
        <f t="shared" si="68"/>
        <v>0.25</v>
      </c>
    </row>
    <row r="175" spans="2:51" ht="15" customHeight="1" x14ac:dyDescent="0.25">
      <c r="B175" s="702"/>
      <c r="C175" s="703"/>
      <c r="D175" s="704"/>
      <c r="E175" s="615"/>
      <c r="F175" s="616"/>
      <c r="G175" s="616"/>
      <c r="H175" s="616"/>
      <c r="I175" s="617"/>
      <c r="J175" s="546"/>
      <c r="K175" s="547"/>
      <c r="L175" s="547"/>
      <c r="M175" s="547"/>
      <c r="N175" s="547"/>
      <c r="O175" s="548"/>
      <c r="P175" s="653"/>
      <c r="Q175" s="656"/>
      <c r="R175" s="657"/>
      <c r="S175" s="634"/>
      <c r="T175" s="632"/>
      <c r="V175" s="136" t="s">
        <v>522</v>
      </c>
      <c r="W175" s="136" t="s">
        <v>522</v>
      </c>
      <c r="X175" s="136" t="s">
        <v>522</v>
      </c>
      <c r="Y175" s="136" t="s">
        <v>516</v>
      </c>
      <c r="Z175" s="136" t="s">
        <v>516</v>
      </c>
      <c r="AA175" s="136" t="s">
        <v>516</v>
      </c>
      <c r="AB175" s="136" t="s">
        <v>516</v>
      </c>
      <c r="AC175" s="136" t="s">
        <v>516</v>
      </c>
      <c r="AD175" s="136" t="s">
        <v>516</v>
      </c>
      <c r="AE175" s="136" t="s">
        <v>516</v>
      </c>
      <c r="AF175" s="136" t="s">
        <v>516</v>
      </c>
      <c r="AG175" s="136" t="s">
        <v>516</v>
      </c>
      <c r="AH175" s="647"/>
      <c r="AI175" s="648"/>
      <c r="AJ175" s="763"/>
      <c r="AK175" s="764"/>
      <c r="AL175" s="627"/>
      <c r="AM175" s="627"/>
      <c r="AN175" s="627"/>
      <c r="AO175" s="627"/>
      <c r="AP175" s="627"/>
      <c r="AQ175" s="627"/>
      <c r="AR175" s="627"/>
      <c r="AS175" s="627"/>
      <c r="AT175" s="627"/>
      <c r="AU175" s="627"/>
      <c r="AV175" s="627"/>
      <c r="AW175" s="627"/>
      <c r="AX175" s="628"/>
      <c r="AY175" s="629"/>
    </row>
    <row r="176" spans="2:51" ht="15" customHeight="1" x14ac:dyDescent="0.25">
      <c r="B176" s="696" t="s">
        <v>183</v>
      </c>
      <c r="C176" s="697"/>
      <c r="D176" s="698"/>
      <c r="E176" s="610" t="s">
        <v>65</v>
      </c>
      <c r="F176" s="611"/>
      <c r="G176" s="611"/>
      <c r="H176" s="611"/>
      <c r="I176" s="612"/>
      <c r="J176" s="541" t="s">
        <v>453</v>
      </c>
      <c r="K176" s="542"/>
      <c r="L176" s="542"/>
      <c r="M176" s="542"/>
      <c r="N176" s="542"/>
      <c r="O176" s="543"/>
      <c r="P176" s="652" t="s">
        <v>212</v>
      </c>
      <c r="Q176" s="654" t="s">
        <v>325</v>
      </c>
      <c r="R176" s="655"/>
      <c r="S176" s="633" t="s">
        <v>180</v>
      </c>
      <c r="T176" s="631">
        <v>5</v>
      </c>
      <c r="V176" s="112"/>
      <c r="W176" s="112"/>
      <c r="X176" s="112"/>
      <c r="Y176" s="112"/>
      <c r="Z176" s="112"/>
      <c r="AA176" s="72"/>
      <c r="AB176" s="72"/>
      <c r="AC176" s="72"/>
      <c r="AD176" s="72"/>
      <c r="AE176" s="72"/>
      <c r="AF176" s="72"/>
      <c r="AG176" s="165"/>
      <c r="AH176" s="644" t="s">
        <v>475</v>
      </c>
      <c r="AI176" s="644"/>
      <c r="AJ176" s="761"/>
      <c r="AK176" s="762"/>
      <c r="AL176" s="627" t="str">
        <f t="shared" ref="AL176:AW176" si="79">IF((V177="CUMPLIDO"),"1","0")</f>
        <v>1</v>
      </c>
      <c r="AM176" s="627" t="str">
        <f t="shared" si="79"/>
        <v>1</v>
      </c>
      <c r="AN176" s="627" t="str">
        <f t="shared" si="79"/>
        <v>1</v>
      </c>
      <c r="AO176" s="627" t="str">
        <f t="shared" si="79"/>
        <v>1</v>
      </c>
      <c r="AP176" s="627" t="str">
        <f t="shared" si="79"/>
        <v>0</v>
      </c>
      <c r="AQ176" s="627" t="str">
        <f t="shared" si="79"/>
        <v>0</v>
      </c>
      <c r="AR176" s="627" t="str">
        <f t="shared" si="79"/>
        <v>0</v>
      </c>
      <c r="AS176" s="627" t="str">
        <f t="shared" si="79"/>
        <v>0</v>
      </c>
      <c r="AT176" s="627" t="str">
        <f t="shared" si="79"/>
        <v>0</v>
      </c>
      <c r="AU176" s="627" t="str">
        <f t="shared" si="79"/>
        <v>0</v>
      </c>
      <c r="AV176" s="627" t="str">
        <f t="shared" si="79"/>
        <v>0</v>
      </c>
      <c r="AW176" s="627" t="str">
        <f t="shared" si="79"/>
        <v>0</v>
      </c>
      <c r="AX176" s="628">
        <f>SUM(AL176+AM176+AN176+AO176+AP176+AQ176+AR176+AS176+AT176+AU176+AV176+AW176)</f>
        <v>4</v>
      </c>
      <c r="AY176" s="629">
        <f>AX176/5</f>
        <v>0.8</v>
      </c>
    </row>
    <row r="177" spans="2:58" ht="15" customHeight="1" x14ac:dyDescent="0.25">
      <c r="B177" s="699"/>
      <c r="C177" s="700"/>
      <c r="D177" s="701"/>
      <c r="E177" s="613"/>
      <c r="F177" s="496"/>
      <c r="G177" s="496"/>
      <c r="H177" s="496"/>
      <c r="I177" s="614"/>
      <c r="J177" s="546"/>
      <c r="K177" s="547"/>
      <c r="L177" s="547"/>
      <c r="M177" s="547"/>
      <c r="N177" s="547"/>
      <c r="O177" s="548"/>
      <c r="P177" s="653"/>
      <c r="Q177" s="656"/>
      <c r="R177" s="657"/>
      <c r="S177" s="634"/>
      <c r="T177" s="632"/>
      <c r="V177" s="136" t="s">
        <v>522</v>
      </c>
      <c r="W177" s="136" t="s">
        <v>522</v>
      </c>
      <c r="X177" s="136" t="s">
        <v>522</v>
      </c>
      <c r="Y177" s="136" t="s">
        <v>522</v>
      </c>
      <c r="Z177" s="136" t="s">
        <v>516</v>
      </c>
      <c r="AA177" s="164"/>
      <c r="AB177" s="164"/>
      <c r="AC177" s="164"/>
      <c r="AD177" s="164"/>
      <c r="AE177" s="164"/>
      <c r="AF177" s="164"/>
      <c r="AG177" s="165"/>
      <c r="AH177" s="644"/>
      <c r="AI177" s="644"/>
      <c r="AJ177" s="763"/>
      <c r="AK177" s="764"/>
      <c r="AL177" s="627"/>
      <c r="AM177" s="627"/>
      <c r="AN177" s="627"/>
      <c r="AO177" s="627"/>
      <c r="AP177" s="627"/>
      <c r="AQ177" s="627"/>
      <c r="AR177" s="627"/>
      <c r="AS177" s="627"/>
      <c r="AT177" s="627"/>
      <c r="AU177" s="627"/>
      <c r="AV177" s="627"/>
      <c r="AW177" s="627"/>
      <c r="AX177" s="628"/>
      <c r="AY177" s="629"/>
    </row>
    <row r="178" spans="2:58" ht="15" customHeight="1" x14ac:dyDescent="0.25">
      <c r="B178" s="699"/>
      <c r="C178" s="700"/>
      <c r="D178" s="701"/>
      <c r="E178" s="613"/>
      <c r="F178" s="496"/>
      <c r="G178" s="496"/>
      <c r="H178" s="496"/>
      <c r="I178" s="614"/>
      <c r="J178" s="541" t="s">
        <v>324</v>
      </c>
      <c r="K178" s="542"/>
      <c r="L178" s="542"/>
      <c r="M178" s="542"/>
      <c r="N178" s="542"/>
      <c r="O178" s="543"/>
      <c r="P178" s="652" t="s">
        <v>326</v>
      </c>
      <c r="Q178" s="654" t="s">
        <v>212</v>
      </c>
      <c r="R178" s="655"/>
      <c r="S178" s="633" t="s">
        <v>180</v>
      </c>
      <c r="T178" s="631">
        <v>1</v>
      </c>
      <c r="V178" s="164"/>
      <c r="W178" s="112"/>
      <c r="X178" s="164"/>
      <c r="Y178" s="164"/>
      <c r="Z178" s="164"/>
      <c r="AA178" s="164"/>
      <c r="AB178" s="164"/>
      <c r="AC178" s="164"/>
      <c r="AD178" s="164"/>
      <c r="AE178" s="164"/>
      <c r="AF178" s="164"/>
      <c r="AG178" s="165"/>
      <c r="AH178" s="644" t="s">
        <v>299</v>
      </c>
      <c r="AI178" s="644"/>
      <c r="AJ178" s="761"/>
      <c r="AK178" s="762"/>
      <c r="AL178" s="627" t="str">
        <f t="shared" ref="AL178:AW178" si="80">IF((V179="CUMPLIDO"),"1","0")</f>
        <v>0</v>
      </c>
      <c r="AM178" s="627" t="str">
        <f t="shared" si="80"/>
        <v>0</v>
      </c>
      <c r="AN178" s="627" t="str">
        <f t="shared" si="80"/>
        <v>0</v>
      </c>
      <c r="AO178" s="627" t="str">
        <f t="shared" si="80"/>
        <v>0</v>
      </c>
      <c r="AP178" s="627" t="str">
        <f t="shared" si="80"/>
        <v>0</v>
      </c>
      <c r="AQ178" s="627" t="str">
        <f t="shared" si="80"/>
        <v>0</v>
      </c>
      <c r="AR178" s="627" t="str">
        <f t="shared" si="80"/>
        <v>0</v>
      </c>
      <c r="AS178" s="627" t="str">
        <f t="shared" si="80"/>
        <v>0</v>
      </c>
      <c r="AT178" s="627" t="str">
        <f t="shared" si="80"/>
        <v>0</v>
      </c>
      <c r="AU178" s="627" t="str">
        <f t="shared" si="80"/>
        <v>0</v>
      </c>
      <c r="AV178" s="627" t="str">
        <f t="shared" si="80"/>
        <v>0</v>
      </c>
      <c r="AW178" s="627" t="str">
        <f t="shared" si="80"/>
        <v>0</v>
      </c>
      <c r="AX178" s="628">
        <f>SUM(AL178+AM178+AN178+AO178+AP178+AQ178+AR178+AS178+AT178+AU178+AV178+AW178)</f>
        <v>0</v>
      </c>
      <c r="AY178" s="629">
        <f>AX178/1</f>
        <v>0</v>
      </c>
    </row>
    <row r="179" spans="2:58" ht="15" customHeight="1" x14ac:dyDescent="0.25">
      <c r="B179" s="699"/>
      <c r="C179" s="700"/>
      <c r="D179" s="701"/>
      <c r="E179" s="613"/>
      <c r="F179" s="496"/>
      <c r="G179" s="496"/>
      <c r="H179" s="496"/>
      <c r="I179" s="614"/>
      <c r="J179" s="546"/>
      <c r="K179" s="547"/>
      <c r="L179" s="547"/>
      <c r="M179" s="547"/>
      <c r="N179" s="547"/>
      <c r="O179" s="548"/>
      <c r="P179" s="653"/>
      <c r="Q179" s="656"/>
      <c r="R179" s="657"/>
      <c r="S179" s="634"/>
      <c r="T179" s="632"/>
      <c r="V179" s="166"/>
      <c r="W179" s="136" t="s">
        <v>516</v>
      </c>
      <c r="X179" s="166"/>
      <c r="Y179" s="185"/>
      <c r="Z179" s="185"/>
      <c r="AA179" s="185"/>
      <c r="AB179" s="185"/>
      <c r="AC179" s="185"/>
      <c r="AD179" s="185"/>
      <c r="AE179" s="166"/>
      <c r="AF179" s="166"/>
      <c r="AG179" s="165"/>
      <c r="AH179" s="644"/>
      <c r="AI179" s="644"/>
      <c r="AJ179" s="763"/>
      <c r="AK179" s="764"/>
      <c r="AL179" s="627"/>
      <c r="AM179" s="627"/>
      <c r="AN179" s="627"/>
      <c r="AO179" s="627"/>
      <c r="AP179" s="627"/>
      <c r="AQ179" s="627"/>
      <c r="AR179" s="627"/>
      <c r="AS179" s="627"/>
      <c r="AT179" s="627"/>
      <c r="AU179" s="627"/>
      <c r="AV179" s="627"/>
      <c r="AW179" s="627"/>
      <c r="AX179" s="628"/>
      <c r="AY179" s="629"/>
    </row>
    <row r="180" spans="2:58" ht="15" customHeight="1" x14ac:dyDescent="0.25">
      <c r="B180" s="699"/>
      <c r="C180" s="700"/>
      <c r="D180" s="701"/>
      <c r="E180" s="613"/>
      <c r="F180" s="496"/>
      <c r="G180" s="496"/>
      <c r="H180" s="496"/>
      <c r="I180" s="614"/>
      <c r="J180" s="541" t="s">
        <v>166</v>
      </c>
      <c r="K180" s="542"/>
      <c r="L180" s="542"/>
      <c r="M180" s="542"/>
      <c r="N180" s="542"/>
      <c r="O180" s="543"/>
      <c r="P180" s="652" t="s">
        <v>326</v>
      </c>
      <c r="Q180" s="654" t="s">
        <v>327</v>
      </c>
      <c r="R180" s="655"/>
      <c r="S180" s="633" t="s">
        <v>180</v>
      </c>
      <c r="T180" s="631">
        <v>2</v>
      </c>
      <c r="V180" s="114"/>
      <c r="W180" s="114"/>
      <c r="X180" s="114"/>
      <c r="Y180" s="112"/>
      <c r="Z180" s="166"/>
      <c r="AA180" s="166"/>
      <c r="AB180" s="166"/>
      <c r="AC180" s="166"/>
      <c r="AD180" s="112"/>
      <c r="AE180" s="114"/>
      <c r="AF180" s="114"/>
      <c r="AG180" s="165"/>
      <c r="AH180" s="644" t="s">
        <v>454</v>
      </c>
      <c r="AI180" s="644"/>
      <c r="AJ180" s="761">
        <v>2000</v>
      </c>
      <c r="AK180" s="762"/>
      <c r="AL180" s="627" t="str">
        <f t="shared" ref="AL180:AW180" si="81">IF((V181="CUMPLIDO"),"1","0")</f>
        <v>0</v>
      </c>
      <c r="AM180" s="627" t="str">
        <f t="shared" si="81"/>
        <v>0</v>
      </c>
      <c r="AN180" s="627" t="str">
        <f t="shared" si="81"/>
        <v>0</v>
      </c>
      <c r="AO180" s="627" t="str">
        <f t="shared" si="81"/>
        <v>0</v>
      </c>
      <c r="AP180" s="627" t="str">
        <f t="shared" si="81"/>
        <v>0</v>
      </c>
      <c r="AQ180" s="627" t="str">
        <f t="shared" si="81"/>
        <v>0</v>
      </c>
      <c r="AR180" s="627" t="str">
        <f t="shared" si="81"/>
        <v>0</v>
      </c>
      <c r="AS180" s="627" t="str">
        <f t="shared" si="81"/>
        <v>0</v>
      </c>
      <c r="AT180" s="627" t="str">
        <f t="shared" si="81"/>
        <v>0</v>
      </c>
      <c r="AU180" s="627" t="str">
        <f t="shared" si="81"/>
        <v>0</v>
      </c>
      <c r="AV180" s="627" t="str">
        <f t="shared" si="81"/>
        <v>0</v>
      </c>
      <c r="AW180" s="627" t="str">
        <f t="shared" si="81"/>
        <v>0</v>
      </c>
      <c r="AX180" s="628">
        <f>SUM(AL180+AM180+AN180+AO180+AP180+AQ180+AR180+AS180+AT180+AU180+AV180+AW180)</f>
        <v>0</v>
      </c>
      <c r="AY180" s="629">
        <f>AX180/2</f>
        <v>0</v>
      </c>
    </row>
    <row r="181" spans="2:58" ht="15" customHeight="1" x14ac:dyDescent="0.25">
      <c r="B181" s="699"/>
      <c r="C181" s="700"/>
      <c r="D181" s="701"/>
      <c r="E181" s="613"/>
      <c r="F181" s="496"/>
      <c r="G181" s="496"/>
      <c r="H181" s="496"/>
      <c r="I181" s="614"/>
      <c r="J181" s="546"/>
      <c r="K181" s="547"/>
      <c r="L181" s="547"/>
      <c r="M181" s="547"/>
      <c r="N181" s="547"/>
      <c r="O181" s="548"/>
      <c r="P181" s="653"/>
      <c r="Q181" s="656"/>
      <c r="R181" s="657"/>
      <c r="S181" s="634"/>
      <c r="T181" s="632"/>
      <c r="V181" s="166"/>
      <c r="W181" s="166"/>
      <c r="X181" s="166"/>
      <c r="Y181" s="136" t="s">
        <v>516</v>
      </c>
      <c r="Z181" s="166"/>
      <c r="AA181" s="166"/>
      <c r="AB181" s="166"/>
      <c r="AC181" s="166"/>
      <c r="AD181" s="136" t="s">
        <v>516</v>
      </c>
      <c r="AE181" s="166"/>
      <c r="AF181" s="166"/>
      <c r="AG181" s="165"/>
      <c r="AH181" s="644"/>
      <c r="AI181" s="644"/>
      <c r="AJ181" s="763"/>
      <c r="AK181" s="764"/>
      <c r="AL181" s="627"/>
      <c r="AM181" s="627"/>
      <c r="AN181" s="627"/>
      <c r="AO181" s="627"/>
      <c r="AP181" s="627"/>
      <c r="AQ181" s="627"/>
      <c r="AR181" s="627"/>
      <c r="AS181" s="627"/>
      <c r="AT181" s="627"/>
      <c r="AU181" s="627"/>
      <c r="AV181" s="627"/>
      <c r="AW181" s="627"/>
      <c r="AX181" s="628"/>
      <c r="AY181" s="629"/>
    </row>
    <row r="182" spans="2:58" ht="15" customHeight="1" x14ac:dyDescent="0.25">
      <c r="B182" s="699"/>
      <c r="C182" s="700"/>
      <c r="D182" s="701"/>
      <c r="E182" s="613"/>
      <c r="F182" s="496"/>
      <c r="G182" s="496"/>
      <c r="H182" s="496"/>
      <c r="I182" s="614"/>
      <c r="J182" s="706" t="s">
        <v>191</v>
      </c>
      <c r="K182" s="707"/>
      <c r="L182" s="707"/>
      <c r="M182" s="707"/>
      <c r="N182" s="707"/>
      <c r="O182" s="708"/>
      <c r="P182" s="652" t="s">
        <v>181</v>
      </c>
      <c r="Q182" s="654" t="s">
        <v>328</v>
      </c>
      <c r="R182" s="655"/>
      <c r="S182" s="633" t="s">
        <v>180</v>
      </c>
      <c r="T182" s="631">
        <v>12</v>
      </c>
      <c r="V182" s="112"/>
      <c r="W182" s="112"/>
      <c r="X182" s="112"/>
      <c r="Y182" s="112"/>
      <c r="Z182" s="112"/>
      <c r="AA182" s="112"/>
      <c r="AB182" s="112"/>
      <c r="AC182" s="112"/>
      <c r="AD182" s="112"/>
      <c r="AE182" s="112"/>
      <c r="AF182" s="112"/>
      <c r="AG182" s="168"/>
      <c r="AH182" s="644" t="s">
        <v>359</v>
      </c>
      <c r="AI182" s="644"/>
      <c r="AJ182" s="761"/>
      <c r="AK182" s="762"/>
      <c r="AL182" s="627" t="str">
        <f t="shared" ref="AL182:AW182" si="82">IF((V183="CUMPLIDO"),"1","0")</f>
        <v>1</v>
      </c>
      <c r="AM182" s="627" t="str">
        <f t="shared" si="82"/>
        <v>1</v>
      </c>
      <c r="AN182" s="627" t="str">
        <f t="shared" si="82"/>
        <v>1</v>
      </c>
      <c r="AO182" s="627" t="str">
        <f t="shared" si="82"/>
        <v>1</v>
      </c>
      <c r="AP182" s="627" t="str">
        <f t="shared" si="82"/>
        <v>1</v>
      </c>
      <c r="AQ182" s="627" t="str">
        <f t="shared" si="82"/>
        <v>0</v>
      </c>
      <c r="AR182" s="627" t="str">
        <f t="shared" si="82"/>
        <v>0</v>
      </c>
      <c r="AS182" s="627" t="str">
        <f t="shared" si="82"/>
        <v>0</v>
      </c>
      <c r="AT182" s="627" t="str">
        <f t="shared" si="82"/>
        <v>0</v>
      </c>
      <c r="AU182" s="627" t="str">
        <f t="shared" si="82"/>
        <v>0</v>
      </c>
      <c r="AV182" s="627" t="str">
        <f t="shared" si="82"/>
        <v>0</v>
      </c>
      <c r="AW182" s="627" t="str">
        <f t="shared" si="82"/>
        <v>0</v>
      </c>
      <c r="AX182" s="628">
        <f>SUM(AL182+AM182+AN182+AO182+AP182+AQ182+AR182+AS182+AT182+AU182+AV182+AW182)</f>
        <v>5</v>
      </c>
      <c r="AY182" s="629">
        <f t="shared" si="68"/>
        <v>0.41666666666666669</v>
      </c>
    </row>
    <row r="183" spans="2:58" ht="15" customHeight="1" x14ac:dyDescent="0.25">
      <c r="B183" s="699"/>
      <c r="C183" s="700"/>
      <c r="D183" s="701"/>
      <c r="E183" s="613"/>
      <c r="F183" s="496"/>
      <c r="G183" s="496"/>
      <c r="H183" s="496"/>
      <c r="I183" s="614"/>
      <c r="J183" s="709"/>
      <c r="K183" s="710"/>
      <c r="L183" s="710"/>
      <c r="M183" s="710"/>
      <c r="N183" s="710"/>
      <c r="O183" s="711"/>
      <c r="P183" s="653"/>
      <c r="Q183" s="656"/>
      <c r="R183" s="657"/>
      <c r="S183" s="634"/>
      <c r="T183" s="632"/>
      <c r="V183" s="136" t="s">
        <v>522</v>
      </c>
      <c r="W183" s="136" t="s">
        <v>522</v>
      </c>
      <c r="X183" s="136" t="s">
        <v>522</v>
      </c>
      <c r="Y183" s="136" t="s">
        <v>522</v>
      </c>
      <c r="Z183" s="136" t="s">
        <v>522</v>
      </c>
      <c r="AA183" s="136" t="s">
        <v>516</v>
      </c>
      <c r="AB183" s="136" t="s">
        <v>516</v>
      </c>
      <c r="AC183" s="136" t="s">
        <v>516</v>
      </c>
      <c r="AD183" s="136" t="s">
        <v>516</v>
      </c>
      <c r="AE183" s="136" t="s">
        <v>516</v>
      </c>
      <c r="AF183" s="136" t="s">
        <v>516</v>
      </c>
      <c r="AG183" s="136" t="s">
        <v>516</v>
      </c>
      <c r="AH183" s="644"/>
      <c r="AI183" s="644"/>
      <c r="AJ183" s="763"/>
      <c r="AK183" s="764"/>
      <c r="AL183" s="627"/>
      <c r="AM183" s="627"/>
      <c r="AN183" s="627"/>
      <c r="AO183" s="627"/>
      <c r="AP183" s="627"/>
      <c r="AQ183" s="627"/>
      <c r="AR183" s="627"/>
      <c r="AS183" s="627"/>
      <c r="AT183" s="627"/>
      <c r="AU183" s="627"/>
      <c r="AV183" s="627"/>
      <c r="AW183" s="627"/>
      <c r="AX183" s="628"/>
      <c r="AY183" s="629"/>
    </row>
    <row r="184" spans="2:58" ht="15" customHeight="1" x14ac:dyDescent="0.25">
      <c r="B184" s="740" t="s">
        <v>67</v>
      </c>
      <c r="C184" s="740"/>
      <c r="D184" s="740"/>
      <c r="E184" s="680" t="s">
        <v>68</v>
      </c>
      <c r="F184" s="680"/>
      <c r="G184" s="680"/>
      <c r="H184" s="680"/>
      <c r="I184" s="680"/>
      <c r="J184" s="795" t="s">
        <v>167</v>
      </c>
      <c r="K184" s="796"/>
      <c r="L184" s="796"/>
      <c r="M184" s="796"/>
      <c r="N184" s="796"/>
      <c r="O184" s="797"/>
      <c r="P184" s="652" t="s">
        <v>447</v>
      </c>
      <c r="Q184" s="654" t="s">
        <v>448</v>
      </c>
      <c r="R184" s="655"/>
      <c r="S184" s="633" t="s">
        <v>180</v>
      </c>
      <c r="T184" s="631">
        <v>1</v>
      </c>
      <c r="V184" s="185"/>
      <c r="W184" s="72"/>
      <c r="X184" s="72"/>
      <c r="Y184" s="112"/>
      <c r="Z184" s="72"/>
      <c r="AA184" s="72"/>
      <c r="AB184" s="72"/>
      <c r="AC184" s="72"/>
      <c r="AD184" s="72"/>
      <c r="AE184" s="72"/>
      <c r="AF184" s="72"/>
      <c r="AG184" s="165"/>
      <c r="AH184" s="645" t="s">
        <v>464</v>
      </c>
      <c r="AI184" s="646"/>
      <c r="AJ184" s="761" t="s">
        <v>525</v>
      </c>
      <c r="AK184" s="762"/>
      <c r="AL184" s="627" t="str">
        <f t="shared" ref="AL184:AW184" si="83">IF((V185="CUMPLIDO"),"1","0")</f>
        <v>0</v>
      </c>
      <c r="AM184" s="627" t="str">
        <f t="shared" si="83"/>
        <v>0</v>
      </c>
      <c r="AN184" s="627" t="str">
        <f t="shared" si="83"/>
        <v>0</v>
      </c>
      <c r="AO184" s="627" t="str">
        <f t="shared" si="83"/>
        <v>0</v>
      </c>
      <c r="AP184" s="627" t="str">
        <f t="shared" si="83"/>
        <v>0</v>
      </c>
      <c r="AQ184" s="627" t="str">
        <f t="shared" si="83"/>
        <v>0</v>
      </c>
      <c r="AR184" s="627" t="str">
        <f t="shared" si="83"/>
        <v>0</v>
      </c>
      <c r="AS184" s="627" t="str">
        <f t="shared" si="83"/>
        <v>0</v>
      </c>
      <c r="AT184" s="627" t="str">
        <f t="shared" si="83"/>
        <v>0</v>
      </c>
      <c r="AU184" s="627" t="str">
        <f t="shared" si="83"/>
        <v>0</v>
      </c>
      <c r="AV184" s="627" t="str">
        <f t="shared" si="83"/>
        <v>0</v>
      </c>
      <c r="AW184" s="627" t="str">
        <f t="shared" si="83"/>
        <v>0</v>
      </c>
      <c r="AX184" s="628">
        <f>SUM(AL184+AM184+AN184+AO184+AP184+AQ184+AR184+AS184+AT184+AU184+AV184+AW184)</f>
        <v>0</v>
      </c>
      <c r="AY184" s="629">
        <f>AX184/1</f>
        <v>0</v>
      </c>
    </row>
    <row r="185" spans="2:58" ht="15" customHeight="1" x14ac:dyDescent="0.25">
      <c r="B185" s="740"/>
      <c r="C185" s="740"/>
      <c r="D185" s="740"/>
      <c r="E185" s="680"/>
      <c r="F185" s="680"/>
      <c r="G185" s="680"/>
      <c r="H185" s="680"/>
      <c r="I185" s="680"/>
      <c r="J185" s="798"/>
      <c r="K185" s="799"/>
      <c r="L185" s="799"/>
      <c r="M185" s="799"/>
      <c r="N185" s="799"/>
      <c r="O185" s="800"/>
      <c r="P185" s="653"/>
      <c r="Q185" s="656"/>
      <c r="R185" s="657"/>
      <c r="S185" s="634"/>
      <c r="T185" s="632"/>
      <c r="V185" s="185"/>
      <c r="W185" s="185"/>
      <c r="X185" s="185"/>
      <c r="Y185" s="136" t="s">
        <v>523</v>
      </c>
      <c r="Z185" s="185"/>
      <c r="AA185" s="185"/>
      <c r="AB185" s="185"/>
      <c r="AC185" s="185"/>
      <c r="AD185" s="185"/>
      <c r="AE185" s="185"/>
      <c r="AF185" s="185"/>
      <c r="AG185" s="165"/>
      <c r="AH185" s="647"/>
      <c r="AI185" s="648"/>
      <c r="AJ185" s="763"/>
      <c r="AK185" s="764"/>
      <c r="AL185" s="627"/>
      <c r="AM185" s="627"/>
      <c r="AN185" s="627"/>
      <c r="AO185" s="627"/>
      <c r="AP185" s="627"/>
      <c r="AQ185" s="627"/>
      <c r="AR185" s="627"/>
      <c r="AS185" s="627"/>
      <c r="AT185" s="627"/>
      <c r="AU185" s="627"/>
      <c r="AV185" s="627"/>
      <c r="AW185" s="627"/>
      <c r="AX185" s="628"/>
      <c r="AY185" s="629"/>
    </row>
    <row r="186" spans="2:58" ht="15" customHeight="1" x14ac:dyDescent="0.25">
      <c r="B186" s="740"/>
      <c r="C186" s="740"/>
      <c r="D186" s="740"/>
      <c r="E186" s="680"/>
      <c r="F186" s="680"/>
      <c r="G186" s="680"/>
      <c r="H186" s="680"/>
      <c r="I186" s="680"/>
      <c r="J186" s="776" t="s">
        <v>168</v>
      </c>
      <c r="K186" s="542"/>
      <c r="L186" s="542"/>
      <c r="M186" s="542"/>
      <c r="N186" s="542"/>
      <c r="O186" s="543"/>
      <c r="P186" s="652" t="s">
        <v>444</v>
      </c>
      <c r="Q186" s="581" t="s">
        <v>446</v>
      </c>
      <c r="R186" s="583"/>
      <c r="S186" s="633" t="s">
        <v>180</v>
      </c>
      <c r="T186" s="631">
        <v>1</v>
      </c>
      <c r="V186" s="112"/>
      <c r="W186" s="185"/>
      <c r="X186" s="185"/>
      <c r="Y186" s="113"/>
      <c r="Z186" s="185"/>
      <c r="AA186" s="185"/>
      <c r="AB186" s="185"/>
      <c r="AC186" s="185"/>
      <c r="AD186" s="185"/>
      <c r="AE186" s="185"/>
      <c r="AF186" s="185"/>
      <c r="AG186" s="165"/>
      <c r="AH186" s="645" t="s">
        <v>462</v>
      </c>
      <c r="AI186" s="646"/>
      <c r="AJ186" s="903" t="s">
        <v>526</v>
      </c>
      <c r="AK186" s="904"/>
      <c r="AL186" s="627" t="str">
        <f t="shared" ref="AL186:AW186" si="84">IF((V187="CUMPLIDO"),"1","0")</f>
        <v>0</v>
      </c>
      <c r="AM186" s="627" t="str">
        <f t="shared" si="84"/>
        <v>0</v>
      </c>
      <c r="AN186" s="627" t="str">
        <f t="shared" si="84"/>
        <v>0</v>
      </c>
      <c r="AO186" s="627" t="str">
        <f t="shared" si="84"/>
        <v>0</v>
      </c>
      <c r="AP186" s="627" t="str">
        <f t="shared" si="84"/>
        <v>0</v>
      </c>
      <c r="AQ186" s="627" t="str">
        <f t="shared" si="84"/>
        <v>0</v>
      </c>
      <c r="AR186" s="627" t="str">
        <f t="shared" si="84"/>
        <v>0</v>
      </c>
      <c r="AS186" s="627" t="str">
        <f t="shared" si="84"/>
        <v>0</v>
      </c>
      <c r="AT186" s="627" t="str">
        <f t="shared" si="84"/>
        <v>0</v>
      </c>
      <c r="AU186" s="627" t="str">
        <f t="shared" si="84"/>
        <v>0</v>
      </c>
      <c r="AV186" s="627" t="str">
        <f t="shared" si="84"/>
        <v>0</v>
      </c>
      <c r="AW186" s="627" t="str">
        <f t="shared" si="84"/>
        <v>0</v>
      </c>
      <c r="AX186" s="628">
        <f>SUM(AL186+AM186+AN186+AO186+AP186+AQ186+AR186+AS186+AT186+AU186+AV186+AW186)</f>
        <v>0</v>
      </c>
      <c r="AY186" s="629">
        <f>AX186/1</f>
        <v>0</v>
      </c>
    </row>
    <row r="187" spans="2:58" ht="15" customHeight="1" x14ac:dyDescent="0.25">
      <c r="B187" s="740"/>
      <c r="C187" s="740"/>
      <c r="D187" s="740"/>
      <c r="E187" s="680"/>
      <c r="F187" s="680"/>
      <c r="G187" s="680"/>
      <c r="H187" s="680"/>
      <c r="I187" s="680"/>
      <c r="J187" s="777"/>
      <c r="K187" s="547"/>
      <c r="L187" s="547"/>
      <c r="M187" s="547"/>
      <c r="N187" s="547"/>
      <c r="O187" s="548"/>
      <c r="P187" s="653"/>
      <c r="Q187" s="587"/>
      <c r="R187" s="589"/>
      <c r="S187" s="634"/>
      <c r="T187" s="632"/>
      <c r="V187" s="136" t="s">
        <v>516</v>
      </c>
      <c r="W187" s="179"/>
      <c r="X187" s="72"/>
      <c r="Y187" s="72"/>
      <c r="Z187" s="72"/>
      <c r="AA187" s="72"/>
      <c r="AB187" s="72"/>
      <c r="AC187" s="72"/>
      <c r="AD187" s="72"/>
      <c r="AE187" s="72"/>
      <c r="AF187" s="72"/>
      <c r="AG187" s="165"/>
      <c r="AH187" s="647"/>
      <c r="AI187" s="648"/>
      <c r="AJ187" s="905"/>
      <c r="AK187" s="906"/>
      <c r="AL187" s="627"/>
      <c r="AM187" s="627"/>
      <c r="AN187" s="627"/>
      <c r="AO187" s="627"/>
      <c r="AP187" s="627"/>
      <c r="AQ187" s="627"/>
      <c r="AR187" s="627"/>
      <c r="AS187" s="627"/>
      <c r="AT187" s="627"/>
      <c r="AU187" s="627"/>
      <c r="AV187" s="627"/>
      <c r="AW187" s="627"/>
      <c r="AX187" s="628"/>
      <c r="AY187" s="629"/>
    </row>
    <row r="188" spans="2:58" ht="15" customHeight="1" x14ac:dyDescent="0.25">
      <c r="B188" s="740"/>
      <c r="C188" s="740"/>
      <c r="D188" s="740"/>
      <c r="E188" s="689" t="s">
        <v>69</v>
      </c>
      <c r="F188" s="594"/>
      <c r="G188" s="594"/>
      <c r="H188" s="594"/>
      <c r="I188" s="690"/>
      <c r="J188" s="776" t="s">
        <v>190</v>
      </c>
      <c r="K188" s="542"/>
      <c r="L188" s="542"/>
      <c r="M188" s="542"/>
      <c r="N188" s="542"/>
      <c r="O188" s="543"/>
      <c r="P188" s="581" t="s">
        <v>444</v>
      </c>
      <c r="Q188" s="801" t="s">
        <v>445</v>
      </c>
      <c r="R188" s="802"/>
      <c r="S188" s="807" t="s">
        <v>180</v>
      </c>
      <c r="T188" s="631">
        <v>12</v>
      </c>
      <c r="V188" s="112"/>
      <c r="W188" s="112"/>
      <c r="X188" s="112"/>
      <c r="Y188" s="112"/>
      <c r="Z188" s="112"/>
      <c r="AA188" s="112"/>
      <c r="AB188" s="112"/>
      <c r="AC188" s="112"/>
      <c r="AD188" s="112"/>
      <c r="AE188" s="112"/>
      <c r="AF188" s="112"/>
      <c r="AG188" s="168"/>
      <c r="AH188" s="645" t="s">
        <v>461</v>
      </c>
      <c r="AI188" s="646"/>
      <c r="AJ188" s="761" t="s">
        <v>527</v>
      </c>
      <c r="AK188" s="762"/>
      <c r="AL188" s="627" t="str">
        <f t="shared" ref="AL188:AW188" si="85">IF((V189="CUMPLIDO"),"1","0")</f>
        <v>1</v>
      </c>
      <c r="AM188" s="627" t="str">
        <f t="shared" si="85"/>
        <v>1</v>
      </c>
      <c r="AN188" s="627" t="str">
        <f t="shared" si="85"/>
        <v>1</v>
      </c>
      <c r="AO188" s="627" t="str">
        <f t="shared" si="85"/>
        <v>1</v>
      </c>
      <c r="AP188" s="627" t="str">
        <f t="shared" si="85"/>
        <v>1</v>
      </c>
      <c r="AQ188" s="627" t="str">
        <f t="shared" si="85"/>
        <v>1</v>
      </c>
      <c r="AR188" s="627" t="str">
        <f t="shared" si="85"/>
        <v>0</v>
      </c>
      <c r="AS188" s="627" t="str">
        <f t="shared" si="85"/>
        <v>0</v>
      </c>
      <c r="AT188" s="627" t="str">
        <f t="shared" si="85"/>
        <v>0</v>
      </c>
      <c r="AU188" s="627" t="str">
        <f t="shared" si="85"/>
        <v>0</v>
      </c>
      <c r="AV188" s="627" t="str">
        <f t="shared" si="85"/>
        <v>0</v>
      </c>
      <c r="AW188" s="627" t="str">
        <f t="shared" si="85"/>
        <v>0</v>
      </c>
      <c r="AX188" s="628">
        <f>SUM(AL188+AM188+AN188+AO188+AP188+AQ188+AR188+AS188+AT188+AU188+AV188+AW188)</f>
        <v>6</v>
      </c>
      <c r="AY188" s="629">
        <f t="shared" si="68"/>
        <v>0.5</v>
      </c>
      <c r="BD188" s="336"/>
      <c r="BE188" s="336" t="s">
        <v>520</v>
      </c>
      <c r="BF188" s="336" t="s">
        <v>521</v>
      </c>
    </row>
    <row r="189" spans="2:58" ht="15" customHeight="1" x14ac:dyDescent="0.25">
      <c r="B189" s="740"/>
      <c r="C189" s="740"/>
      <c r="D189" s="740"/>
      <c r="E189" s="691"/>
      <c r="F189" s="692"/>
      <c r="G189" s="692"/>
      <c r="H189" s="692"/>
      <c r="I189" s="693"/>
      <c r="J189" s="777"/>
      <c r="K189" s="547"/>
      <c r="L189" s="547"/>
      <c r="M189" s="547"/>
      <c r="N189" s="547"/>
      <c r="O189" s="548"/>
      <c r="P189" s="664"/>
      <c r="Q189" s="803"/>
      <c r="R189" s="804"/>
      <c r="S189" s="808"/>
      <c r="T189" s="632"/>
      <c r="V189" s="136" t="s">
        <v>522</v>
      </c>
      <c r="W189" s="136" t="s">
        <v>522</v>
      </c>
      <c r="X189" s="136" t="s">
        <v>522</v>
      </c>
      <c r="Y189" s="136" t="s">
        <v>522</v>
      </c>
      <c r="Z189" s="136" t="s">
        <v>522</v>
      </c>
      <c r="AA189" s="136" t="s">
        <v>522</v>
      </c>
      <c r="AB189" s="136" t="s">
        <v>516</v>
      </c>
      <c r="AC189" s="136" t="s">
        <v>516</v>
      </c>
      <c r="AD189" s="136" t="s">
        <v>516</v>
      </c>
      <c r="AE189" s="136" t="s">
        <v>516</v>
      </c>
      <c r="AF189" s="136" t="s">
        <v>516</v>
      </c>
      <c r="AG189" s="136" t="s">
        <v>516</v>
      </c>
      <c r="AH189" s="647"/>
      <c r="AI189" s="648"/>
      <c r="AJ189" s="763"/>
      <c r="AK189" s="764"/>
      <c r="AL189" s="627"/>
      <c r="AM189" s="627"/>
      <c r="AN189" s="627"/>
      <c r="AO189" s="627"/>
      <c r="AP189" s="627"/>
      <c r="AQ189" s="627"/>
      <c r="AR189" s="627"/>
      <c r="AS189" s="627"/>
      <c r="AT189" s="627"/>
      <c r="AU189" s="627"/>
      <c r="AV189" s="627"/>
      <c r="AW189" s="627"/>
      <c r="AX189" s="628"/>
      <c r="AY189" s="630"/>
      <c r="BD189" s="336"/>
      <c r="BE189" s="336">
        <v>0</v>
      </c>
      <c r="BF189" s="336">
        <v>0</v>
      </c>
    </row>
    <row r="190" spans="2:58" ht="24" customHeight="1" x14ac:dyDescent="0.25">
      <c r="B190" s="730" t="str">
        <f>HYPERLINK("#B6","PERSPECTIVA 1")</f>
        <v>PERSPECTIVA 1</v>
      </c>
      <c r="C190" s="731"/>
      <c r="D190" s="722"/>
      <c r="E190" s="723"/>
      <c r="F190" s="683"/>
      <c r="G190" s="723"/>
      <c r="H190" s="683"/>
      <c r="I190" s="684"/>
      <c r="J190" s="684"/>
      <c r="K190" s="124"/>
      <c r="U190" s="672"/>
      <c r="AJ190" s="204"/>
      <c r="AK190" s="204"/>
      <c r="AL190" s="204"/>
      <c r="AY190" s="316">
        <f>AVERAGE(AY154:AY189)</f>
        <v>0.2435185185185185</v>
      </c>
      <c r="BD190" s="337">
        <f>PI()*AY190</f>
        <v>0.76503598879084767</v>
      </c>
      <c r="BE190" s="336">
        <f>-COS(BD190)</f>
        <v>-0.72135743340025138</v>
      </c>
      <c r="BF190" s="336">
        <f>SIN(BD190)</f>
        <v>0.69256295979369409</v>
      </c>
    </row>
    <row r="191" spans="2:58" ht="30" customHeight="1" x14ac:dyDescent="0.25">
      <c r="B191" s="450" t="s">
        <v>103</v>
      </c>
      <c r="C191" s="450"/>
      <c r="D191" s="450"/>
      <c r="E191" s="658" t="s">
        <v>104</v>
      </c>
      <c r="F191" s="659"/>
      <c r="G191" s="659"/>
      <c r="H191" s="659"/>
      <c r="I191" s="659"/>
      <c r="J191" s="659"/>
      <c r="K191" s="659"/>
      <c r="L191" s="659"/>
      <c r="M191" s="659"/>
      <c r="N191" s="659"/>
      <c r="O191" s="659"/>
      <c r="P191" s="659"/>
      <c r="Q191" s="659"/>
      <c r="R191" s="659"/>
      <c r="S191" s="306"/>
      <c r="T191" s="306"/>
      <c r="U191" s="672"/>
      <c r="V191" s="111"/>
    </row>
    <row r="192" spans="2:58" ht="5.25" customHeight="1" x14ac:dyDescent="0.25">
      <c r="B192" s="7"/>
      <c r="C192" s="7"/>
      <c r="D192" s="7"/>
      <c r="E192" s="672"/>
      <c r="F192" s="672"/>
      <c r="G192" s="672"/>
      <c r="H192" s="672"/>
      <c r="I192" s="672"/>
      <c r="J192" s="672"/>
      <c r="K192" s="672"/>
      <c r="L192" s="672"/>
      <c r="M192" s="672"/>
      <c r="N192" s="672"/>
      <c r="O192" s="672"/>
      <c r="P192" s="672"/>
      <c r="Q192" s="672"/>
      <c r="R192" s="672"/>
      <c r="S192" s="672"/>
      <c r="T192" s="672"/>
      <c r="U192" s="672"/>
    </row>
    <row r="193" spans="2:51" ht="19.5" customHeight="1" x14ac:dyDescent="0.25">
      <c r="B193" s="527" t="s">
        <v>36</v>
      </c>
      <c r="C193" s="527"/>
      <c r="D193" s="527"/>
      <c r="E193" s="624" t="s">
        <v>37</v>
      </c>
      <c r="F193" s="686"/>
      <c r="G193" s="686"/>
      <c r="H193" s="686"/>
      <c r="I193" s="625"/>
      <c r="J193" s="673"/>
      <c r="K193" s="674"/>
      <c r="L193" s="674"/>
      <c r="M193" s="674"/>
      <c r="N193" s="674"/>
      <c r="O193" s="674"/>
      <c r="P193" s="674"/>
      <c r="Q193" s="674"/>
      <c r="R193" s="674"/>
      <c r="S193" s="126"/>
      <c r="T193" s="126"/>
      <c r="U193" s="672"/>
      <c r="V193" s="527" t="s">
        <v>122</v>
      </c>
      <c r="W193" s="527"/>
      <c r="X193" s="527"/>
      <c r="Y193" s="527"/>
      <c r="Z193" s="527"/>
      <c r="AA193" s="527"/>
      <c r="AB193" s="527"/>
      <c r="AC193" s="527"/>
      <c r="AD193" s="527"/>
      <c r="AE193" s="527"/>
      <c r="AF193" s="527"/>
      <c r="AG193" s="527"/>
      <c r="AH193" s="639" t="s">
        <v>205</v>
      </c>
      <c r="AI193" s="640"/>
      <c r="AJ193" s="635" t="s">
        <v>217</v>
      </c>
      <c r="AK193" s="636"/>
      <c r="AL193" s="308"/>
      <c r="AY193" s="527" t="s">
        <v>179</v>
      </c>
    </row>
    <row r="194" spans="2:51" ht="19.5" customHeight="1" x14ac:dyDescent="0.25">
      <c r="B194" s="527"/>
      <c r="C194" s="527"/>
      <c r="D194" s="527"/>
      <c r="E194" s="560"/>
      <c r="F194" s="561"/>
      <c r="G194" s="561"/>
      <c r="H194" s="561"/>
      <c r="I194" s="626"/>
      <c r="J194" s="673" t="s">
        <v>106</v>
      </c>
      <c r="K194" s="674"/>
      <c r="L194" s="674"/>
      <c r="M194" s="674"/>
      <c r="N194" s="674"/>
      <c r="O194" s="675"/>
      <c r="P194" s="134" t="s">
        <v>139</v>
      </c>
      <c r="Q194" s="624" t="s">
        <v>107</v>
      </c>
      <c r="R194" s="625"/>
      <c r="S194" s="126"/>
      <c r="T194" s="126"/>
      <c r="U194" s="672"/>
      <c r="V194" s="96" t="s">
        <v>108</v>
      </c>
      <c r="W194" s="95" t="s">
        <v>109</v>
      </c>
      <c r="X194" s="95" t="s">
        <v>110</v>
      </c>
      <c r="Y194" s="95" t="s">
        <v>111</v>
      </c>
      <c r="Z194" s="95" t="s">
        <v>112</v>
      </c>
      <c r="AA194" s="95" t="s">
        <v>113</v>
      </c>
      <c r="AB194" s="95" t="s">
        <v>114</v>
      </c>
      <c r="AC194" s="94" t="s">
        <v>115</v>
      </c>
      <c r="AD194" s="94" t="s">
        <v>116</v>
      </c>
      <c r="AE194" s="94" t="s">
        <v>117</v>
      </c>
      <c r="AF194" s="94" t="s">
        <v>118</v>
      </c>
      <c r="AG194" s="94" t="s">
        <v>119</v>
      </c>
      <c r="AH194" s="641"/>
      <c r="AI194" s="642"/>
      <c r="AJ194" s="637"/>
      <c r="AK194" s="643"/>
      <c r="AL194" s="308"/>
      <c r="AY194" s="527"/>
    </row>
    <row r="195" spans="2:51" ht="15" customHeight="1" x14ac:dyDescent="0.25">
      <c r="B195" s="609" t="s">
        <v>154</v>
      </c>
      <c r="C195" s="609"/>
      <c r="D195" s="609"/>
      <c r="E195" s="609" t="s">
        <v>72</v>
      </c>
      <c r="F195" s="609"/>
      <c r="G195" s="609"/>
      <c r="H195" s="609"/>
      <c r="I195" s="609"/>
      <c r="J195" s="541" t="s">
        <v>188</v>
      </c>
      <c r="K195" s="542"/>
      <c r="L195" s="542"/>
      <c r="M195" s="542"/>
      <c r="N195" s="542"/>
      <c r="O195" s="543"/>
      <c r="P195" s="676" t="s">
        <v>140</v>
      </c>
      <c r="Q195" s="584" t="s">
        <v>155</v>
      </c>
      <c r="R195" s="586"/>
      <c r="S195" s="633" t="s">
        <v>180</v>
      </c>
      <c r="T195" s="631">
        <v>9</v>
      </c>
      <c r="U195" s="672"/>
      <c r="V195" s="72"/>
      <c r="W195" s="72"/>
      <c r="X195" s="72"/>
      <c r="Y195" s="112"/>
      <c r="Z195" s="112"/>
      <c r="AA195" s="112"/>
      <c r="AB195" s="112"/>
      <c r="AC195" s="112"/>
      <c r="AD195" s="112"/>
      <c r="AE195" s="112"/>
      <c r="AF195" s="112"/>
      <c r="AG195" s="161"/>
      <c r="AH195" s="645" t="s">
        <v>466</v>
      </c>
      <c r="AI195" s="646"/>
      <c r="AJ195" s="791">
        <v>500</v>
      </c>
      <c r="AK195" s="792"/>
      <c r="AL195" s="627" t="str">
        <f t="shared" ref="AL195:AW195" si="86">IF((V196="CUMPLIDO"),"1","0")</f>
        <v>0</v>
      </c>
      <c r="AM195" s="627" t="str">
        <f t="shared" si="86"/>
        <v>0</v>
      </c>
      <c r="AN195" s="627" t="str">
        <f t="shared" si="86"/>
        <v>0</v>
      </c>
      <c r="AO195" s="627" t="str">
        <f t="shared" si="86"/>
        <v>1</v>
      </c>
      <c r="AP195" s="627" t="str">
        <f t="shared" si="86"/>
        <v>1</v>
      </c>
      <c r="AQ195" s="627" t="str">
        <f t="shared" si="86"/>
        <v>0</v>
      </c>
      <c r="AR195" s="627" t="str">
        <f t="shared" si="86"/>
        <v>0</v>
      </c>
      <c r="AS195" s="627" t="str">
        <f t="shared" si="86"/>
        <v>0</v>
      </c>
      <c r="AT195" s="627" t="str">
        <f t="shared" si="86"/>
        <v>0</v>
      </c>
      <c r="AU195" s="627" t="str">
        <f t="shared" si="86"/>
        <v>0</v>
      </c>
      <c r="AV195" s="627" t="str">
        <f t="shared" si="86"/>
        <v>0</v>
      </c>
      <c r="AW195" s="627" t="str">
        <f t="shared" si="86"/>
        <v>0</v>
      </c>
      <c r="AX195" s="628">
        <f>SUM(AL195+AM195+AN195+AO195+AP195+AQ195+AR195+AS195+AT195+AU195+AV195+AW195)</f>
        <v>2</v>
      </c>
      <c r="AY195" s="629">
        <f>AX195/9</f>
        <v>0.22222222222222221</v>
      </c>
    </row>
    <row r="196" spans="2:51" ht="15" customHeight="1" x14ac:dyDescent="0.25">
      <c r="B196" s="609"/>
      <c r="C196" s="609"/>
      <c r="D196" s="609"/>
      <c r="E196" s="609"/>
      <c r="F196" s="609"/>
      <c r="G196" s="609"/>
      <c r="H196" s="609"/>
      <c r="I196" s="609"/>
      <c r="J196" s="546"/>
      <c r="K196" s="547"/>
      <c r="L196" s="547"/>
      <c r="M196" s="547"/>
      <c r="N196" s="547"/>
      <c r="O196" s="548"/>
      <c r="P196" s="653"/>
      <c r="Q196" s="664"/>
      <c r="R196" s="665"/>
      <c r="S196" s="634"/>
      <c r="T196" s="632"/>
      <c r="U196" s="672"/>
      <c r="V196" s="97"/>
      <c r="W196" s="97"/>
      <c r="X196" s="97"/>
      <c r="Y196" s="136" t="s">
        <v>522</v>
      </c>
      <c r="Z196" s="136" t="s">
        <v>522</v>
      </c>
      <c r="AA196" s="136" t="s">
        <v>516</v>
      </c>
      <c r="AB196" s="136" t="s">
        <v>516</v>
      </c>
      <c r="AC196" s="136" t="s">
        <v>516</v>
      </c>
      <c r="AD196" s="136" t="s">
        <v>516</v>
      </c>
      <c r="AE196" s="136" t="s">
        <v>516</v>
      </c>
      <c r="AF196" s="136" t="s">
        <v>516</v>
      </c>
      <c r="AG196" s="136" t="s">
        <v>516</v>
      </c>
      <c r="AH196" s="647"/>
      <c r="AI196" s="648"/>
      <c r="AJ196" s="793"/>
      <c r="AK196" s="794"/>
      <c r="AL196" s="627"/>
      <c r="AM196" s="627"/>
      <c r="AN196" s="627"/>
      <c r="AO196" s="627"/>
      <c r="AP196" s="627"/>
      <c r="AQ196" s="627"/>
      <c r="AR196" s="627"/>
      <c r="AS196" s="627"/>
      <c r="AT196" s="627"/>
      <c r="AU196" s="627"/>
      <c r="AV196" s="627"/>
      <c r="AW196" s="627"/>
      <c r="AX196" s="628"/>
      <c r="AY196" s="629"/>
    </row>
    <row r="197" spans="2:51" ht="15" customHeight="1" x14ac:dyDescent="0.25">
      <c r="B197" s="609"/>
      <c r="C197" s="609"/>
      <c r="D197" s="609"/>
      <c r="E197" s="609"/>
      <c r="F197" s="609"/>
      <c r="G197" s="609"/>
      <c r="H197" s="609"/>
      <c r="I197" s="609"/>
      <c r="J197" s="541" t="s">
        <v>169</v>
      </c>
      <c r="K197" s="542"/>
      <c r="L197" s="542"/>
      <c r="M197" s="542"/>
      <c r="N197" s="542"/>
      <c r="O197" s="543"/>
      <c r="P197" s="652" t="s">
        <v>263</v>
      </c>
      <c r="Q197" s="660" t="s">
        <v>384</v>
      </c>
      <c r="R197" s="661"/>
      <c r="S197" s="633" t="s">
        <v>180</v>
      </c>
      <c r="T197" s="631">
        <v>3</v>
      </c>
      <c r="V197" s="72"/>
      <c r="W197" s="72"/>
      <c r="X197" s="174"/>
      <c r="Y197" s="176"/>
      <c r="Z197" s="176"/>
      <c r="AA197" s="174"/>
      <c r="AB197" s="176"/>
      <c r="AC197" s="176"/>
      <c r="AD197" s="174"/>
      <c r="AE197" s="72"/>
      <c r="AF197" s="72"/>
      <c r="AG197" s="165"/>
      <c r="AH197" s="651" t="s">
        <v>385</v>
      </c>
      <c r="AI197" s="651"/>
      <c r="AJ197" s="789">
        <v>3000</v>
      </c>
      <c r="AK197" s="790"/>
      <c r="AL197" s="627" t="str">
        <f t="shared" ref="AL197:AW197" si="87">IF((V198="CUMPLIDO"),"1","0")</f>
        <v>0</v>
      </c>
      <c r="AM197" s="627" t="str">
        <f t="shared" si="87"/>
        <v>0</v>
      </c>
      <c r="AN197" s="627" t="str">
        <f t="shared" si="87"/>
        <v>1</v>
      </c>
      <c r="AO197" s="627" t="str">
        <f t="shared" si="87"/>
        <v>0</v>
      </c>
      <c r="AP197" s="627" t="str">
        <f t="shared" si="87"/>
        <v>0</v>
      </c>
      <c r="AQ197" s="627" t="str">
        <f t="shared" si="87"/>
        <v>0</v>
      </c>
      <c r="AR197" s="627" t="str">
        <f t="shared" si="87"/>
        <v>0</v>
      </c>
      <c r="AS197" s="627" t="str">
        <f t="shared" si="87"/>
        <v>0</v>
      </c>
      <c r="AT197" s="627" t="str">
        <f t="shared" si="87"/>
        <v>0</v>
      </c>
      <c r="AU197" s="627" t="str">
        <f t="shared" si="87"/>
        <v>0</v>
      </c>
      <c r="AV197" s="627" t="str">
        <f t="shared" si="87"/>
        <v>0</v>
      </c>
      <c r="AW197" s="627" t="str">
        <f t="shared" si="87"/>
        <v>0</v>
      </c>
      <c r="AX197" s="628">
        <f>SUM(AL197+AM197+AN197+AO197+AP197+AQ197+AR197+AS197+AT197+AU197+AV197+AW197)</f>
        <v>1</v>
      </c>
      <c r="AY197" s="629">
        <f>AX197/3</f>
        <v>0.33333333333333331</v>
      </c>
    </row>
    <row r="198" spans="2:51" ht="15" customHeight="1" x14ac:dyDescent="0.25">
      <c r="B198" s="609"/>
      <c r="C198" s="609"/>
      <c r="D198" s="609"/>
      <c r="E198" s="609"/>
      <c r="F198" s="609"/>
      <c r="G198" s="609"/>
      <c r="H198" s="609"/>
      <c r="I198" s="609"/>
      <c r="J198" s="546"/>
      <c r="K198" s="547"/>
      <c r="L198" s="547"/>
      <c r="M198" s="547"/>
      <c r="N198" s="547"/>
      <c r="O198" s="548"/>
      <c r="P198" s="653"/>
      <c r="Q198" s="662"/>
      <c r="R198" s="663"/>
      <c r="S198" s="634"/>
      <c r="T198" s="632"/>
      <c r="V198" s="172"/>
      <c r="W198" s="165"/>
      <c r="X198" s="136" t="s">
        <v>522</v>
      </c>
      <c r="Y198" s="159"/>
      <c r="Z198" s="159"/>
      <c r="AA198" s="136" t="s">
        <v>516</v>
      </c>
      <c r="AB198" s="159"/>
      <c r="AC198" s="159"/>
      <c r="AD198" s="136" t="s">
        <v>516</v>
      </c>
      <c r="AE198" s="179"/>
      <c r="AF198" s="172"/>
      <c r="AG198" s="165"/>
      <c r="AH198" s="644"/>
      <c r="AI198" s="644"/>
      <c r="AJ198" s="763"/>
      <c r="AK198" s="764"/>
      <c r="AL198" s="627"/>
      <c r="AM198" s="627"/>
      <c r="AN198" s="627"/>
      <c r="AO198" s="627"/>
      <c r="AP198" s="627"/>
      <c r="AQ198" s="627"/>
      <c r="AR198" s="627"/>
      <c r="AS198" s="627"/>
      <c r="AT198" s="627"/>
      <c r="AU198" s="627"/>
      <c r="AV198" s="627"/>
      <c r="AW198" s="627"/>
      <c r="AX198" s="628"/>
      <c r="AY198" s="629"/>
    </row>
    <row r="199" spans="2:51" ht="15" customHeight="1" x14ac:dyDescent="0.25">
      <c r="B199" s="609"/>
      <c r="C199" s="609"/>
      <c r="D199" s="609"/>
      <c r="E199" s="609"/>
      <c r="F199" s="609"/>
      <c r="G199" s="609"/>
      <c r="H199" s="609"/>
      <c r="I199" s="609"/>
      <c r="J199" s="541" t="s">
        <v>276</v>
      </c>
      <c r="K199" s="542"/>
      <c r="L199" s="542"/>
      <c r="M199" s="542"/>
      <c r="N199" s="542"/>
      <c r="O199" s="543"/>
      <c r="P199" s="652" t="s">
        <v>263</v>
      </c>
      <c r="Q199" s="581" t="s">
        <v>386</v>
      </c>
      <c r="R199" s="583"/>
      <c r="S199" s="633" t="s">
        <v>180</v>
      </c>
      <c r="T199" s="631">
        <v>2</v>
      </c>
      <c r="V199" s="164"/>
      <c r="W199" s="112"/>
      <c r="X199" s="169"/>
      <c r="Y199" s="169"/>
      <c r="Z199" s="169"/>
      <c r="AA199" s="169"/>
      <c r="AB199" s="169"/>
      <c r="AC199" s="175"/>
      <c r="AD199" s="169"/>
      <c r="AE199" s="164"/>
      <c r="AF199" s="164"/>
      <c r="AG199" s="165"/>
      <c r="AH199" s="644" t="s">
        <v>385</v>
      </c>
      <c r="AI199" s="644"/>
      <c r="AJ199" s="761">
        <v>1800</v>
      </c>
      <c r="AK199" s="762"/>
      <c r="AL199" s="627" t="str">
        <f t="shared" ref="AL199:AW199" si="88">IF((V200="CUMPLIDO"),"1","0")</f>
        <v>0</v>
      </c>
      <c r="AM199" s="627" t="str">
        <f t="shared" si="88"/>
        <v>1</v>
      </c>
      <c r="AN199" s="627" t="str">
        <f t="shared" si="88"/>
        <v>0</v>
      </c>
      <c r="AO199" s="627" t="str">
        <f t="shared" si="88"/>
        <v>0</v>
      </c>
      <c r="AP199" s="627" t="str">
        <f t="shared" si="88"/>
        <v>0</v>
      </c>
      <c r="AQ199" s="627" t="str">
        <f t="shared" si="88"/>
        <v>0</v>
      </c>
      <c r="AR199" s="627" t="str">
        <f t="shared" si="88"/>
        <v>0</v>
      </c>
      <c r="AS199" s="627" t="str">
        <f t="shared" si="88"/>
        <v>0</v>
      </c>
      <c r="AT199" s="627" t="str">
        <f t="shared" si="88"/>
        <v>0</v>
      </c>
      <c r="AU199" s="627" t="str">
        <f t="shared" si="88"/>
        <v>0</v>
      </c>
      <c r="AV199" s="627" t="str">
        <f t="shared" si="88"/>
        <v>0</v>
      </c>
      <c r="AW199" s="627" t="str">
        <f t="shared" si="88"/>
        <v>0</v>
      </c>
      <c r="AX199" s="628">
        <f>SUM(AL199+AM199+AN199+AO199+AP199+AQ199+AR199+AS199+AT199+AU199+AV199+AW199)</f>
        <v>1</v>
      </c>
      <c r="AY199" s="629">
        <f>AX199/2</f>
        <v>0.5</v>
      </c>
    </row>
    <row r="200" spans="2:51" ht="15" customHeight="1" x14ac:dyDescent="0.25">
      <c r="B200" s="609"/>
      <c r="C200" s="609"/>
      <c r="D200" s="609"/>
      <c r="E200" s="609"/>
      <c r="F200" s="609"/>
      <c r="G200" s="609"/>
      <c r="H200" s="609"/>
      <c r="I200" s="609"/>
      <c r="J200" s="546"/>
      <c r="K200" s="547"/>
      <c r="L200" s="547"/>
      <c r="M200" s="547"/>
      <c r="N200" s="547"/>
      <c r="O200" s="548"/>
      <c r="P200" s="653"/>
      <c r="Q200" s="664"/>
      <c r="R200" s="665"/>
      <c r="S200" s="634"/>
      <c r="T200" s="632"/>
      <c r="V200" s="172"/>
      <c r="W200" s="136" t="s">
        <v>522</v>
      </c>
      <c r="X200" s="169"/>
      <c r="Y200" s="169"/>
      <c r="Z200" s="169"/>
      <c r="AA200" s="169"/>
      <c r="AB200" s="169"/>
      <c r="AC200" s="136" t="s">
        <v>516</v>
      </c>
      <c r="AD200" s="169"/>
      <c r="AE200" s="172"/>
      <c r="AF200" s="172"/>
      <c r="AG200" s="165"/>
      <c r="AH200" s="644"/>
      <c r="AI200" s="644"/>
      <c r="AJ200" s="763"/>
      <c r="AK200" s="764"/>
      <c r="AL200" s="627"/>
      <c r="AM200" s="627"/>
      <c r="AN200" s="627"/>
      <c r="AO200" s="627"/>
      <c r="AP200" s="627"/>
      <c r="AQ200" s="627"/>
      <c r="AR200" s="627"/>
      <c r="AS200" s="627"/>
      <c r="AT200" s="627"/>
      <c r="AU200" s="627"/>
      <c r="AV200" s="627"/>
      <c r="AW200" s="627"/>
      <c r="AX200" s="628"/>
      <c r="AY200" s="629"/>
    </row>
    <row r="201" spans="2:51" ht="15" customHeight="1" x14ac:dyDescent="0.25">
      <c r="B201" s="609"/>
      <c r="C201" s="609"/>
      <c r="D201" s="609"/>
      <c r="E201" s="609"/>
      <c r="F201" s="609"/>
      <c r="G201" s="609"/>
      <c r="H201" s="609"/>
      <c r="I201" s="609"/>
      <c r="J201" s="541" t="s">
        <v>170</v>
      </c>
      <c r="K201" s="542"/>
      <c r="L201" s="542"/>
      <c r="M201" s="542"/>
      <c r="N201" s="542"/>
      <c r="O201" s="543"/>
      <c r="P201" s="652" t="s">
        <v>263</v>
      </c>
      <c r="Q201" s="654" t="s">
        <v>387</v>
      </c>
      <c r="R201" s="655"/>
      <c r="S201" s="633" t="s">
        <v>180</v>
      </c>
      <c r="T201" s="631">
        <v>2</v>
      </c>
      <c r="V201" s="97"/>
      <c r="W201" s="97"/>
      <c r="X201" s="97"/>
      <c r="Y201" s="97"/>
      <c r="Z201" s="97"/>
      <c r="AA201" s="97"/>
      <c r="AB201" s="97"/>
      <c r="AC201" s="112"/>
      <c r="AD201" s="112"/>
      <c r="AE201" s="97"/>
      <c r="AF201" s="97"/>
      <c r="AG201" s="165"/>
      <c r="AH201" s="644" t="s">
        <v>388</v>
      </c>
      <c r="AI201" s="644"/>
      <c r="AJ201" s="761"/>
      <c r="AK201" s="762"/>
      <c r="AL201" s="627" t="str">
        <f t="shared" ref="AL201:AW201" si="89">IF((V202="CUMPLIDO"),"1","0")</f>
        <v>0</v>
      </c>
      <c r="AM201" s="627" t="str">
        <f t="shared" si="89"/>
        <v>0</v>
      </c>
      <c r="AN201" s="627" t="str">
        <f t="shared" si="89"/>
        <v>0</v>
      </c>
      <c r="AO201" s="627" t="str">
        <f t="shared" si="89"/>
        <v>0</v>
      </c>
      <c r="AP201" s="627" t="str">
        <f t="shared" si="89"/>
        <v>0</v>
      </c>
      <c r="AQ201" s="627" t="str">
        <f t="shared" si="89"/>
        <v>0</v>
      </c>
      <c r="AR201" s="627" t="str">
        <f t="shared" si="89"/>
        <v>0</v>
      </c>
      <c r="AS201" s="627" t="str">
        <f t="shared" si="89"/>
        <v>0</v>
      </c>
      <c r="AT201" s="627" t="str">
        <f t="shared" si="89"/>
        <v>0</v>
      </c>
      <c r="AU201" s="627" t="str">
        <f t="shared" si="89"/>
        <v>0</v>
      </c>
      <c r="AV201" s="627" t="str">
        <f t="shared" si="89"/>
        <v>0</v>
      </c>
      <c r="AW201" s="627" t="str">
        <f t="shared" si="89"/>
        <v>0</v>
      </c>
      <c r="AX201" s="628">
        <f>SUM(AL201+AM201+AN201+AO201+AP201+AQ201+AR201+AS201+AT201+AU201+AV201+AW201)</f>
        <v>0</v>
      </c>
      <c r="AY201" s="629">
        <f>AX201/2</f>
        <v>0</v>
      </c>
    </row>
    <row r="202" spans="2:51" ht="15" customHeight="1" x14ac:dyDescent="0.25">
      <c r="B202" s="609"/>
      <c r="C202" s="609"/>
      <c r="D202" s="609"/>
      <c r="E202" s="609"/>
      <c r="F202" s="609"/>
      <c r="G202" s="609"/>
      <c r="H202" s="609"/>
      <c r="I202" s="609"/>
      <c r="J202" s="546"/>
      <c r="K202" s="547"/>
      <c r="L202" s="547"/>
      <c r="M202" s="547"/>
      <c r="N202" s="547"/>
      <c r="O202" s="548"/>
      <c r="P202" s="653"/>
      <c r="Q202" s="656"/>
      <c r="R202" s="657"/>
      <c r="S202" s="634"/>
      <c r="T202" s="632"/>
      <c r="V202" s="172"/>
      <c r="W202" s="172"/>
      <c r="X202" s="172"/>
      <c r="Y202" s="172"/>
      <c r="Z202" s="172"/>
      <c r="AA202" s="172"/>
      <c r="AB202" s="172"/>
      <c r="AC202" s="136" t="s">
        <v>516</v>
      </c>
      <c r="AD202" s="136" t="s">
        <v>516</v>
      </c>
      <c r="AE202" s="172"/>
      <c r="AF202" s="172"/>
      <c r="AG202" s="165"/>
      <c r="AH202" s="644"/>
      <c r="AI202" s="644"/>
      <c r="AJ202" s="763"/>
      <c r="AK202" s="764"/>
      <c r="AL202" s="627"/>
      <c r="AM202" s="627"/>
      <c r="AN202" s="627"/>
      <c r="AO202" s="627"/>
      <c r="AP202" s="627"/>
      <c r="AQ202" s="627"/>
      <c r="AR202" s="627"/>
      <c r="AS202" s="627"/>
      <c r="AT202" s="627"/>
      <c r="AU202" s="627"/>
      <c r="AV202" s="627"/>
      <c r="AW202" s="627"/>
      <c r="AX202" s="628"/>
      <c r="AY202" s="629"/>
    </row>
    <row r="203" spans="2:51" ht="15" customHeight="1" x14ac:dyDescent="0.25">
      <c r="B203" s="609"/>
      <c r="C203" s="609"/>
      <c r="D203" s="609"/>
      <c r="E203" s="609"/>
      <c r="F203" s="609"/>
      <c r="G203" s="609"/>
      <c r="H203" s="609"/>
      <c r="I203" s="609"/>
      <c r="J203" s="541" t="s">
        <v>171</v>
      </c>
      <c r="K203" s="542"/>
      <c r="L203" s="542"/>
      <c r="M203" s="542"/>
      <c r="N203" s="542"/>
      <c r="O203" s="543"/>
      <c r="P203" s="652" t="s">
        <v>263</v>
      </c>
      <c r="Q203" s="660" t="s">
        <v>389</v>
      </c>
      <c r="R203" s="661"/>
      <c r="S203" s="633" t="s">
        <v>180</v>
      </c>
      <c r="T203" s="631">
        <v>2</v>
      </c>
      <c r="V203" s="97"/>
      <c r="W203" s="97"/>
      <c r="X203" s="97"/>
      <c r="Y203" s="97"/>
      <c r="Z203" s="112"/>
      <c r="AA203" s="112"/>
      <c r="AB203" s="97"/>
      <c r="AC203" s="97"/>
      <c r="AD203" s="97"/>
      <c r="AE203" s="97"/>
      <c r="AF203" s="97"/>
      <c r="AG203" s="165"/>
      <c r="AH203" s="644" t="s">
        <v>390</v>
      </c>
      <c r="AI203" s="644"/>
      <c r="AJ203" s="761"/>
      <c r="AK203" s="762"/>
      <c r="AL203" s="627" t="str">
        <f t="shared" ref="AL203:AW203" si="90">IF((V204="CUMPLIDO"),"1","0")</f>
        <v>0</v>
      </c>
      <c r="AM203" s="627" t="str">
        <f t="shared" si="90"/>
        <v>0</v>
      </c>
      <c r="AN203" s="627" t="str">
        <f t="shared" si="90"/>
        <v>0</v>
      </c>
      <c r="AO203" s="627" t="str">
        <f t="shared" si="90"/>
        <v>0</v>
      </c>
      <c r="AP203" s="627" t="str">
        <f t="shared" si="90"/>
        <v>0</v>
      </c>
      <c r="AQ203" s="627" t="str">
        <f t="shared" si="90"/>
        <v>0</v>
      </c>
      <c r="AR203" s="627" t="str">
        <f t="shared" si="90"/>
        <v>0</v>
      </c>
      <c r="AS203" s="627" t="str">
        <f t="shared" si="90"/>
        <v>0</v>
      </c>
      <c r="AT203" s="627" t="str">
        <f t="shared" si="90"/>
        <v>0</v>
      </c>
      <c r="AU203" s="627" t="str">
        <f t="shared" si="90"/>
        <v>0</v>
      </c>
      <c r="AV203" s="627" t="str">
        <f t="shared" si="90"/>
        <v>0</v>
      </c>
      <c r="AW203" s="627" t="str">
        <f t="shared" si="90"/>
        <v>0</v>
      </c>
      <c r="AX203" s="628">
        <f>SUM(AL203+AM203+AN203+AO203+AP203+AQ203+AR203+AS203+AT203+AU203+AV203+AW203)</f>
        <v>0</v>
      </c>
      <c r="AY203" s="629">
        <f>AX203/2</f>
        <v>0</v>
      </c>
    </row>
    <row r="204" spans="2:51" ht="15" customHeight="1" x14ac:dyDescent="0.25">
      <c r="B204" s="609"/>
      <c r="C204" s="609"/>
      <c r="D204" s="609"/>
      <c r="E204" s="609"/>
      <c r="F204" s="609"/>
      <c r="G204" s="609"/>
      <c r="H204" s="609"/>
      <c r="I204" s="609"/>
      <c r="J204" s="546"/>
      <c r="K204" s="547"/>
      <c r="L204" s="547"/>
      <c r="M204" s="547"/>
      <c r="N204" s="547"/>
      <c r="O204" s="548"/>
      <c r="P204" s="653"/>
      <c r="Q204" s="662"/>
      <c r="R204" s="663"/>
      <c r="S204" s="634"/>
      <c r="T204" s="632"/>
      <c r="V204" s="172"/>
      <c r="W204" s="172"/>
      <c r="X204" s="172"/>
      <c r="Y204" s="172"/>
      <c r="Z204" s="136" t="s">
        <v>516</v>
      </c>
      <c r="AA204" s="136" t="s">
        <v>516</v>
      </c>
      <c r="AB204" s="172"/>
      <c r="AC204" s="172"/>
      <c r="AD204" s="172"/>
      <c r="AE204" s="172"/>
      <c r="AF204" s="172"/>
      <c r="AG204" s="165"/>
      <c r="AH204" s="644"/>
      <c r="AI204" s="644"/>
      <c r="AJ204" s="763"/>
      <c r="AK204" s="764"/>
      <c r="AL204" s="627"/>
      <c r="AM204" s="627"/>
      <c r="AN204" s="627"/>
      <c r="AO204" s="627"/>
      <c r="AP204" s="627"/>
      <c r="AQ204" s="627"/>
      <c r="AR204" s="627"/>
      <c r="AS204" s="627"/>
      <c r="AT204" s="627"/>
      <c r="AU204" s="627"/>
      <c r="AV204" s="627"/>
      <c r="AW204" s="627"/>
      <c r="AX204" s="628"/>
      <c r="AY204" s="629"/>
    </row>
    <row r="205" spans="2:51" ht="15" customHeight="1" x14ac:dyDescent="0.25">
      <c r="B205" s="609"/>
      <c r="C205" s="609"/>
      <c r="D205" s="609"/>
      <c r="E205" s="609"/>
      <c r="F205" s="609"/>
      <c r="G205" s="609"/>
      <c r="H205" s="609"/>
      <c r="I205" s="609"/>
      <c r="J205" s="666" t="s">
        <v>172</v>
      </c>
      <c r="K205" s="667"/>
      <c r="L205" s="667"/>
      <c r="M205" s="667"/>
      <c r="N205" s="667"/>
      <c r="O205" s="668"/>
      <c r="P205" s="652" t="s">
        <v>263</v>
      </c>
      <c r="Q205" s="581" t="s">
        <v>391</v>
      </c>
      <c r="R205" s="583"/>
      <c r="S205" s="633" t="s">
        <v>180</v>
      </c>
      <c r="T205" s="631">
        <v>1</v>
      </c>
      <c r="V205" s="97"/>
      <c r="W205" s="97"/>
      <c r="X205" s="97"/>
      <c r="Y205" s="97"/>
      <c r="Z205" s="97"/>
      <c r="AA205" s="97"/>
      <c r="AB205" s="112"/>
      <c r="AC205" s="97"/>
      <c r="AD205" s="97"/>
      <c r="AE205" s="97"/>
      <c r="AF205" s="97"/>
      <c r="AG205" s="165"/>
      <c r="AH205" s="644" t="s">
        <v>392</v>
      </c>
      <c r="AI205" s="644"/>
      <c r="AJ205" s="761"/>
      <c r="AK205" s="762"/>
      <c r="AL205" s="627" t="str">
        <f t="shared" ref="AL205:AW205" si="91">IF((V206="CUMPLIDO"),"1","0")</f>
        <v>0</v>
      </c>
      <c r="AM205" s="627" t="str">
        <f t="shared" si="91"/>
        <v>0</v>
      </c>
      <c r="AN205" s="627" t="str">
        <f t="shared" si="91"/>
        <v>0</v>
      </c>
      <c r="AO205" s="627" t="str">
        <f t="shared" si="91"/>
        <v>0</v>
      </c>
      <c r="AP205" s="627" t="str">
        <f t="shared" si="91"/>
        <v>0</v>
      </c>
      <c r="AQ205" s="627" t="str">
        <f t="shared" si="91"/>
        <v>0</v>
      </c>
      <c r="AR205" s="627" t="str">
        <f t="shared" si="91"/>
        <v>0</v>
      </c>
      <c r="AS205" s="627" t="str">
        <f t="shared" si="91"/>
        <v>0</v>
      </c>
      <c r="AT205" s="627" t="str">
        <f t="shared" si="91"/>
        <v>0</v>
      </c>
      <c r="AU205" s="627" t="str">
        <f t="shared" si="91"/>
        <v>0</v>
      </c>
      <c r="AV205" s="627" t="str">
        <f t="shared" si="91"/>
        <v>0</v>
      </c>
      <c r="AW205" s="627" t="str">
        <f t="shared" si="91"/>
        <v>0</v>
      </c>
      <c r="AX205" s="628">
        <f>SUM(AL205+AM205+AN205+AO205+AP205+AQ205+AR205+AS205+AT205+AU205+AV205+AW205)</f>
        <v>0</v>
      </c>
      <c r="AY205" s="629">
        <f>AX205/1</f>
        <v>0</v>
      </c>
    </row>
    <row r="206" spans="2:51" ht="15" customHeight="1" x14ac:dyDescent="0.25">
      <c r="B206" s="609"/>
      <c r="C206" s="609"/>
      <c r="D206" s="609"/>
      <c r="E206" s="609"/>
      <c r="F206" s="609"/>
      <c r="G206" s="609"/>
      <c r="H206" s="609"/>
      <c r="I206" s="609"/>
      <c r="J206" s="669"/>
      <c r="K206" s="670"/>
      <c r="L206" s="670"/>
      <c r="M206" s="670"/>
      <c r="N206" s="670"/>
      <c r="O206" s="671"/>
      <c r="P206" s="653"/>
      <c r="Q206" s="664"/>
      <c r="R206" s="665"/>
      <c r="S206" s="634"/>
      <c r="T206" s="632"/>
      <c r="V206" s="172"/>
      <c r="W206" s="172"/>
      <c r="X206" s="172"/>
      <c r="Y206" s="172"/>
      <c r="Z206" s="172"/>
      <c r="AA206" s="172"/>
      <c r="AB206" s="136" t="s">
        <v>516</v>
      </c>
      <c r="AC206" s="172"/>
      <c r="AD206" s="172"/>
      <c r="AE206" s="172"/>
      <c r="AF206" s="172"/>
      <c r="AG206" s="165"/>
      <c r="AH206" s="644"/>
      <c r="AI206" s="644"/>
      <c r="AJ206" s="763"/>
      <c r="AK206" s="764"/>
      <c r="AL206" s="627"/>
      <c r="AM206" s="627"/>
      <c r="AN206" s="627"/>
      <c r="AO206" s="627"/>
      <c r="AP206" s="627"/>
      <c r="AQ206" s="627"/>
      <c r="AR206" s="627"/>
      <c r="AS206" s="627"/>
      <c r="AT206" s="627"/>
      <c r="AU206" s="627"/>
      <c r="AV206" s="627"/>
      <c r="AW206" s="627"/>
      <c r="AX206" s="628"/>
      <c r="AY206" s="629"/>
    </row>
    <row r="207" spans="2:51" ht="15" customHeight="1" x14ac:dyDescent="0.25">
      <c r="B207" s="609"/>
      <c r="C207" s="609"/>
      <c r="D207" s="609"/>
      <c r="E207" s="609"/>
      <c r="F207" s="609"/>
      <c r="G207" s="609"/>
      <c r="H207" s="609"/>
      <c r="I207" s="609"/>
      <c r="J207" s="541" t="s">
        <v>173</v>
      </c>
      <c r="K207" s="542"/>
      <c r="L207" s="542"/>
      <c r="M207" s="542"/>
      <c r="N207" s="542"/>
      <c r="O207" s="543"/>
      <c r="P207" s="652" t="s">
        <v>263</v>
      </c>
      <c r="Q207" s="654" t="s">
        <v>393</v>
      </c>
      <c r="R207" s="655"/>
      <c r="S207" s="633" t="s">
        <v>180</v>
      </c>
      <c r="T207" s="631">
        <v>2</v>
      </c>
      <c r="V207" s="172"/>
      <c r="W207" s="172"/>
      <c r="X207" s="172"/>
      <c r="Y207" s="112"/>
      <c r="Z207" s="172"/>
      <c r="AA207" s="172"/>
      <c r="AB207" s="172"/>
      <c r="AC207" s="172"/>
      <c r="AD207" s="172"/>
      <c r="AE207" s="112"/>
      <c r="AF207" s="172"/>
      <c r="AG207" s="165"/>
      <c r="AH207" s="644" t="s">
        <v>394</v>
      </c>
      <c r="AI207" s="644"/>
      <c r="AJ207" s="761"/>
      <c r="AK207" s="762"/>
      <c r="AL207" s="627" t="str">
        <f t="shared" ref="AL207:AW207" si="92">IF((V208="CUMPLIDO"),"1","0")</f>
        <v>0</v>
      </c>
      <c r="AM207" s="627" t="str">
        <f t="shared" si="92"/>
        <v>0</v>
      </c>
      <c r="AN207" s="627" t="str">
        <f t="shared" si="92"/>
        <v>0</v>
      </c>
      <c r="AO207" s="627" t="str">
        <f t="shared" si="92"/>
        <v>1</v>
      </c>
      <c r="AP207" s="627" t="str">
        <f t="shared" si="92"/>
        <v>0</v>
      </c>
      <c r="AQ207" s="627" t="str">
        <f t="shared" si="92"/>
        <v>0</v>
      </c>
      <c r="AR207" s="627" t="str">
        <f t="shared" si="92"/>
        <v>0</v>
      </c>
      <c r="AS207" s="627" t="str">
        <f t="shared" si="92"/>
        <v>0</v>
      </c>
      <c r="AT207" s="627" t="str">
        <f t="shared" si="92"/>
        <v>0</v>
      </c>
      <c r="AU207" s="627" t="str">
        <f t="shared" si="92"/>
        <v>0</v>
      </c>
      <c r="AV207" s="627" t="str">
        <f t="shared" si="92"/>
        <v>0</v>
      </c>
      <c r="AW207" s="627" t="str">
        <f t="shared" si="92"/>
        <v>0</v>
      </c>
      <c r="AX207" s="628">
        <f>SUM(AL207+AM207+AN207+AO207+AP207+AQ207+AR207+AS207+AT207+AU207+AV207+AW207)</f>
        <v>1</v>
      </c>
      <c r="AY207" s="629">
        <f>AX207/2</f>
        <v>0.5</v>
      </c>
    </row>
    <row r="208" spans="2:51" ht="15" customHeight="1" x14ac:dyDescent="0.25">
      <c r="B208" s="609"/>
      <c r="C208" s="609"/>
      <c r="D208" s="609"/>
      <c r="E208" s="609"/>
      <c r="F208" s="609"/>
      <c r="G208" s="609"/>
      <c r="H208" s="609"/>
      <c r="I208" s="609"/>
      <c r="J208" s="546"/>
      <c r="K208" s="547"/>
      <c r="L208" s="547"/>
      <c r="M208" s="547"/>
      <c r="N208" s="547"/>
      <c r="O208" s="548"/>
      <c r="P208" s="653"/>
      <c r="Q208" s="656"/>
      <c r="R208" s="657"/>
      <c r="S208" s="634"/>
      <c r="T208" s="632"/>
      <c r="V208" s="97"/>
      <c r="W208" s="97"/>
      <c r="X208" s="97"/>
      <c r="Y208" s="136" t="s">
        <v>522</v>
      </c>
      <c r="Z208" s="169"/>
      <c r="AA208" s="169"/>
      <c r="AB208" s="169"/>
      <c r="AC208" s="169"/>
      <c r="AD208" s="169"/>
      <c r="AE208" s="136" t="s">
        <v>516</v>
      </c>
      <c r="AF208" s="97"/>
      <c r="AG208" s="165"/>
      <c r="AH208" s="644"/>
      <c r="AI208" s="644"/>
      <c r="AJ208" s="763"/>
      <c r="AK208" s="764"/>
      <c r="AL208" s="627"/>
      <c r="AM208" s="627"/>
      <c r="AN208" s="627"/>
      <c r="AO208" s="627"/>
      <c r="AP208" s="627"/>
      <c r="AQ208" s="627"/>
      <c r="AR208" s="627"/>
      <c r="AS208" s="627"/>
      <c r="AT208" s="627"/>
      <c r="AU208" s="627"/>
      <c r="AV208" s="627"/>
      <c r="AW208" s="627"/>
      <c r="AX208" s="628"/>
      <c r="AY208" s="629"/>
    </row>
    <row r="209" spans="2:51" ht="15" customHeight="1" x14ac:dyDescent="0.25">
      <c r="B209" s="620" t="s">
        <v>75</v>
      </c>
      <c r="C209" s="620"/>
      <c r="D209" s="620"/>
      <c r="E209" s="578" t="s">
        <v>73</v>
      </c>
      <c r="F209" s="578"/>
      <c r="G209" s="578"/>
      <c r="H209" s="578"/>
      <c r="I209" s="578"/>
      <c r="J209" s="541" t="s">
        <v>174</v>
      </c>
      <c r="K209" s="542"/>
      <c r="L209" s="542"/>
      <c r="M209" s="542"/>
      <c r="N209" s="542"/>
      <c r="O209" s="543"/>
      <c r="P209" s="652" t="s">
        <v>212</v>
      </c>
      <c r="Q209" s="654" t="s">
        <v>441</v>
      </c>
      <c r="R209" s="655"/>
      <c r="S209" s="633" t="s">
        <v>180</v>
      </c>
      <c r="T209" s="631">
        <v>1</v>
      </c>
      <c r="V209" s="72"/>
      <c r="W209" s="72"/>
      <c r="X209" s="72"/>
      <c r="Y209" s="112"/>
      <c r="Z209" s="72"/>
      <c r="AA209" s="72"/>
      <c r="AB209" s="72"/>
      <c r="AC209" s="72"/>
      <c r="AD209" s="72"/>
      <c r="AE209" s="72"/>
      <c r="AF209" s="72"/>
      <c r="AG209" s="165"/>
      <c r="AH209" s="644" t="s">
        <v>394</v>
      </c>
      <c r="AI209" s="644"/>
      <c r="AJ209" s="761"/>
      <c r="AK209" s="762"/>
      <c r="AL209" s="627" t="str">
        <f t="shared" ref="AL209:AW209" si="93">IF((V210="CUMPLIDO"),"1","0")</f>
        <v>0</v>
      </c>
      <c r="AM209" s="627" t="str">
        <f t="shared" si="93"/>
        <v>0</v>
      </c>
      <c r="AN209" s="627" t="str">
        <f t="shared" si="93"/>
        <v>0</v>
      </c>
      <c r="AO209" s="627" t="str">
        <f t="shared" si="93"/>
        <v>1</v>
      </c>
      <c r="AP209" s="627" t="str">
        <f t="shared" si="93"/>
        <v>0</v>
      </c>
      <c r="AQ209" s="627" t="str">
        <f t="shared" si="93"/>
        <v>0</v>
      </c>
      <c r="AR209" s="627" t="str">
        <f t="shared" si="93"/>
        <v>0</v>
      </c>
      <c r="AS209" s="627" t="str">
        <f t="shared" si="93"/>
        <v>0</v>
      </c>
      <c r="AT209" s="627" t="str">
        <f t="shared" si="93"/>
        <v>0</v>
      </c>
      <c r="AU209" s="627" t="str">
        <f t="shared" si="93"/>
        <v>0</v>
      </c>
      <c r="AV209" s="627" t="str">
        <f t="shared" si="93"/>
        <v>0</v>
      </c>
      <c r="AW209" s="627" t="str">
        <f t="shared" si="93"/>
        <v>0</v>
      </c>
      <c r="AX209" s="628">
        <f>SUM(AL209+AM209+AN209+AO209+AP209+AQ209+AR209+AS209+AT209+AU209+AV209+AW209)</f>
        <v>1</v>
      </c>
      <c r="AY209" s="629">
        <f>AX209/1</f>
        <v>1</v>
      </c>
    </row>
    <row r="210" spans="2:51" ht="15" customHeight="1" x14ac:dyDescent="0.25">
      <c r="B210" s="620"/>
      <c r="C210" s="620"/>
      <c r="D210" s="620"/>
      <c r="E210" s="578"/>
      <c r="F210" s="578"/>
      <c r="G210" s="578"/>
      <c r="H210" s="578"/>
      <c r="I210" s="578"/>
      <c r="J210" s="546"/>
      <c r="K210" s="547"/>
      <c r="L210" s="547"/>
      <c r="M210" s="547"/>
      <c r="N210" s="547"/>
      <c r="O210" s="548"/>
      <c r="P210" s="653"/>
      <c r="Q210" s="656"/>
      <c r="R210" s="657"/>
      <c r="S210" s="634"/>
      <c r="T210" s="632"/>
      <c r="V210" s="172"/>
      <c r="W210" s="172"/>
      <c r="X210" s="172"/>
      <c r="Y210" s="136" t="s">
        <v>522</v>
      </c>
      <c r="Z210" s="172"/>
      <c r="AA210" s="172"/>
      <c r="AB210" s="172"/>
      <c r="AC210" s="172"/>
      <c r="AD210" s="172"/>
      <c r="AE210" s="172"/>
      <c r="AF210" s="172"/>
      <c r="AG210" s="165"/>
      <c r="AH210" s="644"/>
      <c r="AI210" s="644"/>
      <c r="AJ210" s="763"/>
      <c r="AK210" s="764"/>
      <c r="AL210" s="627"/>
      <c r="AM210" s="627"/>
      <c r="AN210" s="627"/>
      <c r="AO210" s="627"/>
      <c r="AP210" s="627"/>
      <c r="AQ210" s="627"/>
      <c r="AR210" s="627"/>
      <c r="AS210" s="627"/>
      <c r="AT210" s="627"/>
      <c r="AU210" s="627"/>
      <c r="AV210" s="627"/>
      <c r="AW210" s="627"/>
      <c r="AX210" s="628"/>
      <c r="AY210" s="629"/>
    </row>
    <row r="211" spans="2:51" ht="15" customHeight="1" x14ac:dyDescent="0.25">
      <c r="B211" s="620"/>
      <c r="C211" s="620"/>
      <c r="D211" s="620"/>
      <c r="E211" s="578"/>
      <c r="F211" s="578"/>
      <c r="G211" s="578"/>
      <c r="H211" s="578"/>
      <c r="I211" s="578"/>
      <c r="J211" s="541" t="s">
        <v>189</v>
      </c>
      <c r="K211" s="542"/>
      <c r="L211" s="542"/>
      <c r="M211" s="542"/>
      <c r="N211" s="542"/>
      <c r="O211" s="543"/>
      <c r="P211" s="652" t="s">
        <v>397</v>
      </c>
      <c r="Q211" s="654" t="s">
        <v>398</v>
      </c>
      <c r="R211" s="655"/>
      <c r="S211" s="633" t="s">
        <v>180</v>
      </c>
      <c r="T211" s="631">
        <v>1</v>
      </c>
      <c r="V211" s="72"/>
      <c r="W211" s="112"/>
      <c r="X211" s="72"/>
      <c r="Y211" s="72"/>
      <c r="Z211" s="72"/>
      <c r="AA211" s="72"/>
      <c r="AB211" s="72"/>
      <c r="AC211" s="72"/>
      <c r="AD211" s="72"/>
      <c r="AE211" s="72"/>
      <c r="AF211" s="72"/>
      <c r="AG211" s="165"/>
      <c r="AH211" s="644" t="s">
        <v>399</v>
      </c>
      <c r="AI211" s="644"/>
      <c r="AJ211" s="761"/>
      <c r="AK211" s="762"/>
      <c r="AL211" s="627" t="str">
        <f t="shared" ref="AL211:AW211" si="94">IF((V212="CUMPLIDO"),"1","0")</f>
        <v>0</v>
      </c>
      <c r="AM211" s="627" t="str">
        <f t="shared" si="94"/>
        <v>0</v>
      </c>
      <c r="AN211" s="627" t="str">
        <f t="shared" si="94"/>
        <v>0</v>
      </c>
      <c r="AO211" s="627" t="str">
        <f t="shared" si="94"/>
        <v>0</v>
      </c>
      <c r="AP211" s="627" t="str">
        <f t="shared" si="94"/>
        <v>0</v>
      </c>
      <c r="AQ211" s="627" t="str">
        <f t="shared" si="94"/>
        <v>0</v>
      </c>
      <c r="AR211" s="627" t="str">
        <f t="shared" si="94"/>
        <v>0</v>
      </c>
      <c r="AS211" s="627" t="str">
        <f t="shared" si="94"/>
        <v>0</v>
      </c>
      <c r="AT211" s="627" t="str">
        <f t="shared" si="94"/>
        <v>0</v>
      </c>
      <c r="AU211" s="627" t="str">
        <f t="shared" si="94"/>
        <v>0</v>
      </c>
      <c r="AV211" s="627" t="str">
        <f t="shared" si="94"/>
        <v>0</v>
      </c>
      <c r="AW211" s="627" t="str">
        <f t="shared" si="94"/>
        <v>0</v>
      </c>
      <c r="AX211" s="628">
        <f>SUM(AL211+AM211+AN211+AO211+AP211+AQ211+AR211+AS211+AT211+AU211+AV211+AW211)</f>
        <v>0</v>
      </c>
      <c r="AY211" s="629">
        <f>AX211/1</f>
        <v>0</v>
      </c>
    </row>
    <row r="212" spans="2:51" ht="15" customHeight="1" x14ac:dyDescent="0.25">
      <c r="B212" s="738"/>
      <c r="C212" s="738"/>
      <c r="D212" s="738"/>
      <c r="E212" s="739"/>
      <c r="F212" s="739"/>
      <c r="G212" s="739"/>
      <c r="H212" s="739"/>
      <c r="I212" s="739"/>
      <c r="J212" s="546"/>
      <c r="K212" s="547"/>
      <c r="L212" s="547"/>
      <c r="M212" s="547"/>
      <c r="N212" s="547"/>
      <c r="O212" s="548"/>
      <c r="P212" s="653"/>
      <c r="Q212" s="656"/>
      <c r="R212" s="657"/>
      <c r="S212" s="634"/>
      <c r="T212" s="632"/>
      <c r="V212" s="172"/>
      <c r="W212" s="136" t="s">
        <v>516</v>
      </c>
      <c r="X212" s="172"/>
      <c r="Y212" s="172"/>
      <c r="Z212" s="172"/>
      <c r="AA212" s="172"/>
      <c r="AB212" s="172"/>
      <c r="AC212" s="172"/>
      <c r="AD212" s="172"/>
      <c r="AE212" s="172"/>
      <c r="AF212" s="172"/>
      <c r="AG212" s="165"/>
      <c r="AH212" s="644"/>
      <c r="AI212" s="644"/>
      <c r="AJ212" s="763"/>
      <c r="AK212" s="764"/>
      <c r="AL212" s="627"/>
      <c r="AM212" s="627"/>
      <c r="AN212" s="627"/>
      <c r="AO212" s="627"/>
      <c r="AP212" s="627"/>
      <c r="AQ212" s="627"/>
      <c r="AR212" s="627"/>
      <c r="AS212" s="627"/>
      <c r="AT212" s="627"/>
      <c r="AU212" s="627"/>
      <c r="AV212" s="627"/>
      <c r="AW212" s="627"/>
      <c r="AX212" s="628"/>
      <c r="AY212" s="629"/>
    </row>
    <row r="213" spans="2:51" ht="15" customHeight="1" x14ac:dyDescent="0.25">
      <c r="B213" s="738"/>
      <c r="C213" s="738"/>
      <c r="D213" s="738"/>
      <c r="E213" s="739"/>
      <c r="F213" s="739"/>
      <c r="G213" s="739"/>
      <c r="H213" s="739"/>
      <c r="I213" s="739"/>
      <c r="J213" s="541" t="s">
        <v>175</v>
      </c>
      <c r="K213" s="542"/>
      <c r="L213" s="542"/>
      <c r="M213" s="542"/>
      <c r="N213" s="542"/>
      <c r="O213" s="543"/>
      <c r="P213" s="652" t="s">
        <v>263</v>
      </c>
      <c r="Q213" s="654" t="s">
        <v>395</v>
      </c>
      <c r="R213" s="655"/>
      <c r="S213" s="633" t="s">
        <v>180</v>
      </c>
      <c r="T213" s="631">
        <v>2</v>
      </c>
      <c r="V213" s="172"/>
      <c r="W213" s="112"/>
      <c r="X213" s="172"/>
      <c r="Y213" s="172"/>
      <c r="Z213" s="172"/>
      <c r="AA213" s="172"/>
      <c r="AB213" s="112"/>
      <c r="AC213" s="172"/>
      <c r="AD213" s="172"/>
      <c r="AE213" s="172"/>
      <c r="AF213" s="172"/>
      <c r="AG213" s="165"/>
      <c r="AH213" s="644" t="s">
        <v>396</v>
      </c>
      <c r="AI213" s="644"/>
      <c r="AJ213" s="761">
        <v>2000</v>
      </c>
      <c r="AK213" s="762"/>
      <c r="AL213" s="627" t="str">
        <f t="shared" ref="AL213:AW213" si="95">IF((V214="CUMPLIDO"),"1","0")</f>
        <v>0</v>
      </c>
      <c r="AM213" s="627" t="str">
        <f t="shared" si="95"/>
        <v>1</v>
      </c>
      <c r="AN213" s="627" t="str">
        <f t="shared" si="95"/>
        <v>0</v>
      </c>
      <c r="AO213" s="627" t="str">
        <f t="shared" si="95"/>
        <v>0</v>
      </c>
      <c r="AP213" s="627" t="str">
        <f t="shared" si="95"/>
        <v>0</v>
      </c>
      <c r="AQ213" s="627" t="str">
        <f t="shared" si="95"/>
        <v>0</v>
      </c>
      <c r="AR213" s="627" t="str">
        <f t="shared" si="95"/>
        <v>0</v>
      </c>
      <c r="AS213" s="627" t="str">
        <f t="shared" si="95"/>
        <v>0</v>
      </c>
      <c r="AT213" s="627" t="str">
        <f t="shared" si="95"/>
        <v>0</v>
      </c>
      <c r="AU213" s="627" t="str">
        <f t="shared" si="95"/>
        <v>0</v>
      </c>
      <c r="AV213" s="627" t="str">
        <f t="shared" si="95"/>
        <v>0</v>
      </c>
      <c r="AW213" s="627" t="str">
        <f t="shared" si="95"/>
        <v>0</v>
      </c>
      <c r="AX213" s="628">
        <f>SUM(AL213+AM213+AN213+AO213+AP213+AQ213+AR213+AS213+AT213+AU213+AV213+AW213)</f>
        <v>1</v>
      </c>
      <c r="AY213" s="629">
        <f>AX213/1</f>
        <v>1</v>
      </c>
    </row>
    <row r="214" spans="2:51" ht="15" customHeight="1" x14ac:dyDescent="0.25">
      <c r="B214" s="738"/>
      <c r="C214" s="738"/>
      <c r="D214" s="738"/>
      <c r="E214" s="739"/>
      <c r="F214" s="739"/>
      <c r="G214" s="739"/>
      <c r="H214" s="739"/>
      <c r="I214" s="739"/>
      <c r="J214" s="546"/>
      <c r="K214" s="547"/>
      <c r="L214" s="547"/>
      <c r="M214" s="547"/>
      <c r="N214" s="547"/>
      <c r="O214" s="548"/>
      <c r="P214" s="653"/>
      <c r="Q214" s="656"/>
      <c r="R214" s="657"/>
      <c r="S214" s="634"/>
      <c r="T214" s="632"/>
      <c r="V214" s="72"/>
      <c r="W214" s="136" t="s">
        <v>522</v>
      </c>
      <c r="X214" s="72"/>
      <c r="Y214" s="72"/>
      <c r="Z214" s="72"/>
      <c r="AA214" s="72"/>
      <c r="AB214" s="136" t="s">
        <v>516</v>
      </c>
      <c r="AC214" s="72"/>
      <c r="AD214" s="72"/>
      <c r="AE214" s="72"/>
      <c r="AF214" s="72"/>
      <c r="AG214" s="165"/>
      <c r="AH214" s="644"/>
      <c r="AI214" s="644"/>
      <c r="AJ214" s="763"/>
      <c r="AK214" s="764"/>
      <c r="AL214" s="627"/>
      <c r="AM214" s="627"/>
      <c r="AN214" s="627"/>
      <c r="AO214" s="627"/>
      <c r="AP214" s="627"/>
      <c r="AQ214" s="627"/>
      <c r="AR214" s="627"/>
      <c r="AS214" s="627"/>
      <c r="AT214" s="627"/>
      <c r="AU214" s="627"/>
      <c r="AV214" s="627"/>
      <c r="AW214" s="627"/>
      <c r="AX214" s="628"/>
      <c r="AY214" s="629"/>
    </row>
    <row r="215" spans="2:51" ht="15" customHeight="1" x14ac:dyDescent="0.25">
      <c r="B215" s="505" t="s">
        <v>76</v>
      </c>
      <c r="C215" s="506"/>
      <c r="D215" s="677"/>
      <c r="E215" s="680" t="s">
        <v>74</v>
      </c>
      <c r="F215" s="680"/>
      <c r="G215" s="680"/>
      <c r="H215" s="680"/>
      <c r="I215" s="680"/>
      <c r="J215" s="515" t="s">
        <v>449</v>
      </c>
      <c r="K215" s="515"/>
      <c r="L215" s="515"/>
      <c r="M215" s="515"/>
      <c r="N215" s="515"/>
      <c r="O215" s="516"/>
      <c r="P215" s="652" t="s">
        <v>212</v>
      </c>
      <c r="Q215" s="654" t="s">
        <v>340</v>
      </c>
      <c r="R215" s="655"/>
      <c r="S215" s="633" t="s">
        <v>180</v>
      </c>
      <c r="T215" s="631">
        <v>2</v>
      </c>
      <c r="V215" s="112"/>
      <c r="W215" s="112"/>
      <c r="X215" s="166"/>
      <c r="Y215" s="166"/>
      <c r="Z215" s="166"/>
      <c r="AA215" s="166"/>
      <c r="AB215" s="166"/>
      <c r="AC215" s="166"/>
      <c r="AD215" s="166"/>
      <c r="AE215" s="166"/>
      <c r="AF215" s="166"/>
      <c r="AG215" s="165"/>
      <c r="AH215" s="644" t="s">
        <v>341</v>
      </c>
      <c r="AI215" s="644"/>
      <c r="AJ215" s="761"/>
      <c r="AK215" s="762"/>
      <c r="AL215" s="627" t="str">
        <f t="shared" ref="AL215:AW215" si="96">IF((V216="CUMPLIDO"),"1","0")</f>
        <v>0</v>
      </c>
      <c r="AM215" s="627" t="str">
        <f t="shared" si="96"/>
        <v>0</v>
      </c>
      <c r="AN215" s="627" t="str">
        <f t="shared" si="96"/>
        <v>0</v>
      </c>
      <c r="AO215" s="627" t="str">
        <f t="shared" si="96"/>
        <v>0</v>
      </c>
      <c r="AP215" s="627" t="str">
        <f t="shared" si="96"/>
        <v>0</v>
      </c>
      <c r="AQ215" s="627" t="str">
        <f t="shared" si="96"/>
        <v>0</v>
      </c>
      <c r="AR215" s="627" t="str">
        <f t="shared" si="96"/>
        <v>0</v>
      </c>
      <c r="AS215" s="627" t="str">
        <f t="shared" si="96"/>
        <v>0</v>
      </c>
      <c r="AT215" s="627" t="str">
        <f t="shared" si="96"/>
        <v>0</v>
      </c>
      <c r="AU215" s="627" t="str">
        <f t="shared" si="96"/>
        <v>0</v>
      </c>
      <c r="AV215" s="627" t="str">
        <f t="shared" si="96"/>
        <v>0</v>
      </c>
      <c r="AW215" s="627" t="str">
        <f t="shared" si="96"/>
        <v>0</v>
      </c>
      <c r="AX215" s="628">
        <f>SUM(AL215+AM215+AN215+AO215+AP215+AQ215+AR215+AS215+AT215+AU215+AV215+AW215)</f>
        <v>0</v>
      </c>
      <c r="AY215" s="629">
        <f>AX215/2</f>
        <v>0</v>
      </c>
    </row>
    <row r="216" spans="2:51" ht="15" customHeight="1" x14ac:dyDescent="0.25">
      <c r="B216" s="508"/>
      <c r="C216" s="509"/>
      <c r="D216" s="678"/>
      <c r="E216" s="680"/>
      <c r="F216" s="680"/>
      <c r="G216" s="680"/>
      <c r="H216" s="680"/>
      <c r="I216" s="680"/>
      <c r="J216" s="521"/>
      <c r="K216" s="521"/>
      <c r="L216" s="521"/>
      <c r="M216" s="521"/>
      <c r="N216" s="521"/>
      <c r="O216" s="522"/>
      <c r="P216" s="653"/>
      <c r="Q216" s="656"/>
      <c r="R216" s="657"/>
      <c r="S216" s="634"/>
      <c r="T216" s="632"/>
      <c r="V216" s="136" t="s">
        <v>516</v>
      </c>
      <c r="W216" s="136" t="s">
        <v>516</v>
      </c>
      <c r="X216" s="166"/>
      <c r="Y216" s="166"/>
      <c r="Z216" s="166"/>
      <c r="AA216" s="166"/>
      <c r="AB216" s="166"/>
      <c r="AC216" s="166"/>
      <c r="AD216" s="166"/>
      <c r="AE216" s="166"/>
      <c r="AF216" s="166"/>
      <c r="AG216" s="165"/>
      <c r="AH216" s="644"/>
      <c r="AI216" s="644"/>
      <c r="AJ216" s="763"/>
      <c r="AK216" s="764"/>
      <c r="AL216" s="627"/>
      <c r="AM216" s="627"/>
      <c r="AN216" s="627"/>
      <c r="AO216" s="627"/>
      <c r="AP216" s="627"/>
      <c r="AQ216" s="627"/>
      <c r="AR216" s="627"/>
      <c r="AS216" s="627"/>
      <c r="AT216" s="627"/>
      <c r="AU216" s="627"/>
      <c r="AV216" s="627"/>
      <c r="AW216" s="627"/>
      <c r="AX216" s="628"/>
      <c r="AY216" s="629"/>
    </row>
    <row r="217" spans="2:51" ht="15" customHeight="1" x14ac:dyDescent="0.25">
      <c r="B217" s="508"/>
      <c r="C217" s="509"/>
      <c r="D217" s="678"/>
      <c r="E217" s="680"/>
      <c r="F217" s="680"/>
      <c r="G217" s="680"/>
      <c r="H217" s="680"/>
      <c r="I217" s="680"/>
      <c r="J217" s="515" t="s">
        <v>346</v>
      </c>
      <c r="K217" s="515"/>
      <c r="L217" s="515"/>
      <c r="M217" s="515"/>
      <c r="N217" s="515"/>
      <c r="O217" s="516"/>
      <c r="P217" s="652" t="s">
        <v>194</v>
      </c>
      <c r="Q217" s="654" t="s">
        <v>344</v>
      </c>
      <c r="R217" s="655"/>
      <c r="S217" s="633" t="s">
        <v>180</v>
      </c>
      <c r="T217" s="631">
        <v>12</v>
      </c>
      <c r="V217" s="112"/>
      <c r="W217" s="112"/>
      <c r="X217" s="112"/>
      <c r="Y217" s="112"/>
      <c r="Z217" s="112"/>
      <c r="AA217" s="112"/>
      <c r="AB217" s="112"/>
      <c r="AC217" s="112"/>
      <c r="AD217" s="112"/>
      <c r="AE217" s="112"/>
      <c r="AF217" s="112"/>
      <c r="AG217" s="168"/>
      <c r="AH217" s="645" t="s">
        <v>347</v>
      </c>
      <c r="AI217" s="646"/>
      <c r="AJ217" s="761"/>
      <c r="AK217" s="762"/>
      <c r="AL217" s="627" t="str">
        <f t="shared" ref="AL217:AW217" si="97">IF((V218="CUMPLIDO"),"1","0")</f>
        <v>0</v>
      </c>
      <c r="AM217" s="627" t="str">
        <f t="shared" si="97"/>
        <v>0</v>
      </c>
      <c r="AN217" s="627" t="str">
        <f t="shared" si="97"/>
        <v>0</v>
      </c>
      <c r="AO217" s="627" t="str">
        <f t="shared" si="97"/>
        <v>0</v>
      </c>
      <c r="AP217" s="627" t="str">
        <f t="shared" si="97"/>
        <v>0</v>
      </c>
      <c r="AQ217" s="627" t="str">
        <f t="shared" si="97"/>
        <v>0</v>
      </c>
      <c r="AR217" s="627" t="str">
        <f t="shared" si="97"/>
        <v>0</v>
      </c>
      <c r="AS217" s="627" t="str">
        <f t="shared" si="97"/>
        <v>0</v>
      </c>
      <c r="AT217" s="627" t="str">
        <f t="shared" si="97"/>
        <v>0</v>
      </c>
      <c r="AU217" s="627" t="str">
        <f t="shared" si="97"/>
        <v>0</v>
      </c>
      <c r="AV217" s="627" t="str">
        <f t="shared" si="97"/>
        <v>0</v>
      </c>
      <c r="AW217" s="627" t="str">
        <f t="shared" si="97"/>
        <v>0</v>
      </c>
      <c r="AX217" s="628">
        <f>SUM(AL217+AM217+AN217+AO217+AP217+AQ217+AR217+AS217+AT217+AU217+AV217+AW217)</f>
        <v>0</v>
      </c>
      <c r="AY217" s="629">
        <f t="shared" ref="AY217" si="98">AX217/12</f>
        <v>0</v>
      </c>
    </row>
    <row r="218" spans="2:51" ht="15" customHeight="1" x14ac:dyDescent="0.25">
      <c r="B218" s="508"/>
      <c r="C218" s="509"/>
      <c r="D218" s="678"/>
      <c r="E218" s="680"/>
      <c r="F218" s="680"/>
      <c r="G218" s="680"/>
      <c r="H218" s="680"/>
      <c r="I218" s="680"/>
      <c r="J218" s="521"/>
      <c r="K218" s="521"/>
      <c r="L218" s="521"/>
      <c r="M218" s="521"/>
      <c r="N218" s="521"/>
      <c r="O218" s="522"/>
      <c r="P218" s="653"/>
      <c r="Q218" s="656"/>
      <c r="R218" s="657"/>
      <c r="S218" s="634"/>
      <c r="T218" s="632"/>
      <c r="V218" s="136" t="s">
        <v>516</v>
      </c>
      <c r="W218" s="136" t="s">
        <v>516</v>
      </c>
      <c r="X218" s="136" t="s">
        <v>516</v>
      </c>
      <c r="Y218" s="136" t="s">
        <v>516</v>
      </c>
      <c r="Z218" s="136" t="s">
        <v>516</v>
      </c>
      <c r="AA218" s="136" t="s">
        <v>516</v>
      </c>
      <c r="AB218" s="136" t="s">
        <v>516</v>
      </c>
      <c r="AC218" s="136" t="s">
        <v>516</v>
      </c>
      <c r="AD218" s="136" t="s">
        <v>516</v>
      </c>
      <c r="AE218" s="136" t="s">
        <v>516</v>
      </c>
      <c r="AF218" s="136" t="s">
        <v>516</v>
      </c>
      <c r="AG218" s="136" t="s">
        <v>516</v>
      </c>
      <c r="AH218" s="647"/>
      <c r="AI218" s="648"/>
      <c r="AJ218" s="763"/>
      <c r="AK218" s="764"/>
      <c r="AL218" s="627"/>
      <c r="AM218" s="627"/>
      <c r="AN218" s="627"/>
      <c r="AO218" s="627"/>
      <c r="AP218" s="627"/>
      <c r="AQ218" s="627"/>
      <c r="AR218" s="627"/>
      <c r="AS218" s="627"/>
      <c r="AT218" s="627"/>
      <c r="AU218" s="627"/>
      <c r="AV218" s="627"/>
      <c r="AW218" s="627"/>
      <c r="AX218" s="628"/>
      <c r="AY218" s="629"/>
    </row>
    <row r="219" spans="2:51" ht="15" customHeight="1" x14ac:dyDescent="0.25">
      <c r="B219" s="508"/>
      <c r="C219" s="509"/>
      <c r="D219" s="678"/>
      <c r="E219" s="680"/>
      <c r="F219" s="680"/>
      <c r="G219" s="680"/>
      <c r="H219" s="680"/>
      <c r="I219" s="680"/>
      <c r="J219" s="542" t="s">
        <v>342</v>
      </c>
      <c r="K219" s="542"/>
      <c r="L219" s="542"/>
      <c r="M219" s="542"/>
      <c r="N219" s="542"/>
      <c r="O219" s="543"/>
      <c r="P219" s="652" t="s">
        <v>343</v>
      </c>
      <c r="Q219" s="654" t="s">
        <v>344</v>
      </c>
      <c r="R219" s="655"/>
      <c r="S219" s="633" t="s">
        <v>180</v>
      </c>
      <c r="T219" s="631">
        <v>1</v>
      </c>
      <c r="V219" s="166"/>
      <c r="W219" s="166"/>
      <c r="X219" s="166"/>
      <c r="Y219" s="112"/>
      <c r="Z219" s="166"/>
      <c r="AA219" s="166"/>
      <c r="AB219" s="166"/>
      <c r="AC219" s="166"/>
      <c r="AD219" s="166"/>
      <c r="AE219" s="166"/>
      <c r="AF219" s="166"/>
      <c r="AG219" s="165"/>
      <c r="AH219" s="645" t="s">
        <v>345</v>
      </c>
      <c r="AI219" s="646"/>
      <c r="AJ219" s="761"/>
      <c r="AK219" s="762"/>
      <c r="AL219" s="627" t="str">
        <f t="shared" ref="AL219:AW219" si="99">IF((V220="CUMPLIDO"),"1","0")</f>
        <v>0</v>
      </c>
      <c r="AM219" s="627" t="str">
        <f t="shared" si="99"/>
        <v>0</v>
      </c>
      <c r="AN219" s="627" t="str">
        <f t="shared" si="99"/>
        <v>0</v>
      </c>
      <c r="AO219" s="627" t="str">
        <f t="shared" si="99"/>
        <v>0</v>
      </c>
      <c r="AP219" s="627" t="str">
        <f t="shared" si="99"/>
        <v>0</v>
      </c>
      <c r="AQ219" s="627" t="str">
        <f t="shared" si="99"/>
        <v>0</v>
      </c>
      <c r="AR219" s="627" t="str">
        <f t="shared" si="99"/>
        <v>0</v>
      </c>
      <c r="AS219" s="627" t="str">
        <f t="shared" si="99"/>
        <v>0</v>
      </c>
      <c r="AT219" s="627" t="str">
        <f t="shared" si="99"/>
        <v>0</v>
      </c>
      <c r="AU219" s="627" t="str">
        <f t="shared" si="99"/>
        <v>0</v>
      </c>
      <c r="AV219" s="627" t="str">
        <f t="shared" si="99"/>
        <v>0</v>
      </c>
      <c r="AW219" s="627" t="str">
        <f t="shared" si="99"/>
        <v>0</v>
      </c>
      <c r="AX219" s="628">
        <f>SUM(AL219+AM219+AN219+AO219+AP219+AQ219+AR219+AS219+AT219+AU219+AV219+AW219)</f>
        <v>0</v>
      </c>
      <c r="AY219" s="629">
        <f>AX219/1</f>
        <v>0</v>
      </c>
    </row>
    <row r="220" spans="2:51" ht="15" customHeight="1" x14ac:dyDescent="0.25">
      <c r="B220" s="508"/>
      <c r="C220" s="509"/>
      <c r="D220" s="678"/>
      <c r="E220" s="680"/>
      <c r="F220" s="680"/>
      <c r="G220" s="680"/>
      <c r="H220" s="680"/>
      <c r="I220" s="680"/>
      <c r="J220" s="547"/>
      <c r="K220" s="547"/>
      <c r="L220" s="547"/>
      <c r="M220" s="547"/>
      <c r="N220" s="547"/>
      <c r="O220" s="548"/>
      <c r="P220" s="653"/>
      <c r="Q220" s="656"/>
      <c r="R220" s="657"/>
      <c r="S220" s="634"/>
      <c r="T220" s="632"/>
      <c r="V220" s="166"/>
      <c r="W220" s="166"/>
      <c r="X220" s="166"/>
      <c r="Y220" s="136" t="s">
        <v>516</v>
      </c>
      <c r="Z220" s="166"/>
      <c r="AA220" s="166"/>
      <c r="AB220" s="166"/>
      <c r="AC220" s="166"/>
      <c r="AD220" s="166"/>
      <c r="AE220" s="166"/>
      <c r="AF220" s="166"/>
      <c r="AG220" s="165"/>
      <c r="AH220" s="647"/>
      <c r="AI220" s="648"/>
      <c r="AJ220" s="763"/>
      <c r="AK220" s="764"/>
      <c r="AL220" s="627"/>
      <c r="AM220" s="627"/>
      <c r="AN220" s="627"/>
      <c r="AO220" s="627"/>
      <c r="AP220" s="627"/>
      <c r="AQ220" s="627"/>
      <c r="AR220" s="627"/>
      <c r="AS220" s="627"/>
      <c r="AT220" s="627"/>
      <c r="AU220" s="627"/>
      <c r="AV220" s="627"/>
      <c r="AW220" s="627"/>
      <c r="AX220" s="628"/>
      <c r="AY220" s="629"/>
    </row>
    <row r="221" spans="2:51" ht="15" customHeight="1" x14ac:dyDescent="0.25">
      <c r="B221" s="508"/>
      <c r="C221" s="509"/>
      <c r="D221" s="678"/>
      <c r="E221" s="680"/>
      <c r="F221" s="680"/>
      <c r="G221" s="680"/>
      <c r="H221" s="680"/>
      <c r="I221" s="680"/>
      <c r="J221" s="515" t="s">
        <v>336</v>
      </c>
      <c r="K221" s="515"/>
      <c r="L221" s="515"/>
      <c r="M221" s="515"/>
      <c r="N221" s="515"/>
      <c r="O221" s="516"/>
      <c r="P221" s="652" t="s">
        <v>337</v>
      </c>
      <c r="Q221" s="654" t="s">
        <v>338</v>
      </c>
      <c r="R221" s="655"/>
      <c r="S221" s="633" t="s">
        <v>180</v>
      </c>
      <c r="T221" s="631">
        <v>1</v>
      </c>
      <c r="V221" s="112"/>
      <c r="W221" s="128"/>
      <c r="X221" s="128"/>
      <c r="Y221" s="128"/>
      <c r="Z221" s="128"/>
      <c r="AA221" s="128"/>
      <c r="AB221" s="128"/>
      <c r="AC221" s="128"/>
      <c r="AD221" s="128"/>
      <c r="AE221" s="128"/>
      <c r="AF221" s="128"/>
      <c r="AG221" s="165"/>
      <c r="AH221" s="644" t="s">
        <v>339</v>
      </c>
      <c r="AI221" s="644"/>
      <c r="AJ221" s="761"/>
      <c r="AK221" s="762"/>
      <c r="AL221" s="627" t="str">
        <f t="shared" ref="AL221:AW221" si="100">IF((V222="CUMPLIDO"),"1","0")</f>
        <v>1</v>
      </c>
      <c r="AM221" s="627" t="str">
        <f t="shared" si="100"/>
        <v>0</v>
      </c>
      <c r="AN221" s="627" t="str">
        <f t="shared" si="100"/>
        <v>0</v>
      </c>
      <c r="AO221" s="627" t="str">
        <f t="shared" si="100"/>
        <v>0</v>
      </c>
      <c r="AP221" s="627" t="str">
        <f t="shared" si="100"/>
        <v>0</v>
      </c>
      <c r="AQ221" s="627" t="str">
        <f t="shared" si="100"/>
        <v>0</v>
      </c>
      <c r="AR221" s="627" t="str">
        <f t="shared" si="100"/>
        <v>0</v>
      </c>
      <c r="AS221" s="627" t="str">
        <f t="shared" si="100"/>
        <v>0</v>
      </c>
      <c r="AT221" s="627" t="str">
        <f t="shared" si="100"/>
        <v>0</v>
      </c>
      <c r="AU221" s="627" t="str">
        <f t="shared" si="100"/>
        <v>0</v>
      </c>
      <c r="AV221" s="627" t="str">
        <f t="shared" si="100"/>
        <v>0</v>
      </c>
      <c r="AW221" s="627" t="str">
        <f t="shared" si="100"/>
        <v>0</v>
      </c>
      <c r="AX221" s="628">
        <f>SUM(AL221+AM221+AN221+AO221+AP221+AQ221+AR221+AS221+AT221+AU221+AV221+AW221)</f>
        <v>1</v>
      </c>
      <c r="AY221" s="629">
        <f>AX221/1</f>
        <v>1</v>
      </c>
    </row>
    <row r="222" spans="2:51" ht="15" customHeight="1" x14ac:dyDescent="0.25">
      <c r="B222" s="508"/>
      <c r="C222" s="509"/>
      <c r="D222" s="678"/>
      <c r="E222" s="680"/>
      <c r="F222" s="680"/>
      <c r="G222" s="680"/>
      <c r="H222" s="680"/>
      <c r="I222" s="680"/>
      <c r="J222" s="521"/>
      <c r="K222" s="521"/>
      <c r="L222" s="521"/>
      <c r="M222" s="521"/>
      <c r="N222" s="521"/>
      <c r="O222" s="522"/>
      <c r="P222" s="653"/>
      <c r="Q222" s="656"/>
      <c r="R222" s="657"/>
      <c r="S222" s="634"/>
      <c r="T222" s="632"/>
      <c r="V222" s="136" t="s">
        <v>522</v>
      </c>
      <c r="W222" s="166"/>
      <c r="X222" s="166"/>
      <c r="Y222" s="166"/>
      <c r="Z222" s="166"/>
      <c r="AA222" s="166"/>
      <c r="AB222" s="166"/>
      <c r="AC222" s="166"/>
      <c r="AD222" s="166"/>
      <c r="AE222" s="166"/>
      <c r="AF222" s="166"/>
      <c r="AG222" s="165"/>
      <c r="AH222" s="644"/>
      <c r="AI222" s="644"/>
      <c r="AJ222" s="763"/>
      <c r="AK222" s="764"/>
      <c r="AL222" s="627"/>
      <c r="AM222" s="627"/>
      <c r="AN222" s="627"/>
      <c r="AO222" s="627"/>
      <c r="AP222" s="627"/>
      <c r="AQ222" s="627"/>
      <c r="AR222" s="627"/>
      <c r="AS222" s="627"/>
      <c r="AT222" s="627"/>
      <c r="AU222" s="627"/>
      <c r="AV222" s="627"/>
      <c r="AW222" s="627"/>
      <c r="AX222" s="628"/>
      <c r="AY222" s="629"/>
    </row>
    <row r="223" spans="2:51" ht="15" customHeight="1" x14ac:dyDescent="0.25">
      <c r="B223" s="508"/>
      <c r="C223" s="509"/>
      <c r="D223" s="678"/>
      <c r="E223" s="680"/>
      <c r="F223" s="680"/>
      <c r="G223" s="680"/>
      <c r="H223" s="680"/>
      <c r="I223" s="680"/>
      <c r="J223" s="542" t="s">
        <v>329</v>
      </c>
      <c r="K223" s="542"/>
      <c r="L223" s="542"/>
      <c r="M223" s="542"/>
      <c r="N223" s="542"/>
      <c r="O223" s="543"/>
      <c r="P223" s="652" t="s">
        <v>212</v>
      </c>
      <c r="Q223" s="654" t="s">
        <v>331</v>
      </c>
      <c r="R223" s="655"/>
      <c r="S223" s="633" t="s">
        <v>180</v>
      </c>
      <c r="T223" s="631">
        <v>1</v>
      </c>
      <c r="V223" s="72"/>
      <c r="W223" s="112"/>
      <c r="X223" s="72"/>
      <c r="Y223" s="72"/>
      <c r="Z223" s="72"/>
      <c r="AA223" s="72"/>
      <c r="AB223" s="72"/>
      <c r="AC223" s="72"/>
      <c r="AD223" s="72"/>
      <c r="AE223" s="72"/>
      <c r="AF223" s="72"/>
      <c r="AG223" s="165"/>
      <c r="AH223" s="644" t="s">
        <v>335</v>
      </c>
      <c r="AI223" s="644"/>
      <c r="AJ223" s="761"/>
      <c r="AK223" s="762"/>
      <c r="AL223" s="627" t="str">
        <f t="shared" ref="AL223:AW223" si="101">IF((V224="CUMPLIDO"),"1","0")</f>
        <v>0</v>
      </c>
      <c r="AM223" s="627" t="str">
        <f t="shared" si="101"/>
        <v>1</v>
      </c>
      <c r="AN223" s="627" t="str">
        <f t="shared" si="101"/>
        <v>0</v>
      </c>
      <c r="AO223" s="627" t="str">
        <f t="shared" si="101"/>
        <v>0</v>
      </c>
      <c r="AP223" s="627" t="str">
        <f t="shared" si="101"/>
        <v>0</v>
      </c>
      <c r="AQ223" s="627" t="str">
        <f t="shared" si="101"/>
        <v>0</v>
      </c>
      <c r="AR223" s="627" t="str">
        <f t="shared" si="101"/>
        <v>0</v>
      </c>
      <c r="AS223" s="627" t="str">
        <f t="shared" si="101"/>
        <v>0</v>
      </c>
      <c r="AT223" s="627" t="str">
        <f t="shared" si="101"/>
        <v>0</v>
      </c>
      <c r="AU223" s="627" t="str">
        <f t="shared" si="101"/>
        <v>0</v>
      </c>
      <c r="AV223" s="627" t="str">
        <f t="shared" si="101"/>
        <v>0</v>
      </c>
      <c r="AW223" s="627" t="str">
        <f t="shared" si="101"/>
        <v>0</v>
      </c>
      <c r="AX223" s="628">
        <f>SUM(AL223+AM223+AN223+AO223+AP223+AQ223+AR223+AS223+AT223+AU223+AV223+AW223)</f>
        <v>1</v>
      </c>
      <c r="AY223" s="629">
        <f>AX223/1</f>
        <v>1</v>
      </c>
    </row>
    <row r="224" spans="2:51" ht="15" customHeight="1" x14ac:dyDescent="0.25">
      <c r="B224" s="508"/>
      <c r="C224" s="509"/>
      <c r="D224" s="678"/>
      <c r="E224" s="680"/>
      <c r="F224" s="680"/>
      <c r="G224" s="680"/>
      <c r="H224" s="680"/>
      <c r="I224" s="680"/>
      <c r="J224" s="547"/>
      <c r="K224" s="547"/>
      <c r="L224" s="547"/>
      <c r="M224" s="547"/>
      <c r="N224" s="547"/>
      <c r="O224" s="548"/>
      <c r="P224" s="653"/>
      <c r="Q224" s="656"/>
      <c r="R224" s="657"/>
      <c r="S224" s="634"/>
      <c r="T224" s="632"/>
      <c r="V224" s="166"/>
      <c r="W224" s="136" t="s">
        <v>522</v>
      </c>
      <c r="X224" s="166"/>
      <c r="Y224" s="166"/>
      <c r="Z224" s="166"/>
      <c r="AA224" s="166"/>
      <c r="AB224" s="166"/>
      <c r="AC224" s="166"/>
      <c r="AD224" s="166"/>
      <c r="AE224" s="166"/>
      <c r="AF224" s="166"/>
      <c r="AG224" s="165"/>
      <c r="AH224" s="644"/>
      <c r="AI224" s="644"/>
      <c r="AJ224" s="763"/>
      <c r="AK224" s="764"/>
      <c r="AL224" s="627"/>
      <c r="AM224" s="627"/>
      <c r="AN224" s="627"/>
      <c r="AO224" s="627"/>
      <c r="AP224" s="627"/>
      <c r="AQ224" s="627"/>
      <c r="AR224" s="627"/>
      <c r="AS224" s="627"/>
      <c r="AT224" s="627"/>
      <c r="AU224" s="627"/>
      <c r="AV224" s="627"/>
      <c r="AW224" s="627"/>
      <c r="AX224" s="628"/>
      <c r="AY224" s="629"/>
    </row>
    <row r="225" spans="2:58" ht="15" customHeight="1" x14ac:dyDescent="0.25">
      <c r="B225" s="508"/>
      <c r="C225" s="509"/>
      <c r="D225" s="678"/>
      <c r="E225" s="680"/>
      <c r="F225" s="680"/>
      <c r="G225" s="680"/>
      <c r="H225" s="680"/>
      <c r="I225" s="680"/>
      <c r="J225" s="542" t="s">
        <v>330</v>
      </c>
      <c r="K225" s="542"/>
      <c r="L225" s="542"/>
      <c r="M225" s="542"/>
      <c r="N225" s="542"/>
      <c r="O225" s="543"/>
      <c r="P225" s="652" t="s">
        <v>332</v>
      </c>
      <c r="Q225" s="654" t="s">
        <v>333</v>
      </c>
      <c r="R225" s="655"/>
      <c r="S225" s="633" t="s">
        <v>180</v>
      </c>
      <c r="T225" s="631">
        <v>7</v>
      </c>
      <c r="V225" s="166"/>
      <c r="W225" s="166"/>
      <c r="X225" s="166"/>
      <c r="Y225" s="166"/>
      <c r="Z225" s="112"/>
      <c r="AA225" s="112"/>
      <c r="AB225" s="112"/>
      <c r="AC225" s="112"/>
      <c r="AD225" s="112"/>
      <c r="AE225" s="112"/>
      <c r="AF225" s="112"/>
      <c r="AG225" s="165"/>
      <c r="AH225" s="644" t="s">
        <v>334</v>
      </c>
      <c r="AI225" s="644"/>
      <c r="AJ225" s="761">
        <v>8000</v>
      </c>
      <c r="AK225" s="762"/>
      <c r="AL225" s="627" t="str">
        <f t="shared" ref="AL225:AW225" si="102">IF((V226="CUMPLIDO"),"1","0")</f>
        <v>0</v>
      </c>
      <c r="AM225" s="627" t="str">
        <f t="shared" si="102"/>
        <v>0</v>
      </c>
      <c r="AN225" s="627" t="str">
        <f t="shared" si="102"/>
        <v>0</v>
      </c>
      <c r="AO225" s="627" t="str">
        <f t="shared" si="102"/>
        <v>0</v>
      </c>
      <c r="AP225" s="627" t="str">
        <f t="shared" si="102"/>
        <v>0</v>
      </c>
      <c r="AQ225" s="627" t="str">
        <f t="shared" si="102"/>
        <v>0</v>
      </c>
      <c r="AR225" s="627" t="str">
        <f t="shared" si="102"/>
        <v>0</v>
      </c>
      <c r="AS225" s="627" t="str">
        <f t="shared" si="102"/>
        <v>0</v>
      </c>
      <c r="AT225" s="627" t="str">
        <f t="shared" si="102"/>
        <v>0</v>
      </c>
      <c r="AU225" s="627" t="str">
        <f t="shared" si="102"/>
        <v>0</v>
      </c>
      <c r="AV225" s="627" t="str">
        <f t="shared" si="102"/>
        <v>0</v>
      </c>
      <c r="AW225" s="627" t="str">
        <f t="shared" si="102"/>
        <v>0</v>
      </c>
      <c r="AX225" s="628">
        <f>SUM(AL225+AM225+AN225+AO225+AP225+AQ225+AR225+AS225+AT225+AU225+AV225+AW225)</f>
        <v>0</v>
      </c>
      <c r="AY225" s="629">
        <f>AX225/7</f>
        <v>0</v>
      </c>
    </row>
    <row r="226" spans="2:58" ht="15" customHeight="1" x14ac:dyDescent="0.25">
      <c r="B226" s="508"/>
      <c r="C226" s="509"/>
      <c r="D226" s="678"/>
      <c r="E226" s="680"/>
      <c r="F226" s="680"/>
      <c r="G226" s="680"/>
      <c r="H226" s="680"/>
      <c r="I226" s="680"/>
      <c r="J226" s="547"/>
      <c r="K226" s="547"/>
      <c r="L226" s="547"/>
      <c r="M226" s="547"/>
      <c r="N226" s="547"/>
      <c r="O226" s="548"/>
      <c r="P226" s="653"/>
      <c r="Q226" s="656"/>
      <c r="R226" s="657"/>
      <c r="S226" s="634"/>
      <c r="T226" s="632"/>
      <c r="V226" s="166"/>
      <c r="W226" s="166"/>
      <c r="X226" s="166"/>
      <c r="Y226" s="166"/>
      <c r="Z226" s="136" t="s">
        <v>516</v>
      </c>
      <c r="AA226" s="136" t="s">
        <v>516</v>
      </c>
      <c r="AB226" s="136" t="s">
        <v>516</v>
      </c>
      <c r="AC226" s="136" t="s">
        <v>516</v>
      </c>
      <c r="AD226" s="136" t="s">
        <v>516</v>
      </c>
      <c r="AE226" s="136" t="s">
        <v>516</v>
      </c>
      <c r="AF226" s="136" t="s">
        <v>516</v>
      </c>
      <c r="AG226" s="165"/>
      <c r="AH226" s="644"/>
      <c r="AI226" s="644"/>
      <c r="AJ226" s="763"/>
      <c r="AK226" s="764"/>
      <c r="AL226" s="627"/>
      <c r="AM226" s="627"/>
      <c r="AN226" s="627"/>
      <c r="AO226" s="627"/>
      <c r="AP226" s="627"/>
      <c r="AQ226" s="627"/>
      <c r="AR226" s="627"/>
      <c r="AS226" s="627"/>
      <c r="AT226" s="627"/>
      <c r="AU226" s="627"/>
      <c r="AV226" s="627"/>
      <c r="AW226" s="627"/>
      <c r="AX226" s="628"/>
      <c r="AY226" s="629"/>
    </row>
    <row r="227" spans="2:58" ht="15" customHeight="1" x14ac:dyDescent="0.25">
      <c r="B227" s="508"/>
      <c r="C227" s="509"/>
      <c r="D227" s="678"/>
      <c r="E227" s="680"/>
      <c r="F227" s="680"/>
      <c r="G227" s="680"/>
      <c r="H227" s="680"/>
      <c r="I227" s="680"/>
      <c r="J227" s="542" t="s">
        <v>176</v>
      </c>
      <c r="K227" s="542"/>
      <c r="L227" s="542"/>
      <c r="M227" s="542"/>
      <c r="N227" s="542"/>
      <c r="O227" s="543"/>
      <c r="P227" s="652" t="s">
        <v>212</v>
      </c>
      <c r="Q227" s="654" t="s">
        <v>353</v>
      </c>
      <c r="R227" s="655"/>
      <c r="S227" s="633" t="s">
        <v>180</v>
      </c>
      <c r="T227" s="631">
        <v>2</v>
      </c>
      <c r="V227" s="97"/>
      <c r="W227" s="97"/>
      <c r="X227" s="97"/>
      <c r="Y227" s="97"/>
      <c r="Z227" s="97"/>
      <c r="AA227" s="97"/>
      <c r="AB227" s="97"/>
      <c r="AC227" s="97"/>
      <c r="AD227" s="97"/>
      <c r="AE227" s="174"/>
      <c r="AF227" s="174"/>
      <c r="AG227" s="165"/>
      <c r="AH227" s="644" t="s">
        <v>350</v>
      </c>
      <c r="AI227" s="644"/>
      <c r="AJ227" s="761">
        <v>2000</v>
      </c>
      <c r="AK227" s="762"/>
      <c r="AL227" s="627" t="str">
        <f t="shared" ref="AL227:AW227" si="103">IF((V228="CUMPLIDO"),"1","0")</f>
        <v>0</v>
      </c>
      <c r="AM227" s="627" t="str">
        <f t="shared" si="103"/>
        <v>0</v>
      </c>
      <c r="AN227" s="627" t="str">
        <f t="shared" si="103"/>
        <v>0</v>
      </c>
      <c r="AO227" s="627" t="str">
        <f t="shared" si="103"/>
        <v>0</v>
      </c>
      <c r="AP227" s="627" t="str">
        <f t="shared" si="103"/>
        <v>0</v>
      </c>
      <c r="AQ227" s="627" t="str">
        <f t="shared" si="103"/>
        <v>0</v>
      </c>
      <c r="AR227" s="627" t="str">
        <f t="shared" si="103"/>
        <v>0</v>
      </c>
      <c r="AS227" s="627" t="str">
        <f t="shared" si="103"/>
        <v>0</v>
      </c>
      <c r="AT227" s="627" t="str">
        <f t="shared" si="103"/>
        <v>0</v>
      </c>
      <c r="AU227" s="627" t="str">
        <f t="shared" si="103"/>
        <v>0</v>
      </c>
      <c r="AV227" s="627" t="str">
        <f t="shared" si="103"/>
        <v>0</v>
      </c>
      <c r="AW227" s="627" t="str">
        <f t="shared" si="103"/>
        <v>0</v>
      </c>
      <c r="AX227" s="628">
        <f>SUM(AL227+AM227+AN227+AO227+AP227+AQ227+AR227+AS227+AT227+AU227+AV227+AW227)</f>
        <v>0</v>
      </c>
      <c r="AY227" s="629">
        <f>AX227/2</f>
        <v>0</v>
      </c>
    </row>
    <row r="228" spans="2:58" ht="15" customHeight="1" x14ac:dyDescent="0.25">
      <c r="B228" s="508"/>
      <c r="C228" s="509"/>
      <c r="D228" s="678"/>
      <c r="E228" s="680"/>
      <c r="F228" s="680"/>
      <c r="G228" s="680"/>
      <c r="H228" s="680"/>
      <c r="I228" s="680"/>
      <c r="J228" s="547"/>
      <c r="K228" s="547"/>
      <c r="L228" s="547"/>
      <c r="M228" s="547"/>
      <c r="N228" s="547"/>
      <c r="O228" s="548"/>
      <c r="P228" s="653"/>
      <c r="Q228" s="656"/>
      <c r="R228" s="657"/>
      <c r="S228" s="634"/>
      <c r="T228" s="632"/>
      <c r="V228" s="166"/>
      <c r="W228" s="166"/>
      <c r="X228" s="166"/>
      <c r="Y228" s="166"/>
      <c r="Z228" s="166"/>
      <c r="AA228" s="166"/>
      <c r="AB228" s="166"/>
      <c r="AC228" s="166"/>
      <c r="AD228" s="165"/>
      <c r="AE228" s="136" t="s">
        <v>516</v>
      </c>
      <c r="AF228" s="136" t="s">
        <v>516</v>
      </c>
      <c r="AG228" s="173"/>
      <c r="AH228" s="644"/>
      <c r="AI228" s="644"/>
      <c r="AJ228" s="763"/>
      <c r="AK228" s="764"/>
      <c r="AL228" s="627"/>
      <c r="AM228" s="627"/>
      <c r="AN228" s="627"/>
      <c r="AO228" s="627"/>
      <c r="AP228" s="627"/>
      <c r="AQ228" s="627"/>
      <c r="AR228" s="627"/>
      <c r="AS228" s="627"/>
      <c r="AT228" s="627"/>
      <c r="AU228" s="627"/>
      <c r="AV228" s="627"/>
      <c r="AW228" s="627"/>
      <c r="AX228" s="628"/>
      <c r="AY228" s="629"/>
    </row>
    <row r="229" spans="2:58" ht="15" customHeight="1" x14ac:dyDescent="0.25">
      <c r="B229" s="508"/>
      <c r="C229" s="509"/>
      <c r="D229" s="678"/>
      <c r="E229" s="680"/>
      <c r="F229" s="680"/>
      <c r="G229" s="680"/>
      <c r="H229" s="680"/>
      <c r="I229" s="680"/>
      <c r="J229" s="542" t="s">
        <v>177</v>
      </c>
      <c r="K229" s="542"/>
      <c r="L229" s="542"/>
      <c r="M229" s="542"/>
      <c r="N229" s="542"/>
      <c r="O229" s="543"/>
      <c r="P229" s="652" t="s">
        <v>212</v>
      </c>
      <c r="Q229" s="654" t="s">
        <v>351</v>
      </c>
      <c r="R229" s="655"/>
      <c r="S229" s="633" t="s">
        <v>180</v>
      </c>
      <c r="T229" s="631">
        <v>2</v>
      </c>
      <c r="V229" s="97"/>
      <c r="W229" s="97"/>
      <c r="X229" s="97"/>
      <c r="Y229" s="97"/>
      <c r="Z229" s="97"/>
      <c r="AA229" s="97"/>
      <c r="AB229" s="97"/>
      <c r="AC229" s="97"/>
      <c r="AD229" s="112"/>
      <c r="AE229" s="175"/>
      <c r="AF229" s="169"/>
      <c r="AG229" s="165"/>
      <c r="AH229" s="644" t="s">
        <v>352</v>
      </c>
      <c r="AI229" s="644"/>
      <c r="AJ229" s="761">
        <v>2000</v>
      </c>
      <c r="AK229" s="762"/>
      <c r="AL229" s="627" t="str">
        <f t="shared" ref="AL229:AW229" si="104">IF((V230="CUMPLIDO"),"1","0")</f>
        <v>0</v>
      </c>
      <c r="AM229" s="627" t="str">
        <f t="shared" si="104"/>
        <v>0</v>
      </c>
      <c r="AN229" s="627" t="str">
        <f t="shared" si="104"/>
        <v>0</v>
      </c>
      <c r="AO229" s="627" t="str">
        <f t="shared" si="104"/>
        <v>0</v>
      </c>
      <c r="AP229" s="627" t="str">
        <f t="shared" si="104"/>
        <v>0</v>
      </c>
      <c r="AQ229" s="627" t="str">
        <f t="shared" si="104"/>
        <v>0</v>
      </c>
      <c r="AR229" s="627" t="str">
        <f t="shared" si="104"/>
        <v>0</v>
      </c>
      <c r="AS229" s="627" t="str">
        <f t="shared" si="104"/>
        <v>0</v>
      </c>
      <c r="AT229" s="627" t="str">
        <f t="shared" si="104"/>
        <v>0</v>
      </c>
      <c r="AU229" s="627" t="str">
        <f t="shared" si="104"/>
        <v>0</v>
      </c>
      <c r="AV229" s="627" t="str">
        <f t="shared" si="104"/>
        <v>0</v>
      </c>
      <c r="AW229" s="627" t="str">
        <f t="shared" si="104"/>
        <v>0</v>
      </c>
      <c r="AX229" s="628">
        <f>SUM(AL229+AM229+AN229+AO229+AP229+AQ229+AR229+AS229+AT229+AU229+AV229+AW229)</f>
        <v>0</v>
      </c>
      <c r="AY229" s="629">
        <f>AX229/2</f>
        <v>0</v>
      </c>
    </row>
    <row r="230" spans="2:58" ht="15" customHeight="1" x14ac:dyDescent="0.25">
      <c r="B230" s="508"/>
      <c r="C230" s="509"/>
      <c r="D230" s="678"/>
      <c r="E230" s="680"/>
      <c r="F230" s="680"/>
      <c r="G230" s="680"/>
      <c r="H230" s="680"/>
      <c r="I230" s="680"/>
      <c r="J230" s="547"/>
      <c r="K230" s="547"/>
      <c r="L230" s="547"/>
      <c r="M230" s="547"/>
      <c r="N230" s="547"/>
      <c r="O230" s="548"/>
      <c r="P230" s="653"/>
      <c r="Q230" s="656"/>
      <c r="R230" s="657"/>
      <c r="S230" s="634"/>
      <c r="T230" s="632"/>
      <c r="V230" s="166"/>
      <c r="W230" s="166"/>
      <c r="X230" s="166"/>
      <c r="Y230" s="166"/>
      <c r="Z230" s="166"/>
      <c r="AA230" s="166"/>
      <c r="AB230" s="166"/>
      <c r="AC230" s="166"/>
      <c r="AD230" s="136" t="s">
        <v>516</v>
      </c>
      <c r="AE230" s="136" t="s">
        <v>516</v>
      </c>
      <c r="AF230" s="166"/>
      <c r="AG230" s="165"/>
      <c r="AH230" s="644"/>
      <c r="AI230" s="644"/>
      <c r="AJ230" s="763"/>
      <c r="AK230" s="764"/>
      <c r="AL230" s="627"/>
      <c r="AM230" s="627"/>
      <c r="AN230" s="627"/>
      <c r="AO230" s="627"/>
      <c r="AP230" s="627"/>
      <c r="AQ230" s="627"/>
      <c r="AR230" s="627"/>
      <c r="AS230" s="627"/>
      <c r="AT230" s="627"/>
      <c r="AU230" s="627"/>
      <c r="AV230" s="627"/>
      <c r="AW230" s="627"/>
      <c r="AX230" s="628"/>
      <c r="AY230" s="629"/>
    </row>
    <row r="231" spans="2:58" ht="15" customHeight="1" x14ac:dyDescent="0.25">
      <c r="B231" s="508"/>
      <c r="C231" s="509"/>
      <c r="D231" s="678"/>
      <c r="E231" s="680"/>
      <c r="F231" s="680"/>
      <c r="G231" s="680"/>
      <c r="H231" s="680"/>
      <c r="I231" s="680"/>
      <c r="J231" s="542" t="s">
        <v>354</v>
      </c>
      <c r="K231" s="542"/>
      <c r="L231" s="542"/>
      <c r="M231" s="542"/>
      <c r="N231" s="542"/>
      <c r="O231" s="543"/>
      <c r="P231" s="652" t="s">
        <v>212</v>
      </c>
      <c r="Q231" s="654" t="s">
        <v>353</v>
      </c>
      <c r="R231" s="655"/>
      <c r="S231" s="633" t="s">
        <v>180</v>
      </c>
      <c r="T231" s="631">
        <v>1</v>
      </c>
      <c r="V231" s="166"/>
      <c r="W231" s="166"/>
      <c r="X231" s="166"/>
      <c r="Y231" s="166"/>
      <c r="Z231" s="166"/>
      <c r="AA231" s="166"/>
      <c r="AB231" s="166"/>
      <c r="AC231" s="166"/>
      <c r="AD231" s="166"/>
      <c r="AE231" s="112"/>
      <c r="AF231" s="166"/>
      <c r="AG231" s="165"/>
      <c r="AH231" s="644" t="s">
        <v>355</v>
      </c>
      <c r="AI231" s="644"/>
      <c r="AJ231" s="761"/>
      <c r="AK231" s="762"/>
      <c r="AL231" s="627" t="str">
        <f t="shared" ref="AL231:AW231" si="105">IF((V232="CUMPLIDO"),"1","0")</f>
        <v>0</v>
      </c>
      <c r="AM231" s="627" t="str">
        <f t="shared" si="105"/>
        <v>0</v>
      </c>
      <c r="AN231" s="627" t="str">
        <f t="shared" si="105"/>
        <v>0</v>
      </c>
      <c r="AO231" s="627" t="str">
        <f t="shared" si="105"/>
        <v>0</v>
      </c>
      <c r="AP231" s="627" t="str">
        <f t="shared" si="105"/>
        <v>0</v>
      </c>
      <c r="AQ231" s="627" t="str">
        <f t="shared" si="105"/>
        <v>0</v>
      </c>
      <c r="AR231" s="627" t="str">
        <f t="shared" si="105"/>
        <v>0</v>
      </c>
      <c r="AS231" s="627" t="str">
        <f t="shared" si="105"/>
        <v>0</v>
      </c>
      <c r="AT231" s="627" t="str">
        <f t="shared" si="105"/>
        <v>0</v>
      </c>
      <c r="AU231" s="627" t="str">
        <f t="shared" si="105"/>
        <v>0</v>
      </c>
      <c r="AV231" s="627" t="str">
        <f t="shared" si="105"/>
        <v>0</v>
      </c>
      <c r="AW231" s="627" t="str">
        <f t="shared" si="105"/>
        <v>0</v>
      </c>
      <c r="AX231" s="628">
        <f>SUM(AL231+AM231+AN231+AO231+AP231+AQ231+AR231+AS231+AT231+AU231+AV231+AW231)</f>
        <v>0</v>
      </c>
      <c r="AY231" s="629">
        <f>AX231/1</f>
        <v>0</v>
      </c>
    </row>
    <row r="232" spans="2:58" ht="15" customHeight="1" x14ac:dyDescent="0.25">
      <c r="B232" s="508"/>
      <c r="C232" s="509"/>
      <c r="D232" s="678"/>
      <c r="E232" s="680"/>
      <c r="F232" s="680"/>
      <c r="G232" s="680"/>
      <c r="H232" s="680"/>
      <c r="I232" s="680"/>
      <c r="J232" s="547"/>
      <c r="K232" s="547"/>
      <c r="L232" s="547"/>
      <c r="M232" s="547"/>
      <c r="N232" s="547"/>
      <c r="O232" s="548"/>
      <c r="P232" s="653"/>
      <c r="Q232" s="656"/>
      <c r="R232" s="657"/>
      <c r="S232" s="634"/>
      <c r="T232" s="632"/>
      <c r="V232" s="166"/>
      <c r="W232" s="166"/>
      <c r="X232" s="166"/>
      <c r="Y232" s="166"/>
      <c r="Z232" s="166"/>
      <c r="AA232" s="166"/>
      <c r="AB232" s="166"/>
      <c r="AC232" s="166"/>
      <c r="AD232" s="166"/>
      <c r="AE232" s="136" t="s">
        <v>516</v>
      </c>
      <c r="AF232" s="166"/>
      <c r="AG232" s="165"/>
      <c r="AH232" s="644"/>
      <c r="AI232" s="644"/>
      <c r="AJ232" s="763"/>
      <c r="AK232" s="764"/>
      <c r="AL232" s="627"/>
      <c r="AM232" s="627"/>
      <c r="AN232" s="627"/>
      <c r="AO232" s="627"/>
      <c r="AP232" s="627"/>
      <c r="AQ232" s="627"/>
      <c r="AR232" s="627"/>
      <c r="AS232" s="627"/>
      <c r="AT232" s="627"/>
      <c r="AU232" s="627"/>
      <c r="AV232" s="627"/>
      <c r="AW232" s="627"/>
      <c r="AX232" s="628"/>
      <c r="AY232" s="629"/>
    </row>
    <row r="233" spans="2:58" ht="15" customHeight="1" x14ac:dyDescent="0.25">
      <c r="B233" s="508"/>
      <c r="C233" s="509"/>
      <c r="D233" s="678"/>
      <c r="E233" s="680"/>
      <c r="F233" s="680"/>
      <c r="G233" s="680"/>
      <c r="H233" s="680"/>
      <c r="I233" s="680"/>
      <c r="J233" s="542" t="s">
        <v>348</v>
      </c>
      <c r="K233" s="542"/>
      <c r="L233" s="542"/>
      <c r="M233" s="542"/>
      <c r="N233" s="542"/>
      <c r="O233" s="543"/>
      <c r="P233" s="652" t="s">
        <v>212</v>
      </c>
      <c r="Q233" s="581" t="s">
        <v>349</v>
      </c>
      <c r="R233" s="583"/>
      <c r="S233" s="633" t="s">
        <v>180</v>
      </c>
      <c r="T233" s="631">
        <v>3</v>
      </c>
      <c r="V233" s="112"/>
      <c r="W233" s="112"/>
      <c r="X233" s="112"/>
      <c r="Y233" s="166"/>
      <c r="Z233" s="166"/>
      <c r="AA233" s="166"/>
      <c r="AB233" s="166"/>
      <c r="AC233" s="166"/>
      <c r="AD233" s="166"/>
      <c r="AE233" s="166"/>
      <c r="AF233" s="166"/>
      <c r="AG233" s="165"/>
      <c r="AH233" s="645" t="s">
        <v>358</v>
      </c>
      <c r="AI233" s="646"/>
      <c r="AJ233" s="761"/>
      <c r="AK233" s="762"/>
      <c r="AL233" s="627" t="str">
        <f t="shared" ref="AL233:AW233" si="106">IF((V234="CUMPLIDO"),"1","0")</f>
        <v>0</v>
      </c>
      <c r="AM233" s="627" t="str">
        <f t="shared" si="106"/>
        <v>0</v>
      </c>
      <c r="AN233" s="627" t="str">
        <f t="shared" si="106"/>
        <v>0</v>
      </c>
      <c r="AO233" s="627" t="str">
        <f t="shared" si="106"/>
        <v>0</v>
      </c>
      <c r="AP233" s="627" t="str">
        <f t="shared" si="106"/>
        <v>0</v>
      </c>
      <c r="AQ233" s="627" t="str">
        <f t="shared" si="106"/>
        <v>0</v>
      </c>
      <c r="AR233" s="627" t="str">
        <f t="shared" si="106"/>
        <v>0</v>
      </c>
      <c r="AS233" s="627" t="str">
        <f t="shared" si="106"/>
        <v>0</v>
      </c>
      <c r="AT233" s="627" t="str">
        <f t="shared" si="106"/>
        <v>0</v>
      </c>
      <c r="AU233" s="627" t="str">
        <f t="shared" si="106"/>
        <v>0</v>
      </c>
      <c r="AV233" s="627" t="str">
        <f t="shared" si="106"/>
        <v>0</v>
      </c>
      <c r="AW233" s="627" t="str">
        <f t="shared" si="106"/>
        <v>0</v>
      </c>
      <c r="AX233" s="628">
        <f>SUM(AL233+AM233+AN233+AO233+AP233+AQ233+AR233+AS233+AT233+AU233+AV233+AW233)</f>
        <v>0</v>
      </c>
      <c r="AY233" s="629">
        <f>AX233/3</f>
        <v>0</v>
      </c>
    </row>
    <row r="234" spans="2:58" ht="15" customHeight="1" x14ac:dyDescent="0.25">
      <c r="B234" s="508"/>
      <c r="C234" s="509"/>
      <c r="D234" s="678"/>
      <c r="E234" s="680"/>
      <c r="F234" s="680"/>
      <c r="G234" s="680"/>
      <c r="H234" s="680"/>
      <c r="I234" s="680"/>
      <c r="J234" s="547"/>
      <c r="K234" s="547"/>
      <c r="L234" s="547"/>
      <c r="M234" s="547"/>
      <c r="N234" s="547"/>
      <c r="O234" s="548"/>
      <c r="P234" s="653"/>
      <c r="Q234" s="664"/>
      <c r="R234" s="665"/>
      <c r="S234" s="634"/>
      <c r="T234" s="632"/>
      <c r="V234" s="136" t="s">
        <v>516</v>
      </c>
      <c r="W234" s="136" t="s">
        <v>516</v>
      </c>
      <c r="X234" s="136" t="s">
        <v>516</v>
      </c>
      <c r="Y234" s="166"/>
      <c r="Z234" s="166"/>
      <c r="AA234" s="166"/>
      <c r="AB234" s="166"/>
      <c r="AC234" s="166"/>
      <c r="AD234" s="166"/>
      <c r="AE234" s="166"/>
      <c r="AF234" s="166"/>
      <c r="AG234" s="165"/>
      <c r="AH234" s="647"/>
      <c r="AI234" s="648"/>
      <c r="AJ234" s="763"/>
      <c r="AK234" s="764"/>
      <c r="AL234" s="627"/>
      <c r="AM234" s="627"/>
      <c r="AN234" s="627"/>
      <c r="AO234" s="627"/>
      <c r="AP234" s="627"/>
      <c r="AQ234" s="627"/>
      <c r="AR234" s="627"/>
      <c r="AS234" s="627"/>
      <c r="AT234" s="627"/>
      <c r="AU234" s="627"/>
      <c r="AV234" s="627"/>
      <c r="AW234" s="627"/>
      <c r="AX234" s="628"/>
      <c r="AY234" s="629"/>
    </row>
    <row r="235" spans="2:58" ht="15" customHeight="1" x14ac:dyDescent="0.25">
      <c r="B235" s="508"/>
      <c r="C235" s="509"/>
      <c r="D235" s="678"/>
      <c r="E235" s="680"/>
      <c r="F235" s="680"/>
      <c r="G235" s="680"/>
      <c r="H235" s="680"/>
      <c r="I235" s="680"/>
      <c r="J235" s="542" t="s">
        <v>178</v>
      </c>
      <c r="K235" s="542"/>
      <c r="L235" s="542"/>
      <c r="M235" s="542"/>
      <c r="N235" s="542"/>
      <c r="O235" s="543"/>
      <c r="P235" s="652" t="s">
        <v>332</v>
      </c>
      <c r="Q235" s="654" t="s">
        <v>356</v>
      </c>
      <c r="R235" s="655"/>
      <c r="S235" s="633" t="s">
        <v>180</v>
      </c>
      <c r="T235" s="631">
        <v>4</v>
      </c>
      <c r="V235" s="185"/>
      <c r="X235" s="112"/>
      <c r="Y235" s="185"/>
      <c r="Z235" s="185"/>
      <c r="AA235" s="112"/>
      <c r="AB235" s="185"/>
      <c r="AC235" s="185"/>
      <c r="AD235" s="112"/>
      <c r="AE235" s="185"/>
      <c r="AF235" s="185"/>
      <c r="AG235" s="161"/>
      <c r="AH235" s="644" t="s">
        <v>357</v>
      </c>
      <c r="AI235" s="644"/>
      <c r="AJ235" s="761"/>
      <c r="AK235" s="762"/>
      <c r="AL235" s="627" t="str">
        <f t="shared" ref="AL235:AW235" si="107">IF((V236="CUMPLIDO"),"1","0")</f>
        <v>0</v>
      </c>
      <c r="AM235" s="627" t="str">
        <f t="shared" si="107"/>
        <v>0</v>
      </c>
      <c r="AN235" s="627" t="str">
        <f t="shared" si="107"/>
        <v>1</v>
      </c>
      <c r="AO235" s="627" t="str">
        <f t="shared" si="107"/>
        <v>0</v>
      </c>
      <c r="AP235" s="627" t="str">
        <f t="shared" si="107"/>
        <v>0</v>
      </c>
      <c r="AQ235" s="627" t="str">
        <f t="shared" si="107"/>
        <v>0</v>
      </c>
      <c r="AR235" s="627" t="str">
        <f t="shared" si="107"/>
        <v>0</v>
      </c>
      <c r="AS235" s="627" t="str">
        <f t="shared" si="107"/>
        <v>0</v>
      </c>
      <c r="AT235" s="627" t="str">
        <f t="shared" si="107"/>
        <v>0</v>
      </c>
      <c r="AU235" s="627" t="str">
        <f t="shared" si="107"/>
        <v>0</v>
      </c>
      <c r="AV235" s="627" t="str">
        <f t="shared" si="107"/>
        <v>0</v>
      </c>
      <c r="AW235" s="627" t="str">
        <f t="shared" si="107"/>
        <v>0</v>
      </c>
      <c r="AX235" s="628">
        <f>SUM(AL235+AM235+AN235+AO235+AP235+AQ235+AR235+AS235+AT235+AU235+AV235+AW235)</f>
        <v>1</v>
      </c>
      <c r="AY235" s="629">
        <f>AX235/4</f>
        <v>0.25</v>
      </c>
      <c r="BD235" s="336"/>
      <c r="BE235" s="336" t="s">
        <v>520</v>
      </c>
      <c r="BF235" s="336" t="s">
        <v>521</v>
      </c>
    </row>
    <row r="236" spans="2:58" ht="15" customHeight="1" x14ac:dyDescent="0.25">
      <c r="B236" s="511"/>
      <c r="C236" s="512"/>
      <c r="D236" s="679"/>
      <c r="E236" s="680"/>
      <c r="F236" s="680"/>
      <c r="G236" s="680"/>
      <c r="H236" s="680"/>
      <c r="I236" s="680"/>
      <c r="J236" s="547"/>
      <c r="K236" s="547"/>
      <c r="L236" s="547"/>
      <c r="M236" s="547"/>
      <c r="N236" s="547"/>
      <c r="O236" s="548"/>
      <c r="P236" s="653"/>
      <c r="Q236" s="656"/>
      <c r="R236" s="657"/>
      <c r="S236" s="634"/>
      <c r="T236" s="632"/>
      <c r="V236" s="185"/>
      <c r="W236" s="185"/>
      <c r="X236" s="136" t="s">
        <v>522</v>
      </c>
      <c r="Y236" s="185"/>
      <c r="Z236" s="185"/>
      <c r="AA236" s="136" t="s">
        <v>516</v>
      </c>
      <c r="AB236" s="185"/>
      <c r="AC236" s="185"/>
      <c r="AD236" s="136" t="s">
        <v>516</v>
      </c>
      <c r="AE236" s="185"/>
      <c r="AF236" s="185"/>
      <c r="AG236" s="136" t="s">
        <v>516</v>
      </c>
      <c r="AH236" s="644"/>
      <c r="AI236" s="644"/>
      <c r="AJ236" s="763"/>
      <c r="AK236" s="764"/>
      <c r="AL236" s="627"/>
      <c r="AM236" s="627"/>
      <c r="AN236" s="627"/>
      <c r="AO236" s="627"/>
      <c r="AP236" s="627"/>
      <c r="AQ236" s="627"/>
      <c r="AR236" s="627"/>
      <c r="AS236" s="627"/>
      <c r="AT236" s="627"/>
      <c r="AU236" s="627"/>
      <c r="AV236" s="627"/>
      <c r="AW236" s="627"/>
      <c r="AX236" s="628"/>
      <c r="AY236" s="630"/>
      <c r="BD236" s="336"/>
      <c r="BE236" s="336">
        <v>0</v>
      </c>
      <c r="BF236" s="336">
        <v>0</v>
      </c>
    </row>
    <row r="237" spans="2:58" ht="21" customHeight="1" x14ac:dyDescent="0.25">
      <c r="AY237" s="315">
        <f>AVERAGE(AY195:AY236)</f>
        <v>0.27645502645502645</v>
      </c>
      <c r="BD237" s="337">
        <f>PI()*AY237</f>
        <v>0.86850908015908301</v>
      </c>
      <c r="BE237" s="336">
        <f>-COS(BD237)</f>
        <v>-0.64596538332140097</v>
      </c>
      <c r="BF237" s="336">
        <f>SIN(BD237)</f>
        <v>0.7633667031973792</v>
      </c>
    </row>
  </sheetData>
  <autoFilter ref="B8:T93">
    <filterColumn colId="0" showButton="0"/>
    <filterColumn colId="1" showButton="0"/>
    <filterColumn colId="3" showButton="0"/>
    <filterColumn colId="4" showButton="0"/>
    <filterColumn colId="5" showButton="0"/>
    <filterColumn colId="6" showButton="0"/>
    <filterColumn colId="8" showButton="0"/>
    <filterColumn colId="9" showButton="0"/>
    <filterColumn colId="10" showButton="0"/>
    <filterColumn colId="11" showButton="0"/>
    <filterColumn colId="12" showButton="0"/>
    <filterColumn colId="15" showButton="0"/>
    <filterColumn colId="17" showButton="0"/>
  </autoFilter>
  <mergeCells count="2343">
    <mergeCell ref="S225:S226"/>
    <mergeCell ref="T225:T226"/>
    <mergeCell ref="S227:S228"/>
    <mergeCell ref="T227:T228"/>
    <mergeCell ref="S229:S230"/>
    <mergeCell ref="T229:T230"/>
    <mergeCell ref="S231:S232"/>
    <mergeCell ref="T231:T232"/>
    <mergeCell ref="S233:S234"/>
    <mergeCell ref="T233:T234"/>
    <mergeCell ref="S235:S236"/>
    <mergeCell ref="T235:T236"/>
    <mergeCell ref="AY95:AY96"/>
    <mergeCell ref="AY152:AY153"/>
    <mergeCell ref="AY193:AY194"/>
    <mergeCell ref="S207:S208"/>
    <mergeCell ref="T207:T208"/>
    <mergeCell ref="S209:S210"/>
    <mergeCell ref="T209:T210"/>
    <mergeCell ref="S211:S212"/>
    <mergeCell ref="T211:T212"/>
    <mergeCell ref="S213:S214"/>
    <mergeCell ref="T213:T214"/>
    <mergeCell ref="S215:S216"/>
    <mergeCell ref="T215:T216"/>
    <mergeCell ref="S217:S218"/>
    <mergeCell ref="T217:T218"/>
    <mergeCell ref="S219:S220"/>
    <mergeCell ref="T219:T220"/>
    <mergeCell ref="S221:S222"/>
    <mergeCell ref="T221:T222"/>
    <mergeCell ref="S223:S224"/>
    <mergeCell ref="T223:T224"/>
    <mergeCell ref="S184:S185"/>
    <mergeCell ref="T184:T185"/>
    <mergeCell ref="S186:S187"/>
    <mergeCell ref="T186:T187"/>
    <mergeCell ref="S188:S189"/>
    <mergeCell ref="T188:T189"/>
    <mergeCell ref="S195:S196"/>
    <mergeCell ref="T195:T196"/>
    <mergeCell ref="S197:S198"/>
    <mergeCell ref="T197:T198"/>
    <mergeCell ref="S199:S200"/>
    <mergeCell ref="T199:T200"/>
    <mergeCell ref="S201:S202"/>
    <mergeCell ref="T201:T202"/>
    <mergeCell ref="S203:S204"/>
    <mergeCell ref="T203:T204"/>
    <mergeCell ref="S205:S206"/>
    <mergeCell ref="T205:T206"/>
    <mergeCell ref="S166:S167"/>
    <mergeCell ref="T166:T167"/>
    <mergeCell ref="S168:S169"/>
    <mergeCell ref="T168:T169"/>
    <mergeCell ref="S170:S171"/>
    <mergeCell ref="T170:T171"/>
    <mergeCell ref="S172:S173"/>
    <mergeCell ref="T172:T173"/>
    <mergeCell ref="S174:S175"/>
    <mergeCell ref="T174:T175"/>
    <mergeCell ref="S176:S177"/>
    <mergeCell ref="T176:T177"/>
    <mergeCell ref="S178:S179"/>
    <mergeCell ref="T178:T179"/>
    <mergeCell ref="S180:S181"/>
    <mergeCell ref="T180:T181"/>
    <mergeCell ref="S182:S183"/>
    <mergeCell ref="T182:T183"/>
    <mergeCell ref="S133:S134"/>
    <mergeCell ref="T133:T134"/>
    <mergeCell ref="S135:S136"/>
    <mergeCell ref="T135:T136"/>
    <mergeCell ref="S137:S138"/>
    <mergeCell ref="T137:T138"/>
    <mergeCell ref="S139:S140"/>
    <mergeCell ref="T139:T140"/>
    <mergeCell ref="S141:S142"/>
    <mergeCell ref="T141:T142"/>
    <mergeCell ref="S143:S144"/>
    <mergeCell ref="T143:T144"/>
    <mergeCell ref="S145:S146"/>
    <mergeCell ref="T145:T146"/>
    <mergeCell ref="S147:S148"/>
    <mergeCell ref="T147:T148"/>
    <mergeCell ref="S154:S155"/>
    <mergeCell ref="T154:T155"/>
    <mergeCell ref="AJ227:AK228"/>
    <mergeCell ref="AJ229:AK230"/>
    <mergeCell ref="S97:S98"/>
    <mergeCell ref="T97:T98"/>
    <mergeCell ref="S99:S100"/>
    <mergeCell ref="T99:T100"/>
    <mergeCell ref="S101:S102"/>
    <mergeCell ref="T101:T102"/>
    <mergeCell ref="S103:S104"/>
    <mergeCell ref="T103:T104"/>
    <mergeCell ref="S105:S106"/>
    <mergeCell ref="T105:T106"/>
    <mergeCell ref="S107:S108"/>
    <mergeCell ref="T107:T108"/>
    <mergeCell ref="S109:S110"/>
    <mergeCell ref="T109:T110"/>
    <mergeCell ref="S111:S112"/>
    <mergeCell ref="T111:T112"/>
    <mergeCell ref="S113:S114"/>
    <mergeCell ref="T113:T114"/>
    <mergeCell ref="S115:S116"/>
    <mergeCell ref="T115:T116"/>
    <mergeCell ref="S117:S118"/>
    <mergeCell ref="T117:T118"/>
    <mergeCell ref="S119:S120"/>
    <mergeCell ref="T119:T120"/>
    <mergeCell ref="S121:S122"/>
    <mergeCell ref="T121:T122"/>
    <mergeCell ref="S123:S124"/>
    <mergeCell ref="T123:T124"/>
    <mergeCell ref="S125:S126"/>
    <mergeCell ref="T125:T126"/>
    <mergeCell ref="AJ231:AK232"/>
    <mergeCell ref="AJ233:AK234"/>
    <mergeCell ref="AJ199:AK200"/>
    <mergeCell ref="AJ201:AK202"/>
    <mergeCell ref="AJ203:AK204"/>
    <mergeCell ref="AJ205:AK206"/>
    <mergeCell ref="AJ207:AK208"/>
    <mergeCell ref="AJ209:AK210"/>
    <mergeCell ref="AJ211:AK212"/>
    <mergeCell ref="AJ213:AK214"/>
    <mergeCell ref="AJ215:AK216"/>
    <mergeCell ref="AJ235:AK236"/>
    <mergeCell ref="J184:O185"/>
    <mergeCell ref="P184:P185"/>
    <mergeCell ref="Q184:R185"/>
    <mergeCell ref="J186:O187"/>
    <mergeCell ref="P186:P187"/>
    <mergeCell ref="Q186:R187"/>
    <mergeCell ref="J188:O189"/>
    <mergeCell ref="P188:P189"/>
    <mergeCell ref="Q188:R189"/>
    <mergeCell ref="AH184:AI185"/>
    <mergeCell ref="AH186:AI187"/>
    <mergeCell ref="AH188:AI189"/>
    <mergeCell ref="AJ184:AK185"/>
    <mergeCell ref="AJ186:AK187"/>
    <mergeCell ref="AJ188:AK189"/>
    <mergeCell ref="AJ217:AK218"/>
    <mergeCell ref="AJ219:AK220"/>
    <mergeCell ref="AJ221:AK222"/>
    <mergeCell ref="AJ223:AK224"/>
    <mergeCell ref="AJ225:AK226"/>
    <mergeCell ref="AJ117:AK118"/>
    <mergeCell ref="AJ141:AK142"/>
    <mergeCell ref="AJ143:AK144"/>
    <mergeCell ref="AJ145:AK146"/>
    <mergeCell ref="AJ137:AK138"/>
    <mergeCell ref="AJ139:AK140"/>
    <mergeCell ref="AJ121:AK122"/>
    <mergeCell ref="AJ129:AK130"/>
    <mergeCell ref="AJ119:AK120"/>
    <mergeCell ref="AJ197:AK198"/>
    <mergeCell ref="AJ154:AK155"/>
    <mergeCell ref="AJ156:AK157"/>
    <mergeCell ref="AJ158:AK159"/>
    <mergeCell ref="AJ160:AK161"/>
    <mergeCell ref="AJ162:AK163"/>
    <mergeCell ref="AJ164:AK165"/>
    <mergeCell ref="AJ166:AK167"/>
    <mergeCell ref="AJ168:AK169"/>
    <mergeCell ref="AJ170:AK171"/>
    <mergeCell ref="AJ195:AK196"/>
    <mergeCell ref="AJ176:AK177"/>
    <mergeCell ref="AJ178:AK179"/>
    <mergeCell ref="AJ180:AK181"/>
    <mergeCell ref="AJ182:AK183"/>
    <mergeCell ref="AJ147:AK148"/>
    <mergeCell ref="AJ172:AK173"/>
    <mergeCell ref="AJ174:AK175"/>
    <mergeCell ref="AJ133:AK134"/>
    <mergeCell ref="AJ44:AK45"/>
    <mergeCell ref="AJ46:AK47"/>
    <mergeCell ref="AJ48:AK49"/>
    <mergeCell ref="AJ50:AK51"/>
    <mergeCell ref="AJ52:AK53"/>
    <mergeCell ref="AJ54:AK55"/>
    <mergeCell ref="AJ56:AK57"/>
    <mergeCell ref="AJ58:AK59"/>
    <mergeCell ref="AJ60:AK61"/>
    <mergeCell ref="AJ62:AK63"/>
    <mergeCell ref="AJ64:AK65"/>
    <mergeCell ref="AJ66:AK67"/>
    <mergeCell ref="AJ68:AK69"/>
    <mergeCell ref="AJ70:AK71"/>
    <mergeCell ref="AJ72:AK73"/>
    <mergeCell ref="AJ74:AK75"/>
    <mergeCell ref="AJ76:AK77"/>
    <mergeCell ref="AJ78:AK79"/>
    <mergeCell ref="AJ80:AK81"/>
    <mergeCell ref="AJ82:AK83"/>
    <mergeCell ref="AJ84:AK85"/>
    <mergeCell ref="AJ86:AK87"/>
    <mergeCell ref="AJ88:AK89"/>
    <mergeCell ref="AJ90:AK91"/>
    <mergeCell ref="AJ97:AK98"/>
    <mergeCell ref="AJ99:AK100"/>
    <mergeCell ref="AJ101:AK102"/>
    <mergeCell ref="AJ135:AK136"/>
    <mergeCell ref="AJ111:AK112"/>
    <mergeCell ref="J113:O114"/>
    <mergeCell ref="P113:P114"/>
    <mergeCell ref="Q113:R114"/>
    <mergeCell ref="AH113:AI114"/>
    <mergeCell ref="AJ113:AK114"/>
    <mergeCell ref="AJ103:AK104"/>
    <mergeCell ref="AJ105:AK106"/>
    <mergeCell ref="Q109:R110"/>
    <mergeCell ref="AH109:AI110"/>
    <mergeCell ref="P131:P132"/>
    <mergeCell ref="Q131:R132"/>
    <mergeCell ref="AH131:AI132"/>
    <mergeCell ref="J123:O124"/>
    <mergeCell ref="P123:P124"/>
    <mergeCell ref="Q123:R124"/>
    <mergeCell ref="AH123:AI124"/>
    <mergeCell ref="AJ123:AK124"/>
    <mergeCell ref="J125:O126"/>
    <mergeCell ref="P125:P126"/>
    <mergeCell ref="Q125:R126"/>
    <mergeCell ref="AH125:AI126"/>
    <mergeCell ref="AJ125:AK126"/>
    <mergeCell ref="AJ131:AK132"/>
    <mergeCell ref="Q119:R120"/>
    <mergeCell ref="J117:O118"/>
    <mergeCell ref="P117:P118"/>
    <mergeCell ref="J131:O132"/>
    <mergeCell ref="AJ115:AK116"/>
    <mergeCell ref="AJ107:AK108"/>
    <mergeCell ref="AJ109:AK110"/>
    <mergeCell ref="AJ127:AK128"/>
    <mergeCell ref="AH170:AI171"/>
    <mergeCell ref="J115:O116"/>
    <mergeCell ref="P115:P116"/>
    <mergeCell ref="Q115:R116"/>
    <mergeCell ref="AH115:AI116"/>
    <mergeCell ref="AH129:AI130"/>
    <mergeCell ref="Q117:R118"/>
    <mergeCell ref="AH133:AI134"/>
    <mergeCell ref="J135:O136"/>
    <mergeCell ref="P135:P136"/>
    <mergeCell ref="Q135:R136"/>
    <mergeCell ref="AH135:AI136"/>
    <mergeCell ref="AH121:AI122"/>
    <mergeCell ref="AH127:AI128"/>
    <mergeCell ref="P156:P157"/>
    <mergeCell ref="J156:O157"/>
    <mergeCell ref="Q156:R157"/>
    <mergeCell ref="J145:O146"/>
    <mergeCell ref="V152:AG152"/>
    <mergeCell ref="S153:T153"/>
    <mergeCell ref="J164:O165"/>
    <mergeCell ref="S127:S128"/>
    <mergeCell ref="T127:T128"/>
    <mergeCell ref="S129:S130"/>
    <mergeCell ref="T129:T130"/>
    <mergeCell ref="S131:S132"/>
    <mergeCell ref="T131:T132"/>
    <mergeCell ref="J76:O77"/>
    <mergeCell ref="P76:P77"/>
    <mergeCell ref="E74:I77"/>
    <mergeCell ref="E78:I81"/>
    <mergeCell ref="E90:I91"/>
    <mergeCell ref="J82:O83"/>
    <mergeCell ref="J90:O91"/>
    <mergeCell ref="J78:O79"/>
    <mergeCell ref="P78:P79"/>
    <mergeCell ref="P90:P91"/>
    <mergeCell ref="J84:O85"/>
    <mergeCell ref="J88:O89"/>
    <mergeCell ref="P88:P89"/>
    <mergeCell ref="P82:P83"/>
    <mergeCell ref="J86:O87"/>
    <mergeCell ref="P86:P87"/>
    <mergeCell ref="E82:I89"/>
    <mergeCell ref="S96:T96"/>
    <mergeCell ref="J127:O128"/>
    <mergeCell ref="P127:P128"/>
    <mergeCell ref="Q127:R128"/>
    <mergeCell ref="S84:S85"/>
    <mergeCell ref="T84:T85"/>
    <mergeCell ref="S86:S87"/>
    <mergeCell ref="T86:T87"/>
    <mergeCell ref="S88:S89"/>
    <mergeCell ref="V95:AG95"/>
    <mergeCell ref="AH97:AI98"/>
    <mergeCell ref="AH90:AI91"/>
    <mergeCell ref="Q90:R91"/>
    <mergeCell ref="H92:J92"/>
    <mergeCell ref="S90:S91"/>
    <mergeCell ref="T90:T91"/>
    <mergeCell ref="P121:P122"/>
    <mergeCell ref="Q121:R122"/>
    <mergeCell ref="AH103:AI104"/>
    <mergeCell ref="AH105:AI106"/>
    <mergeCell ref="E95:I96"/>
    <mergeCell ref="J105:O106"/>
    <mergeCell ref="J107:O108"/>
    <mergeCell ref="P107:P108"/>
    <mergeCell ref="Q107:R108"/>
    <mergeCell ref="AH99:AI100"/>
    <mergeCell ref="AH101:AI102"/>
    <mergeCell ref="J119:O120"/>
    <mergeCell ref="E107:I110"/>
    <mergeCell ref="J109:O110"/>
    <mergeCell ref="P109:P110"/>
    <mergeCell ref="P119:P120"/>
    <mergeCell ref="AH107:AI108"/>
    <mergeCell ref="AH117:AI118"/>
    <mergeCell ref="AH119:AI120"/>
    <mergeCell ref="J111:O112"/>
    <mergeCell ref="P111:P112"/>
    <mergeCell ref="Q111:R112"/>
    <mergeCell ref="AH111:AI112"/>
    <mergeCell ref="J121:O122"/>
    <mergeCell ref="J97:O98"/>
    <mergeCell ref="AJ34:AK35"/>
    <mergeCell ref="AJ18:AK19"/>
    <mergeCell ref="AJ20:AK21"/>
    <mergeCell ref="Q78:R79"/>
    <mergeCell ref="Q88:R89"/>
    <mergeCell ref="AH88:AI89"/>
    <mergeCell ref="AH78:AI79"/>
    <mergeCell ref="Q80:R81"/>
    <mergeCell ref="AH80:AI81"/>
    <mergeCell ref="E68:I73"/>
    <mergeCell ref="J72:O73"/>
    <mergeCell ref="P72:P73"/>
    <mergeCell ref="Q72:R73"/>
    <mergeCell ref="AH72:AI73"/>
    <mergeCell ref="Q82:R83"/>
    <mergeCell ref="AH82:AI83"/>
    <mergeCell ref="Q84:R85"/>
    <mergeCell ref="AH84:AI85"/>
    <mergeCell ref="P84:P85"/>
    <mergeCell ref="AH70:AI71"/>
    <mergeCell ref="Q70:R71"/>
    <mergeCell ref="Q74:R75"/>
    <mergeCell ref="AH74:AI75"/>
    <mergeCell ref="Q76:R77"/>
    <mergeCell ref="AH76:AI77"/>
    <mergeCell ref="J68:O69"/>
    <mergeCell ref="J70:O71"/>
    <mergeCell ref="Q86:R87"/>
    <mergeCell ref="AH86:AI87"/>
    <mergeCell ref="J74:O75"/>
    <mergeCell ref="P74:P75"/>
    <mergeCell ref="J80:O81"/>
    <mergeCell ref="AJ22:AK23"/>
    <mergeCell ref="AJ24:AK25"/>
    <mergeCell ref="AJ26:AK27"/>
    <mergeCell ref="AJ28:AK29"/>
    <mergeCell ref="AJ30:AK31"/>
    <mergeCell ref="AJ32:AK33"/>
    <mergeCell ref="AH42:AI43"/>
    <mergeCell ref="AJ36:AK37"/>
    <mergeCell ref="AJ38:AK39"/>
    <mergeCell ref="AJ40:AK41"/>
    <mergeCell ref="AJ42:AK43"/>
    <mergeCell ref="P68:P69"/>
    <mergeCell ref="J50:O51"/>
    <mergeCell ref="J54:O55"/>
    <mergeCell ref="P54:P55"/>
    <mergeCell ref="Q54:R55"/>
    <mergeCell ref="AJ10:AK11"/>
    <mergeCell ref="AH24:AI25"/>
    <mergeCell ref="AH26:AI27"/>
    <mergeCell ref="AH28:AI29"/>
    <mergeCell ref="AH30:AI31"/>
    <mergeCell ref="AH32:AI33"/>
    <mergeCell ref="AH34:AI35"/>
    <mergeCell ref="AH12:AI13"/>
    <mergeCell ref="AH14:AI15"/>
    <mergeCell ref="AH16:AI17"/>
    <mergeCell ref="AH18:AI19"/>
    <mergeCell ref="AH20:AI21"/>
    <mergeCell ref="AH22:AI23"/>
    <mergeCell ref="AJ12:AK13"/>
    <mergeCell ref="AJ14:AK15"/>
    <mergeCell ref="AJ16:AK17"/>
    <mergeCell ref="U7:U23"/>
    <mergeCell ref="P18:P19"/>
    <mergeCell ref="V8:AG8"/>
    <mergeCell ref="P46:P47"/>
    <mergeCell ref="Q44:R45"/>
    <mergeCell ref="AH54:AI55"/>
    <mergeCell ref="AH36:AI37"/>
    <mergeCell ref="AH38:AI39"/>
    <mergeCell ref="AH40:AI41"/>
    <mergeCell ref="Q48:R49"/>
    <mergeCell ref="P50:P51"/>
    <mergeCell ref="J48:O49"/>
    <mergeCell ref="P48:P49"/>
    <mergeCell ref="J52:O53"/>
    <mergeCell ref="AH8:AI9"/>
    <mergeCell ref="T20:T21"/>
    <mergeCell ref="S22:S23"/>
    <mergeCell ref="T22:T23"/>
    <mergeCell ref="S24:S25"/>
    <mergeCell ref="T24:T25"/>
    <mergeCell ref="S26:S27"/>
    <mergeCell ref="T26:T27"/>
    <mergeCell ref="S28:S29"/>
    <mergeCell ref="T28:T29"/>
    <mergeCell ref="S40:S41"/>
    <mergeCell ref="T40:T41"/>
    <mergeCell ref="S42:S43"/>
    <mergeCell ref="T42:T43"/>
    <mergeCell ref="S44:S45"/>
    <mergeCell ref="T44:T45"/>
    <mergeCell ref="S46:S47"/>
    <mergeCell ref="T46:T47"/>
    <mergeCell ref="P64:P65"/>
    <mergeCell ref="Q64:R65"/>
    <mergeCell ref="P66:P67"/>
    <mergeCell ref="Q66:R67"/>
    <mergeCell ref="P52:P53"/>
    <mergeCell ref="Q52:R53"/>
    <mergeCell ref="J56:O57"/>
    <mergeCell ref="Q50:R51"/>
    <mergeCell ref="J58:O59"/>
    <mergeCell ref="P58:P59"/>
    <mergeCell ref="J66:O67"/>
    <mergeCell ref="P56:P57"/>
    <mergeCell ref="J60:O61"/>
    <mergeCell ref="P60:P61"/>
    <mergeCell ref="Q60:R61"/>
    <mergeCell ref="J62:O63"/>
    <mergeCell ref="P62:P63"/>
    <mergeCell ref="Q62:R63"/>
    <mergeCell ref="J64:O65"/>
    <mergeCell ref="Q56:R57"/>
    <mergeCell ref="B4:C4"/>
    <mergeCell ref="D4:E4"/>
    <mergeCell ref="F4:G4"/>
    <mergeCell ref="H4:J4"/>
    <mergeCell ref="P40:P41"/>
    <mergeCell ref="J10:O11"/>
    <mergeCell ref="P36:P37"/>
    <mergeCell ref="J38:O39"/>
    <mergeCell ref="B6:D6"/>
    <mergeCell ref="E6:V6"/>
    <mergeCell ref="Q28:R29"/>
    <mergeCell ref="Q30:R31"/>
    <mergeCell ref="P32:P33"/>
    <mergeCell ref="Q32:R33"/>
    <mergeCell ref="P34:P35"/>
    <mergeCell ref="Q34:R35"/>
    <mergeCell ref="P30:P31"/>
    <mergeCell ref="P38:P39"/>
    <mergeCell ref="Q38:R39"/>
    <mergeCell ref="S16:S17"/>
    <mergeCell ref="T16:T17"/>
    <mergeCell ref="S18:S19"/>
    <mergeCell ref="T18:T19"/>
    <mergeCell ref="S20:S21"/>
    <mergeCell ref="E10:I23"/>
    <mergeCell ref="J22:O23"/>
    <mergeCell ref="P22:P23"/>
    <mergeCell ref="Q22:R23"/>
    <mergeCell ref="J20:O21"/>
    <mergeCell ref="P20:P21"/>
    <mergeCell ref="Q20:R21"/>
    <mergeCell ref="P14:P15"/>
    <mergeCell ref="B46:D55"/>
    <mergeCell ref="B8:D9"/>
    <mergeCell ref="E8:I9"/>
    <mergeCell ref="E24:I35"/>
    <mergeCell ref="P12:P13"/>
    <mergeCell ref="Q12:R13"/>
    <mergeCell ref="Q40:R41"/>
    <mergeCell ref="P42:P43"/>
    <mergeCell ref="Q42:R43"/>
    <mergeCell ref="P44:P45"/>
    <mergeCell ref="Q24:R25"/>
    <mergeCell ref="Q26:R27"/>
    <mergeCell ref="P24:P25"/>
    <mergeCell ref="P26:P27"/>
    <mergeCell ref="Q36:R37"/>
    <mergeCell ref="P28:P29"/>
    <mergeCell ref="B24:D41"/>
    <mergeCell ref="J8:O9"/>
    <mergeCell ref="P8:P9"/>
    <mergeCell ref="Q8:R9"/>
    <mergeCell ref="Q46:R47"/>
    <mergeCell ref="B56:D73"/>
    <mergeCell ref="Q68:R69"/>
    <mergeCell ref="P70:P71"/>
    <mergeCell ref="Q58:R59"/>
    <mergeCell ref="Q14:R15"/>
    <mergeCell ref="J16:O17"/>
    <mergeCell ref="P16:P17"/>
    <mergeCell ref="Q16:R17"/>
    <mergeCell ref="J18:O19"/>
    <mergeCell ref="P10:P11"/>
    <mergeCell ref="Q10:R11"/>
    <mergeCell ref="J14:O15"/>
    <mergeCell ref="Q18:R19"/>
    <mergeCell ref="B93:D93"/>
    <mergeCell ref="B95:D96"/>
    <mergeCell ref="E56:I65"/>
    <mergeCell ref="E66:I67"/>
    <mergeCell ref="J36:O37"/>
    <mergeCell ref="J42:O43"/>
    <mergeCell ref="J46:O47"/>
    <mergeCell ref="J12:O13"/>
    <mergeCell ref="E42:I45"/>
    <mergeCell ref="J44:O45"/>
    <mergeCell ref="B42:D45"/>
    <mergeCell ref="E36:I41"/>
    <mergeCell ref="J40:O41"/>
    <mergeCell ref="J24:O25"/>
    <mergeCell ref="J26:O27"/>
    <mergeCell ref="J30:O31"/>
    <mergeCell ref="J28:O29"/>
    <mergeCell ref="J34:O35"/>
    <mergeCell ref="J32:O33"/>
    <mergeCell ref="B92:C92"/>
    <mergeCell ref="D92:E92"/>
    <mergeCell ref="F92:G92"/>
    <mergeCell ref="B10:D23"/>
    <mergeCell ref="E46:I51"/>
    <mergeCell ref="E52:I55"/>
    <mergeCell ref="E93:R93"/>
    <mergeCell ref="J96:O96"/>
    <mergeCell ref="J95:R95"/>
    <mergeCell ref="Q96:R96"/>
    <mergeCell ref="B74:D91"/>
    <mergeCell ref="P80:P81"/>
    <mergeCell ref="B209:D214"/>
    <mergeCell ref="E209:I214"/>
    <mergeCell ref="B191:D191"/>
    <mergeCell ref="B193:D194"/>
    <mergeCell ref="E193:I194"/>
    <mergeCell ref="P160:P161"/>
    <mergeCell ref="Q160:R161"/>
    <mergeCell ref="P176:P177"/>
    <mergeCell ref="Q176:R177"/>
    <mergeCell ref="B190:C190"/>
    <mergeCell ref="D190:E190"/>
    <mergeCell ref="F190:G190"/>
    <mergeCell ref="H190:J190"/>
    <mergeCell ref="J160:O161"/>
    <mergeCell ref="J176:O177"/>
    <mergeCell ref="J166:O167"/>
    <mergeCell ref="B195:D208"/>
    <mergeCell ref="E195:I208"/>
    <mergeCell ref="B184:D189"/>
    <mergeCell ref="E184:I187"/>
    <mergeCell ref="J170:O171"/>
    <mergeCell ref="P170:P171"/>
    <mergeCell ref="Q170:R171"/>
    <mergeCell ref="Q213:R214"/>
    <mergeCell ref="J178:O179"/>
    <mergeCell ref="J180:O181"/>
    <mergeCell ref="P178:P179"/>
    <mergeCell ref="B121:D128"/>
    <mergeCell ref="E121:I126"/>
    <mergeCell ref="E127:I128"/>
    <mergeCell ref="B97:D120"/>
    <mergeCell ref="E97:I100"/>
    <mergeCell ref="E111:I120"/>
    <mergeCell ref="P97:P98"/>
    <mergeCell ref="P99:P100"/>
    <mergeCell ref="Q97:R98"/>
    <mergeCell ref="Q99:R100"/>
    <mergeCell ref="P101:P102"/>
    <mergeCell ref="P103:P104"/>
    <mergeCell ref="P105:P106"/>
    <mergeCell ref="Q101:R102"/>
    <mergeCell ref="Q103:R104"/>
    <mergeCell ref="Q105:R106"/>
    <mergeCell ref="J99:O100"/>
    <mergeCell ref="E101:I106"/>
    <mergeCell ref="J101:O102"/>
    <mergeCell ref="J103:O104"/>
    <mergeCell ref="P164:P165"/>
    <mergeCell ref="Q164:R165"/>
    <mergeCell ref="J168:O169"/>
    <mergeCell ref="P168:P169"/>
    <mergeCell ref="Q168:R169"/>
    <mergeCell ref="B129:D136"/>
    <mergeCell ref="B149:C149"/>
    <mergeCell ref="D149:E149"/>
    <mergeCell ref="F149:G149"/>
    <mergeCell ref="B137:D148"/>
    <mergeCell ref="B151:R151"/>
    <mergeCell ref="J137:O138"/>
    <mergeCell ref="P137:P138"/>
    <mergeCell ref="Q143:R144"/>
    <mergeCell ref="J143:O144"/>
    <mergeCell ref="P143:P144"/>
    <mergeCell ref="J139:O140"/>
    <mergeCell ref="P139:P140"/>
    <mergeCell ref="J133:O134"/>
    <mergeCell ref="P133:P134"/>
    <mergeCell ref="Q133:R134"/>
    <mergeCell ref="E129:I131"/>
    <mergeCell ref="E132:I134"/>
    <mergeCell ref="E135:I136"/>
    <mergeCell ref="J129:O130"/>
    <mergeCell ref="P129:P130"/>
    <mergeCell ref="Q129:R130"/>
    <mergeCell ref="Q145:R146"/>
    <mergeCell ref="P145:P146"/>
    <mergeCell ref="B176:D183"/>
    <mergeCell ref="E176:I183"/>
    <mergeCell ref="P166:P167"/>
    <mergeCell ref="Q166:R167"/>
    <mergeCell ref="B154:D175"/>
    <mergeCell ref="J158:O159"/>
    <mergeCell ref="P158:P159"/>
    <mergeCell ref="Q158:R159"/>
    <mergeCell ref="B150:D150"/>
    <mergeCell ref="B152:D153"/>
    <mergeCell ref="E152:I153"/>
    <mergeCell ref="J182:O183"/>
    <mergeCell ref="J174:O175"/>
    <mergeCell ref="P174:P175"/>
    <mergeCell ref="Q174:R175"/>
    <mergeCell ref="E172:I173"/>
    <mergeCell ref="E174:I175"/>
    <mergeCell ref="E154:I163"/>
    <mergeCell ref="J152:R152"/>
    <mergeCell ref="J153:O153"/>
    <mergeCell ref="J154:O155"/>
    <mergeCell ref="P154:P155"/>
    <mergeCell ref="Q162:R163"/>
    <mergeCell ref="P180:P181"/>
    <mergeCell ref="Q178:R179"/>
    <mergeCell ref="Q180:R181"/>
    <mergeCell ref="J172:O173"/>
    <mergeCell ref="P172:P173"/>
    <mergeCell ref="Q172:R173"/>
    <mergeCell ref="J162:O163"/>
    <mergeCell ref="E164:I171"/>
    <mergeCell ref="Q219:R220"/>
    <mergeCell ref="J227:O228"/>
    <mergeCell ref="P227:P228"/>
    <mergeCell ref="Q227:R228"/>
    <mergeCell ref="J219:O220"/>
    <mergeCell ref="P219:P220"/>
    <mergeCell ref="J141:O142"/>
    <mergeCell ref="P141:P142"/>
    <mergeCell ref="J150:R150"/>
    <mergeCell ref="H149:J149"/>
    <mergeCell ref="U150:U154"/>
    <mergeCell ref="Q153:R153"/>
    <mergeCell ref="E143:I148"/>
    <mergeCell ref="J147:O148"/>
    <mergeCell ref="P147:P148"/>
    <mergeCell ref="Q147:R148"/>
    <mergeCell ref="E137:I142"/>
    <mergeCell ref="Q154:R155"/>
    <mergeCell ref="Q137:R138"/>
    <mergeCell ref="Q139:R140"/>
    <mergeCell ref="Q141:R142"/>
    <mergeCell ref="E188:I189"/>
    <mergeCell ref="S156:S157"/>
    <mergeCell ref="T156:T157"/>
    <mergeCell ref="S158:S159"/>
    <mergeCell ref="T158:T159"/>
    <mergeCell ref="S160:S161"/>
    <mergeCell ref="T160:T161"/>
    <mergeCell ref="S162:S163"/>
    <mergeCell ref="T162:T163"/>
    <mergeCell ref="S164:S165"/>
    <mergeCell ref="T164:T165"/>
    <mergeCell ref="AH227:AI228"/>
    <mergeCell ref="J229:O230"/>
    <mergeCell ref="P229:P230"/>
    <mergeCell ref="Q229:R230"/>
    <mergeCell ref="B215:D236"/>
    <mergeCell ref="J233:O234"/>
    <mergeCell ref="P233:P234"/>
    <mergeCell ref="Q233:R234"/>
    <mergeCell ref="AH229:AI230"/>
    <mergeCell ref="J231:O232"/>
    <mergeCell ref="P231:P232"/>
    <mergeCell ref="Q231:R232"/>
    <mergeCell ref="AH231:AI232"/>
    <mergeCell ref="AH235:AI236"/>
    <mergeCell ref="AH233:AI234"/>
    <mergeCell ref="AH223:AI224"/>
    <mergeCell ref="AH225:AI226"/>
    <mergeCell ref="J221:O222"/>
    <mergeCell ref="P221:P222"/>
    <mergeCell ref="Q221:R222"/>
    <mergeCell ref="Q235:R236"/>
    <mergeCell ref="AH221:AI222"/>
    <mergeCell ref="E215:I236"/>
    <mergeCell ref="J215:O216"/>
    <mergeCell ref="J235:O236"/>
    <mergeCell ref="P235:P236"/>
    <mergeCell ref="J223:O224"/>
    <mergeCell ref="P223:P224"/>
    <mergeCell ref="Q223:R224"/>
    <mergeCell ref="J225:O226"/>
    <mergeCell ref="P225:P226"/>
    <mergeCell ref="Q225:R226"/>
    <mergeCell ref="J209:O210"/>
    <mergeCell ref="J211:O212"/>
    <mergeCell ref="J213:O214"/>
    <mergeCell ref="P209:P210"/>
    <mergeCell ref="P211:P212"/>
    <mergeCell ref="P213:P214"/>
    <mergeCell ref="Q209:R210"/>
    <mergeCell ref="Q211:R212"/>
    <mergeCell ref="AH217:AI218"/>
    <mergeCell ref="E192:T192"/>
    <mergeCell ref="P201:P202"/>
    <mergeCell ref="J201:O202"/>
    <mergeCell ref="AH219:AI220"/>
    <mergeCell ref="J203:O204"/>
    <mergeCell ref="P203:P204"/>
    <mergeCell ref="Q203:R204"/>
    <mergeCell ref="AH209:AI210"/>
    <mergeCell ref="AH205:AI206"/>
    <mergeCell ref="AH207:AI208"/>
    <mergeCell ref="J217:O218"/>
    <mergeCell ref="V193:AG193"/>
    <mergeCell ref="J193:R193"/>
    <mergeCell ref="J194:O194"/>
    <mergeCell ref="Q194:R194"/>
    <mergeCell ref="U190:U196"/>
    <mergeCell ref="J195:O196"/>
    <mergeCell ref="P195:P196"/>
    <mergeCell ref="Q195:R196"/>
    <mergeCell ref="Q201:R202"/>
    <mergeCell ref="P215:P216"/>
    <mergeCell ref="Q215:R216"/>
    <mergeCell ref="J197:O198"/>
    <mergeCell ref="AH203:AI204"/>
    <mergeCell ref="AH158:AI159"/>
    <mergeCell ref="AH201:AI202"/>
    <mergeCell ref="AH168:AI169"/>
    <mergeCell ref="AH195:AI196"/>
    <mergeCell ref="AH215:AI216"/>
    <mergeCell ref="AH172:AI173"/>
    <mergeCell ref="AH160:AI161"/>
    <mergeCell ref="AH180:AI181"/>
    <mergeCell ref="AH164:AI165"/>
    <mergeCell ref="AH166:AI167"/>
    <mergeCell ref="AH213:AI214"/>
    <mergeCell ref="AH211:AI212"/>
    <mergeCell ref="AH162:AI163"/>
    <mergeCell ref="AH197:AI198"/>
    <mergeCell ref="AH199:AI200"/>
    <mergeCell ref="P217:P218"/>
    <mergeCell ref="Q217:R218"/>
    <mergeCell ref="E191:R191"/>
    <mergeCell ref="P197:P198"/>
    <mergeCell ref="Q197:R198"/>
    <mergeCell ref="J199:O200"/>
    <mergeCell ref="P199:P200"/>
    <mergeCell ref="Q199:R200"/>
    <mergeCell ref="P182:P183"/>
    <mergeCell ref="Q182:R183"/>
    <mergeCell ref="J205:O206"/>
    <mergeCell ref="J207:O208"/>
    <mergeCell ref="P205:P206"/>
    <mergeCell ref="P207:P208"/>
    <mergeCell ref="Q205:R206"/>
    <mergeCell ref="Q207:R208"/>
    <mergeCell ref="AJ8:AK9"/>
    <mergeCell ref="AH95:AI96"/>
    <mergeCell ref="AJ95:AK96"/>
    <mergeCell ref="AH152:AI153"/>
    <mergeCell ref="AJ152:AK153"/>
    <mergeCell ref="AH193:AI194"/>
    <mergeCell ref="AJ193:AK194"/>
    <mergeCell ref="AH137:AI138"/>
    <mergeCell ref="AH139:AI140"/>
    <mergeCell ref="AH141:AI142"/>
    <mergeCell ref="AH145:AI146"/>
    <mergeCell ref="AH143:AI144"/>
    <mergeCell ref="AH147:AI148"/>
    <mergeCell ref="AH154:AI155"/>
    <mergeCell ref="AH156:AI157"/>
    <mergeCell ref="AH174:AI175"/>
    <mergeCell ref="AH176:AI177"/>
    <mergeCell ref="AH178:AI179"/>
    <mergeCell ref="AH182:AI183"/>
    <mergeCell ref="AH58:AI59"/>
    <mergeCell ref="AH60:AI61"/>
    <mergeCell ref="AH62:AI63"/>
    <mergeCell ref="AH64:AI65"/>
    <mergeCell ref="AH66:AI67"/>
    <mergeCell ref="AH68:AI69"/>
    <mergeCell ref="AH44:AI45"/>
    <mergeCell ref="AH46:AI47"/>
    <mergeCell ref="AH48:AI49"/>
    <mergeCell ref="AH50:AI51"/>
    <mergeCell ref="AH52:AI53"/>
    <mergeCell ref="AH56:AI57"/>
    <mergeCell ref="AH10:AI11"/>
    <mergeCell ref="AR12:AR13"/>
    <mergeCell ref="AS12:AS13"/>
    <mergeCell ref="AT12:AT13"/>
    <mergeCell ref="AU12:AU13"/>
    <mergeCell ref="AV12:AV13"/>
    <mergeCell ref="AW12:AW13"/>
    <mergeCell ref="AX12:AX13"/>
    <mergeCell ref="AY12:AY13"/>
    <mergeCell ref="AM10:AM11"/>
    <mergeCell ref="AL10:AL11"/>
    <mergeCell ref="AN10:AN11"/>
    <mergeCell ref="AO10:AO11"/>
    <mergeCell ref="AP10:AP11"/>
    <mergeCell ref="AQ10:AQ11"/>
    <mergeCell ref="AR10:AR11"/>
    <mergeCell ref="AS10:AS11"/>
    <mergeCell ref="AT10:AT11"/>
    <mergeCell ref="AY8:AY9"/>
    <mergeCell ref="S10:S11"/>
    <mergeCell ref="T10:T11"/>
    <mergeCell ref="AL14:AL15"/>
    <mergeCell ref="AM14:AM15"/>
    <mergeCell ref="AN14:AN15"/>
    <mergeCell ref="AO14:AO15"/>
    <mergeCell ref="AP14:AP15"/>
    <mergeCell ref="AQ14:AQ15"/>
    <mergeCell ref="AR14:AR15"/>
    <mergeCell ref="AS14:AS15"/>
    <mergeCell ref="AT14:AT15"/>
    <mergeCell ref="AU14:AU15"/>
    <mergeCell ref="AV14:AV15"/>
    <mergeCell ref="AW14:AW15"/>
    <mergeCell ref="AX14:AX15"/>
    <mergeCell ref="AY14:AY15"/>
    <mergeCell ref="S12:S13"/>
    <mergeCell ref="T12:T13"/>
    <mergeCell ref="S14:S15"/>
    <mergeCell ref="T14:T15"/>
    <mergeCell ref="AU10:AU11"/>
    <mergeCell ref="AV10:AV11"/>
    <mergeCell ref="AW10:AW11"/>
    <mergeCell ref="AX10:AX11"/>
    <mergeCell ref="AY10:AY11"/>
    <mergeCell ref="AL12:AL13"/>
    <mergeCell ref="AM12:AM13"/>
    <mergeCell ref="AN12:AN13"/>
    <mergeCell ref="AO12:AO13"/>
    <mergeCell ref="AP12:AP13"/>
    <mergeCell ref="AQ12:AQ13"/>
    <mergeCell ref="AU16:AU17"/>
    <mergeCell ref="AV16:AV17"/>
    <mergeCell ref="AW16:AW17"/>
    <mergeCell ref="AX16:AX17"/>
    <mergeCell ref="AY16:AY17"/>
    <mergeCell ref="AL18:AL19"/>
    <mergeCell ref="AM18:AM19"/>
    <mergeCell ref="AN18:AN19"/>
    <mergeCell ref="AO18:AO19"/>
    <mergeCell ref="AP18:AP19"/>
    <mergeCell ref="AQ18:AQ19"/>
    <mergeCell ref="AR18:AR19"/>
    <mergeCell ref="AS18:AS19"/>
    <mergeCell ref="AT18:AT19"/>
    <mergeCell ref="AU18:AU19"/>
    <mergeCell ref="AV18:AV19"/>
    <mergeCell ref="AW18:AW19"/>
    <mergeCell ref="AX18:AX19"/>
    <mergeCell ref="AY18:AY19"/>
    <mergeCell ref="AL16:AL17"/>
    <mergeCell ref="AM16:AM17"/>
    <mergeCell ref="AN16:AN17"/>
    <mergeCell ref="AO16:AO17"/>
    <mergeCell ref="AP16:AP17"/>
    <mergeCell ref="AQ16:AQ17"/>
    <mergeCell ref="AR16:AR17"/>
    <mergeCell ref="AS16:AS17"/>
    <mergeCell ref="AT16:AT17"/>
    <mergeCell ref="AU20:AU21"/>
    <mergeCell ref="AV20:AV21"/>
    <mergeCell ref="AW20:AW21"/>
    <mergeCell ref="AX20:AX21"/>
    <mergeCell ref="AY20:AY21"/>
    <mergeCell ref="AL22:AL23"/>
    <mergeCell ref="AM22:AM23"/>
    <mergeCell ref="AN22:AN23"/>
    <mergeCell ref="AO22:AO23"/>
    <mergeCell ref="AP22:AP23"/>
    <mergeCell ref="AQ22:AQ23"/>
    <mergeCell ref="AR22:AR23"/>
    <mergeCell ref="AS22:AS23"/>
    <mergeCell ref="AT22:AT23"/>
    <mergeCell ref="AU22:AU23"/>
    <mergeCell ref="AV22:AV23"/>
    <mergeCell ref="AW22:AW23"/>
    <mergeCell ref="AX22:AX23"/>
    <mergeCell ref="AY22:AY23"/>
    <mergeCell ref="AL20:AL21"/>
    <mergeCell ref="AM20:AM21"/>
    <mergeCell ref="AN20:AN21"/>
    <mergeCell ref="AO20:AO21"/>
    <mergeCell ref="AP20:AP21"/>
    <mergeCell ref="AQ20:AQ21"/>
    <mergeCell ref="AR20:AR21"/>
    <mergeCell ref="AS20:AS21"/>
    <mergeCell ref="AT20:AT21"/>
    <mergeCell ref="AU24:AU25"/>
    <mergeCell ref="AV24:AV25"/>
    <mergeCell ref="AW24:AW25"/>
    <mergeCell ref="AX24:AX25"/>
    <mergeCell ref="AY24:AY25"/>
    <mergeCell ref="AL26:AL27"/>
    <mergeCell ref="AM26:AM27"/>
    <mergeCell ref="AN26:AN27"/>
    <mergeCell ref="AO26:AO27"/>
    <mergeCell ref="AP26:AP27"/>
    <mergeCell ref="AQ26:AQ27"/>
    <mergeCell ref="AR26:AR27"/>
    <mergeCell ref="AS26:AS27"/>
    <mergeCell ref="AT26:AT27"/>
    <mergeCell ref="AU26:AU27"/>
    <mergeCell ref="AV26:AV27"/>
    <mergeCell ref="AW26:AW27"/>
    <mergeCell ref="AX26:AX27"/>
    <mergeCell ref="AY26:AY27"/>
    <mergeCell ref="AL24:AL25"/>
    <mergeCell ref="AM24:AM25"/>
    <mergeCell ref="AN24:AN25"/>
    <mergeCell ref="AO24:AO25"/>
    <mergeCell ref="AP24:AP25"/>
    <mergeCell ref="AQ24:AQ25"/>
    <mergeCell ref="AR24:AR25"/>
    <mergeCell ref="AS24:AS25"/>
    <mergeCell ref="AT24:AT25"/>
    <mergeCell ref="AU28:AU29"/>
    <mergeCell ref="AV28:AV29"/>
    <mergeCell ref="AW28:AW29"/>
    <mergeCell ref="AX28:AX29"/>
    <mergeCell ref="AY28:AY29"/>
    <mergeCell ref="AL30:AL31"/>
    <mergeCell ref="AM30:AM31"/>
    <mergeCell ref="AN30:AN31"/>
    <mergeCell ref="AO30:AO31"/>
    <mergeCell ref="AP30:AP31"/>
    <mergeCell ref="AQ30:AQ31"/>
    <mergeCell ref="AR30:AR31"/>
    <mergeCell ref="AS30:AS31"/>
    <mergeCell ref="AT30:AT31"/>
    <mergeCell ref="AU30:AU31"/>
    <mergeCell ref="AV30:AV31"/>
    <mergeCell ref="AW30:AW31"/>
    <mergeCell ref="AX30:AX31"/>
    <mergeCell ref="AY30:AY31"/>
    <mergeCell ref="AL28:AL29"/>
    <mergeCell ref="AM28:AM29"/>
    <mergeCell ref="AN28:AN29"/>
    <mergeCell ref="AO28:AO29"/>
    <mergeCell ref="AP28:AP29"/>
    <mergeCell ref="AQ28:AQ29"/>
    <mergeCell ref="AR28:AR29"/>
    <mergeCell ref="AS28:AS29"/>
    <mergeCell ref="AT28:AT29"/>
    <mergeCell ref="AU32:AU33"/>
    <mergeCell ref="AV32:AV33"/>
    <mergeCell ref="AW32:AW33"/>
    <mergeCell ref="AX32:AX33"/>
    <mergeCell ref="AY32:AY33"/>
    <mergeCell ref="AL34:AL35"/>
    <mergeCell ref="AM34:AM35"/>
    <mergeCell ref="AN34:AN35"/>
    <mergeCell ref="AO34:AO35"/>
    <mergeCell ref="AP34:AP35"/>
    <mergeCell ref="AQ34:AQ35"/>
    <mergeCell ref="AR34:AR35"/>
    <mergeCell ref="AS34:AS35"/>
    <mergeCell ref="AT34:AT35"/>
    <mergeCell ref="AU34:AU35"/>
    <mergeCell ref="AV34:AV35"/>
    <mergeCell ref="AW34:AW35"/>
    <mergeCell ref="AX34:AX35"/>
    <mergeCell ref="AY34:AY35"/>
    <mergeCell ref="AL32:AL33"/>
    <mergeCell ref="AM32:AM33"/>
    <mergeCell ref="AN32:AN33"/>
    <mergeCell ref="AO32:AO33"/>
    <mergeCell ref="AP32:AP33"/>
    <mergeCell ref="AQ32:AQ33"/>
    <mergeCell ref="AR32:AR33"/>
    <mergeCell ref="AS32:AS33"/>
    <mergeCell ref="AT32:AT33"/>
    <mergeCell ref="AU36:AU37"/>
    <mergeCell ref="AV36:AV37"/>
    <mergeCell ref="AW36:AW37"/>
    <mergeCell ref="AX36:AX37"/>
    <mergeCell ref="AY36:AY37"/>
    <mergeCell ref="AL38:AL39"/>
    <mergeCell ref="AM38:AM39"/>
    <mergeCell ref="AN38:AN39"/>
    <mergeCell ref="AO38:AO39"/>
    <mergeCell ref="AP38:AP39"/>
    <mergeCell ref="AQ38:AQ39"/>
    <mergeCell ref="AR38:AR39"/>
    <mergeCell ref="AS38:AS39"/>
    <mergeCell ref="AT38:AT39"/>
    <mergeCell ref="AU38:AU39"/>
    <mergeCell ref="AV38:AV39"/>
    <mergeCell ref="AW38:AW39"/>
    <mergeCell ref="AX38:AX39"/>
    <mergeCell ref="AY38:AY39"/>
    <mergeCell ref="AL36:AL37"/>
    <mergeCell ref="AM36:AM37"/>
    <mergeCell ref="AN36:AN37"/>
    <mergeCell ref="AO36:AO37"/>
    <mergeCell ref="AP36:AP37"/>
    <mergeCell ref="AQ36:AQ37"/>
    <mergeCell ref="AR36:AR37"/>
    <mergeCell ref="AS36:AS37"/>
    <mergeCell ref="AT36:AT37"/>
    <mergeCell ref="AU40:AU41"/>
    <mergeCell ref="AV40:AV41"/>
    <mergeCell ref="AW40:AW41"/>
    <mergeCell ref="AX40:AX41"/>
    <mergeCell ref="AY40:AY41"/>
    <mergeCell ref="AL42:AL43"/>
    <mergeCell ref="AM42:AM43"/>
    <mergeCell ref="AN42:AN43"/>
    <mergeCell ref="AO42:AO43"/>
    <mergeCell ref="AP42:AP43"/>
    <mergeCell ref="AQ42:AQ43"/>
    <mergeCell ref="AR42:AR43"/>
    <mergeCell ref="AS42:AS43"/>
    <mergeCell ref="AT42:AT43"/>
    <mergeCell ref="AU42:AU43"/>
    <mergeCell ref="AV42:AV43"/>
    <mergeCell ref="AW42:AW43"/>
    <mergeCell ref="AX42:AX43"/>
    <mergeCell ref="AY42:AY43"/>
    <mergeCell ref="AL40:AL41"/>
    <mergeCell ref="AM40:AM41"/>
    <mergeCell ref="AN40:AN41"/>
    <mergeCell ref="AO40:AO41"/>
    <mergeCell ref="AP40:AP41"/>
    <mergeCell ref="AQ40:AQ41"/>
    <mergeCell ref="AR40:AR41"/>
    <mergeCell ref="AS40:AS41"/>
    <mergeCell ref="AT40:AT41"/>
    <mergeCell ref="AU44:AU45"/>
    <mergeCell ref="AV44:AV45"/>
    <mergeCell ref="AW44:AW45"/>
    <mergeCell ref="AX44:AX45"/>
    <mergeCell ref="AY44:AY45"/>
    <mergeCell ref="AL46:AL47"/>
    <mergeCell ref="AM46:AM47"/>
    <mergeCell ref="AN46:AN47"/>
    <mergeCell ref="AO46:AO47"/>
    <mergeCell ref="AP46:AP47"/>
    <mergeCell ref="AQ46:AQ47"/>
    <mergeCell ref="AR46:AR47"/>
    <mergeCell ref="AS46:AS47"/>
    <mergeCell ref="AT46:AT47"/>
    <mergeCell ref="AU46:AU47"/>
    <mergeCell ref="AV46:AV47"/>
    <mergeCell ref="AW46:AW47"/>
    <mergeCell ref="AX46:AX47"/>
    <mergeCell ref="AY46:AY47"/>
    <mergeCell ref="AL44:AL45"/>
    <mergeCell ref="AM44:AM45"/>
    <mergeCell ref="AN44:AN45"/>
    <mergeCell ref="AO44:AO45"/>
    <mergeCell ref="AP44:AP45"/>
    <mergeCell ref="AQ44:AQ45"/>
    <mergeCell ref="AR44:AR45"/>
    <mergeCell ref="AS44:AS45"/>
    <mergeCell ref="AT44:AT45"/>
    <mergeCell ref="AU48:AU49"/>
    <mergeCell ref="AV48:AV49"/>
    <mergeCell ref="AW48:AW49"/>
    <mergeCell ref="AX48:AX49"/>
    <mergeCell ref="AY48:AY49"/>
    <mergeCell ref="AL50:AL51"/>
    <mergeCell ref="AM50:AM51"/>
    <mergeCell ref="AN50:AN51"/>
    <mergeCell ref="AO50:AO51"/>
    <mergeCell ref="AP50:AP51"/>
    <mergeCell ref="AQ50:AQ51"/>
    <mergeCell ref="AR50:AR51"/>
    <mergeCell ref="AS50:AS51"/>
    <mergeCell ref="AT50:AT51"/>
    <mergeCell ref="AU50:AU51"/>
    <mergeCell ref="AV50:AV51"/>
    <mergeCell ref="AW50:AW51"/>
    <mergeCell ref="AX50:AX51"/>
    <mergeCell ref="AY50:AY51"/>
    <mergeCell ref="AL48:AL49"/>
    <mergeCell ref="AM48:AM49"/>
    <mergeCell ref="AN48:AN49"/>
    <mergeCell ref="AO48:AO49"/>
    <mergeCell ref="AP48:AP49"/>
    <mergeCell ref="AQ48:AQ49"/>
    <mergeCell ref="AR48:AR49"/>
    <mergeCell ref="AS48:AS49"/>
    <mergeCell ref="AT48:AT49"/>
    <mergeCell ref="AU52:AU53"/>
    <mergeCell ref="AV52:AV53"/>
    <mergeCell ref="AW52:AW53"/>
    <mergeCell ref="AX52:AX53"/>
    <mergeCell ref="AY52:AY53"/>
    <mergeCell ref="AL54:AL55"/>
    <mergeCell ref="AM54:AM55"/>
    <mergeCell ref="AN54:AN55"/>
    <mergeCell ref="AO54:AO55"/>
    <mergeCell ref="AP54:AP55"/>
    <mergeCell ref="AQ54:AQ55"/>
    <mergeCell ref="AR54:AR55"/>
    <mergeCell ref="AS54:AS55"/>
    <mergeCell ref="AT54:AT55"/>
    <mergeCell ref="AU54:AU55"/>
    <mergeCell ref="AV54:AV55"/>
    <mergeCell ref="AW54:AW55"/>
    <mergeCell ref="AX54:AX55"/>
    <mergeCell ref="AY54:AY55"/>
    <mergeCell ref="AL52:AL53"/>
    <mergeCell ref="AM52:AM53"/>
    <mergeCell ref="AN52:AN53"/>
    <mergeCell ref="AO52:AO53"/>
    <mergeCell ref="AP52:AP53"/>
    <mergeCell ref="AQ52:AQ53"/>
    <mergeCell ref="AR52:AR53"/>
    <mergeCell ref="AS52:AS53"/>
    <mergeCell ref="AT52:AT53"/>
    <mergeCell ref="AU56:AU57"/>
    <mergeCell ref="AV56:AV57"/>
    <mergeCell ref="AW56:AW57"/>
    <mergeCell ref="AX56:AX57"/>
    <mergeCell ref="AY56:AY57"/>
    <mergeCell ref="AL58:AL59"/>
    <mergeCell ref="AM58:AM59"/>
    <mergeCell ref="AN58:AN59"/>
    <mergeCell ref="AO58:AO59"/>
    <mergeCell ref="AP58:AP59"/>
    <mergeCell ref="AQ58:AQ59"/>
    <mergeCell ref="AR58:AR59"/>
    <mergeCell ref="AS58:AS59"/>
    <mergeCell ref="AT58:AT59"/>
    <mergeCell ref="AU58:AU59"/>
    <mergeCell ref="AV58:AV59"/>
    <mergeCell ref="AW58:AW59"/>
    <mergeCell ref="AX58:AX59"/>
    <mergeCell ref="AY58:AY59"/>
    <mergeCell ref="AL56:AL57"/>
    <mergeCell ref="AM56:AM57"/>
    <mergeCell ref="AN56:AN57"/>
    <mergeCell ref="AO56:AO57"/>
    <mergeCell ref="AP56:AP57"/>
    <mergeCell ref="AQ56:AQ57"/>
    <mergeCell ref="AR56:AR57"/>
    <mergeCell ref="AS56:AS57"/>
    <mergeCell ref="AT56:AT57"/>
    <mergeCell ref="AU60:AU61"/>
    <mergeCell ref="AV60:AV61"/>
    <mergeCell ref="AW60:AW61"/>
    <mergeCell ref="AX60:AX61"/>
    <mergeCell ref="AY60:AY61"/>
    <mergeCell ref="AL62:AL63"/>
    <mergeCell ref="AM62:AM63"/>
    <mergeCell ref="AN62:AN63"/>
    <mergeCell ref="AO62:AO63"/>
    <mergeCell ref="AP62:AP63"/>
    <mergeCell ref="AQ62:AQ63"/>
    <mergeCell ref="AR62:AR63"/>
    <mergeCell ref="AS62:AS63"/>
    <mergeCell ref="AT62:AT63"/>
    <mergeCell ref="AU62:AU63"/>
    <mergeCell ref="AV62:AV63"/>
    <mergeCell ref="AW62:AW63"/>
    <mergeCell ref="AX62:AX63"/>
    <mergeCell ref="AY62:AY63"/>
    <mergeCell ref="AL60:AL61"/>
    <mergeCell ref="AM60:AM61"/>
    <mergeCell ref="AN60:AN61"/>
    <mergeCell ref="AO60:AO61"/>
    <mergeCell ref="AP60:AP61"/>
    <mergeCell ref="AQ60:AQ61"/>
    <mergeCell ref="AR60:AR61"/>
    <mergeCell ref="AS60:AS61"/>
    <mergeCell ref="AT60:AT61"/>
    <mergeCell ref="AU64:AU65"/>
    <mergeCell ref="AV64:AV65"/>
    <mergeCell ref="AW64:AW65"/>
    <mergeCell ref="AX64:AX65"/>
    <mergeCell ref="AY64:AY65"/>
    <mergeCell ref="AL66:AL67"/>
    <mergeCell ref="AM66:AM67"/>
    <mergeCell ref="AN66:AN67"/>
    <mergeCell ref="AO66:AO67"/>
    <mergeCell ref="AP66:AP67"/>
    <mergeCell ref="AQ66:AQ67"/>
    <mergeCell ref="AR66:AR67"/>
    <mergeCell ref="AS66:AS67"/>
    <mergeCell ref="AT66:AT67"/>
    <mergeCell ref="AU66:AU67"/>
    <mergeCell ref="AV66:AV67"/>
    <mergeCell ref="AW66:AW67"/>
    <mergeCell ref="AX66:AX67"/>
    <mergeCell ref="AY66:AY67"/>
    <mergeCell ref="AL64:AL65"/>
    <mergeCell ref="AM64:AM65"/>
    <mergeCell ref="AN64:AN65"/>
    <mergeCell ref="AO64:AO65"/>
    <mergeCell ref="AP64:AP65"/>
    <mergeCell ref="AQ64:AQ65"/>
    <mergeCell ref="AR64:AR65"/>
    <mergeCell ref="AS64:AS65"/>
    <mergeCell ref="AT64:AT65"/>
    <mergeCell ref="AU68:AU69"/>
    <mergeCell ref="AV68:AV69"/>
    <mergeCell ref="AW68:AW69"/>
    <mergeCell ref="AX68:AX69"/>
    <mergeCell ref="AY68:AY69"/>
    <mergeCell ref="AL70:AL71"/>
    <mergeCell ref="AM70:AM71"/>
    <mergeCell ref="AN70:AN71"/>
    <mergeCell ref="AO70:AO71"/>
    <mergeCell ref="AP70:AP71"/>
    <mergeCell ref="AQ70:AQ71"/>
    <mergeCell ref="AR70:AR71"/>
    <mergeCell ref="AS70:AS71"/>
    <mergeCell ref="AT70:AT71"/>
    <mergeCell ref="AU70:AU71"/>
    <mergeCell ref="AV70:AV71"/>
    <mergeCell ref="AW70:AW71"/>
    <mergeCell ref="AX70:AX71"/>
    <mergeCell ref="AY70:AY71"/>
    <mergeCell ref="AL68:AL69"/>
    <mergeCell ref="AM68:AM69"/>
    <mergeCell ref="AN68:AN69"/>
    <mergeCell ref="AO68:AO69"/>
    <mergeCell ref="AP68:AP69"/>
    <mergeCell ref="AQ68:AQ69"/>
    <mergeCell ref="AR68:AR69"/>
    <mergeCell ref="AS68:AS69"/>
    <mergeCell ref="AT68:AT69"/>
    <mergeCell ref="AU72:AU73"/>
    <mergeCell ref="AV72:AV73"/>
    <mergeCell ref="AW72:AW73"/>
    <mergeCell ref="AX72:AX73"/>
    <mergeCell ref="AY72:AY73"/>
    <mergeCell ref="AL74:AL75"/>
    <mergeCell ref="AM74:AM75"/>
    <mergeCell ref="AN74:AN75"/>
    <mergeCell ref="AO74:AO75"/>
    <mergeCell ref="AP74:AP75"/>
    <mergeCell ref="AQ74:AQ75"/>
    <mergeCell ref="AR74:AR75"/>
    <mergeCell ref="AS74:AS75"/>
    <mergeCell ref="AT74:AT75"/>
    <mergeCell ref="AU74:AU75"/>
    <mergeCell ref="AV74:AV75"/>
    <mergeCell ref="AW74:AW75"/>
    <mergeCell ref="AX74:AX75"/>
    <mergeCell ref="AY74:AY75"/>
    <mergeCell ref="AL72:AL73"/>
    <mergeCell ref="AM72:AM73"/>
    <mergeCell ref="AN72:AN73"/>
    <mergeCell ref="AO72:AO73"/>
    <mergeCell ref="AP72:AP73"/>
    <mergeCell ref="AQ72:AQ73"/>
    <mergeCell ref="AR72:AR73"/>
    <mergeCell ref="AS72:AS73"/>
    <mergeCell ref="AT72:AT73"/>
    <mergeCell ref="AU76:AU77"/>
    <mergeCell ref="AV76:AV77"/>
    <mergeCell ref="AW76:AW77"/>
    <mergeCell ref="AX76:AX77"/>
    <mergeCell ref="AY76:AY77"/>
    <mergeCell ref="AL78:AL79"/>
    <mergeCell ref="AM78:AM79"/>
    <mergeCell ref="AN78:AN79"/>
    <mergeCell ref="AO78:AO79"/>
    <mergeCell ref="AP78:AP79"/>
    <mergeCell ref="AQ78:AQ79"/>
    <mergeCell ref="AR78:AR79"/>
    <mergeCell ref="AS78:AS79"/>
    <mergeCell ref="AT78:AT79"/>
    <mergeCell ref="AU78:AU79"/>
    <mergeCell ref="AV78:AV79"/>
    <mergeCell ref="AW78:AW79"/>
    <mergeCell ref="AX78:AX79"/>
    <mergeCell ref="AY78:AY79"/>
    <mergeCell ref="AL76:AL77"/>
    <mergeCell ref="AM76:AM77"/>
    <mergeCell ref="AN76:AN77"/>
    <mergeCell ref="AO76:AO77"/>
    <mergeCell ref="AP76:AP77"/>
    <mergeCell ref="AQ76:AQ77"/>
    <mergeCell ref="AR76:AR77"/>
    <mergeCell ref="AS76:AS77"/>
    <mergeCell ref="AT76:AT77"/>
    <mergeCell ref="AU80:AU81"/>
    <mergeCell ref="AV80:AV81"/>
    <mergeCell ref="AW80:AW81"/>
    <mergeCell ref="AX80:AX81"/>
    <mergeCell ref="AY80:AY81"/>
    <mergeCell ref="AL82:AL83"/>
    <mergeCell ref="AM82:AM83"/>
    <mergeCell ref="AN82:AN83"/>
    <mergeCell ref="AO82:AO83"/>
    <mergeCell ref="AP82:AP83"/>
    <mergeCell ref="AQ82:AQ83"/>
    <mergeCell ref="AR82:AR83"/>
    <mergeCell ref="AS82:AS83"/>
    <mergeCell ref="AT82:AT83"/>
    <mergeCell ref="AU82:AU83"/>
    <mergeCell ref="AV82:AV83"/>
    <mergeCell ref="AW82:AW83"/>
    <mergeCell ref="AX82:AX83"/>
    <mergeCell ref="AY82:AY83"/>
    <mergeCell ref="AL80:AL81"/>
    <mergeCell ref="AM80:AM81"/>
    <mergeCell ref="AN80:AN81"/>
    <mergeCell ref="AO80:AO81"/>
    <mergeCell ref="AP80:AP81"/>
    <mergeCell ref="AQ80:AQ81"/>
    <mergeCell ref="AR80:AR81"/>
    <mergeCell ref="AS80:AS81"/>
    <mergeCell ref="AT80:AT81"/>
    <mergeCell ref="AU84:AU85"/>
    <mergeCell ref="AV84:AV85"/>
    <mergeCell ref="AW84:AW85"/>
    <mergeCell ref="AX84:AX85"/>
    <mergeCell ref="AY84:AY85"/>
    <mergeCell ref="AL86:AL87"/>
    <mergeCell ref="AM86:AM87"/>
    <mergeCell ref="AN86:AN87"/>
    <mergeCell ref="AO86:AO87"/>
    <mergeCell ref="AP86:AP87"/>
    <mergeCell ref="AQ86:AQ87"/>
    <mergeCell ref="AR86:AR87"/>
    <mergeCell ref="AS86:AS87"/>
    <mergeCell ref="AT86:AT87"/>
    <mergeCell ref="AU86:AU87"/>
    <mergeCell ref="AV86:AV87"/>
    <mergeCell ref="AW86:AW87"/>
    <mergeCell ref="AX86:AX87"/>
    <mergeCell ref="AY86:AY87"/>
    <mergeCell ref="AL84:AL85"/>
    <mergeCell ref="AM84:AM85"/>
    <mergeCell ref="AN84:AN85"/>
    <mergeCell ref="AO84:AO85"/>
    <mergeCell ref="AP84:AP85"/>
    <mergeCell ref="AQ84:AQ85"/>
    <mergeCell ref="AR84:AR85"/>
    <mergeCell ref="AS84:AS85"/>
    <mergeCell ref="AT84:AT85"/>
    <mergeCell ref="AU88:AU89"/>
    <mergeCell ref="AV88:AV89"/>
    <mergeCell ref="AW88:AW89"/>
    <mergeCell ref="AX88:AX89"/>
    <mergeCell ref="AY88:AY89"/>
    <mergeCell ref="AL90:AL91"/>
    <mergeCell ref="AM90:AM91"/>
    <mergeCell ref="AN90:AN91"/>
    <mergeCell ref="AO90:AO91"/>
    <mergeCell ref="AP90:AP91"/>
    <mergeCell ref="AQ90:AQ91"/>
    <mergeCell ref="AR90:AR91"/>
    <mergeCell ref="AS90:AS91"/>
    <mergeCell ref="AT90:AT91"/>
    <mergeCell ref="AU90:AU91"/>
    <mergeCell ref="AV90:AV91"/>
    <mergeCell ref="AW90:AW91"/>
    <mergeCell ref="AX90:AX91"/>
    <mergeCell ref="AY90:AY91"/>
    <mergeCell ref="AL88:AL89"/>
    <mergeCell ref="AM88:AM89"/>
    <mergeCell ref="AN88:AN89"/>
    <mergeCell ref="AO88:AO89"/>
    <mergeCell ref="AP88:AP89"/>
    <mergeCell ref="AQ88:AQ89"/>
    <mergeCell ref="AR88:AR89"/>
    <mergeCell ref="AS88:AS89"/>
    <mergeCell ref="AT88:AT89"/>
    <mergeCell ref="S48:S49"/>
    <mergeCell ref="T48:T49"/>
    <mergeCell ref="S30:S31"/>
    <mergeCell ref="T30:T31"/>
    <mergeCell ref="S32:S33"/>
    <mergeCell ref="T32:T33"/>
    <mergeCell ref="S34:S35"/>
    <mergeCell ref="T34:T35"/>
    <mergeCell ref="S36:S37"/>
    <mergeCell ref="T36:T37"/>
    <mergeCell ref="S38:S39"/>
    <mergeCell ref="T38:T39"/>
    <mergeCell ref="S60:S61"/>
    <mergeCell ref="T60:T61"/>
    <mergeCell ref="S62:S63"/>
    <mergeCell ref="T62:T63"/>
    <mergeCell ref="S64:S65"/>
    <mergeCell ref="T64:T65"/>
    <mergeCell ref="S66:S67"/>
    <mergeCell ref="T66:T67"/>
    <mergeCell ref="S68:S69"/>
    <mergeCell ref="T68:T69"/>
    <mergeCell ref="S50:S51"/>
    <mergeCell ref="T50:T51"/>
    <mergeCell ref="S52:S53"/>
    <mergeCell ref="T52:T53"/>
    <mergeCell ref="S54:S55"/>
    <mergeCell ref="T54:T55"/>
    <mergeCell ref="S56:S57"/>
    <mergeCell ref="T56:T57"/>
    <mergeCell ref="S58:S59"/>
    <mergeCell ref="T58:T59"/>
    <mergeCell ref="S80:S81"/>
    <mergeCell ref="T80:T81"/>
    <mergeCell ref="S82:S83"/>
    <mergeCell ref="T82:T83"/>
    <mergeCell ref="T88:T89"/>
    <mergeCell ref="S70:S71"/>
    <mergeCell ref="T70:T71"/>
    <mergeCell ref="S72:S73"/>
    <mergeCell ref="T72:T73"/>
    <mergeCell ref="S74:S75"/>
    <mergeCell ref="T74:T75"/>
    <mergeCell ref="S76:S77"/>
    <mergeCell ref="T76:T77"/>
    <mergeCell ref="S78:S79"/>
    <mergeCell ref="T78:T79"/>
    <mergeCell ref="AU97:AU98"/>
    <mergeCell ref="AV97:AV98"/>
    <mergeCell ref="AW97:AW98"/>
    <mergeCell ref="AX97:AX98"/>
    <mergeCell ref="AY97:AY98"/>
    <mergeCell ref="AL99:AL100"/>
    <mergeCell ref="AM99:AM100"/>
    <mergeCell ref="AN99:AN100"/>
    <mergeCell ref="AO99:AO100"/>
    <mergeCell ref="AP99:AP100"/>
    <mergeCell ref="AQ99:AQ100"/>
    <mergeCell ref="AR99:AR100"/>
    <mergeCell ref="AS99:AS100"/>
    <mergeCell ref="AT99:AT100"/>
    <mergeCell ref="AU99:AU100"/>
    <mergeCell ref="AV99:AV100"/>
    <mergeCell ref="AW99:AW100"/>
    <mergeCell ref="AX99:AX100"/>
    <mergeCell ref="AY99:AY100"/>
    <mergeCell ref="AL97:AL98"/>
    <mergeCell ref="AM97:AM98"/>
    <mergeCell ref="AN97:AN98"/>
    <mergeCell ref="AO97:AO98"/>
    <mergeCell ref="AP97:AP98"/>
    <mergeCell ref="AQ97:AQ98"/>
    <mergeCell ref="AR97:AR98"/>
    <mergeCell ref="AS97:AS98"/>
    <mergeCell ref="AT97:AT98"/>
    <mergeCell ref="AU101:AU102"/>
    <mergeCell ref="AV101:AV102"/>
    <mergeCell ref="AW101:AW102"/>
    <mergeCell ref="AX101:AX102"/>
    <mergeCell ref="AY101:AY102"/>
    <mergeCell ref="AL103:AL104"/>
    <mergeCell ref="AM103:AM104"/>
    <mergeCell ref="AN103:AN104"/>
    <mergeCell ref="AO103:AO104"/>
    <mergeCell ref="AP103:AP104"/>
    <mergeCell ref="AQ103:AQ104"/>
    <mergeCell ref="AR103:AR104"/>
    <mergeCell ref="AS103:AS104"/>
    <mergeCell ref="AT103:AT104"/>
    <mergeCell ref="AU103:AU104"/>
    <mergeCell ref="AV103:AV104"/>
    <mergeCell ref="AW103:AW104"/>
    <mergeCell ref="AX103:AX104"/>
    <mergeCell ref="AY103:AY104"/>
    <mergeCell ref="AL101:AL102"/>
    <mergeCell ref="AM101:AM102"/>
    <mergeCell ref="AN101:AN102"/>
    <mergeCell ref="AO101:AO102"/>
    <mergeCell ref="AP101:AP102"/>
    <mergeCell ref="AQ101:AQ102"/>
    <mergeCell ref="AR101:AR102"/>
    <mergeCell ref="AS101:AS102"/>
    <mergeCell ref="AT101:AT102"/>
    <mergeCell ref="AU105:AU106"/>
    <mergeCell ref="AV105:AV106"/>
    <mergeCell ref="AW105:AW106"/>
    <mergeCell ref="AX105:AX106"/>
    <mergeCell ref="AY105:AY106"/>
    <mergeCell ref="AL107:AL108"/>
    <mergeCell ref="AM107:AM108"/>
    <mergeCell ref="AN107:AN108"/>
    <mergeCell ref="AO107:AO108"/>
    <mergeCell ref="AP107:AP108"/>
    <mergeCell ref="AQ107:AQ108"/>
    <mergeCell ref="AR107:AR108"/>
    <mergeCell ref="AS107:AS108"/>
    <mergeCell ref="AT107:AT108"/>
    <mergeCell ref="AU107:AU108"/>
    <mergeCell ref="AV107:AV108"/>
    <mergeCell ref="AW107:AW108"/>
    <mergeCell ref="AX107:AX108"/>
    <mergeCell ref="AY107:AY108"/>
    <mergeCell ref="AL105:AL106"/>
    <mergeCell ref="AM105:AM106"/>
    <mergeCell ref="AN105:AN106"/>
    <mergeCell ref="AO105:AO106"/>
    <mergeCell ref="AP105:AP106"/>
    <mergeCell ref="AQ105:AQ106"/>
    <mergeCell ref="AR105:AR106"/>
    <mergeCell ref="AS105:AS106"/>
    <mergeCell ref="AT105:AT106"/>
    <mergeCell ref="AU109:AU110"/>
    <mergeCell ref="AV109:AV110"/>
    <mergeCell ref="AW109:AW110"/>
    <mergeCell ref="AX109:AX110"/>
    <mergeCell ref="AY109:AY110"/>
    <mergeCell ref="AL111:AL112"/>
    <mergeCell ref="AM111:AM112"/>
    <mergeCell ref="AN111:AN112"/>
    <mergeCell ref="AO111:AO112"/>
    <mergeCell ref="AP111:AP112"/>
    <mergeCell ref="AQ111:AQ112"/>
    <mergeCell ref="AR111:AR112"/>
    <mergeCell ref="AS111:AS112"/>
    <mergeCell ref="AT111:AT112"/>
    <mergeCell ref="AU111:AU112"/>
    <mergeCell ref="AV111:AV112"/>
    <mergeCell ref="AW111:AW112"/>
    <mergeCell ref="AX111:AX112"/>
    <mergeCell ref="AY111:AY112"/>
    <mergeCell ref="AL109:AL110"/>
    <mergeCell ref="AM109:AM110"/>
    <mergeCell ref="AN109:AN110"/>
    <mergeCell ref="AO109:AO110"/>
    <mergeCell ref="AP109:AP110"/>
    <mergeCell ref="AQ109:AQ110"/>
    <mergeCell ref="AR109:AR110"/>
    <mergeCell ref="AS109:AS110"/>
    <mergeCell ref="AT109:AT110"/>
    <mergeCell ref="AU113:AU114"/>
    <mergeCell ref="AV113:AV114"/>
    <mergeCell ref="AW113:AW114"/>
    <mergeCell ref="AX113:AX114"/>
    <mergeCell ref="AY113:AY114"/>
    <mergeCell ref="AL115:AL116"/>
    <mergeCell ref="AM115:AM116"/>
    <mergeCell ref="AN115:AN116"/>
    <mergeCell ref="AO115:AO116"/>
    <mergeCell ref="AP115:AP116"/>
    <mergeCell ref="AQ115:AQ116"/>
    <mergeCell ref="AR115:AR116"/>
    <mergeCell ref="AS115:AS116"/>
    <mergeCell ref="AT115:AT116"/>
    <mergeCell ref="AU115:AU116"/>
    <mergeCell ref="AV115:AV116"/>
    <mergeCell ref="AW115:AW116"/>
    <mergeCell ref="AX115:AX116"/>
    <mergeCell ref="AY115:AY116"/>
    <mergeCell ref="AL113:AL114"/>
    <mergeCell ref="AM113:AM114"/>
    <mergeCell ref="AN113:AN114"/>
    <mergeCell ref="AO113:AO114"/>
    <mergeCell ref="AP113:AP114"/>
    <mergeCell ref="AQ113:AQ114"/>
    <mergeCell ref="AR113:AR114"/>
    <mergeCell ref="AS113:AS114"/>
    <mergeCell ref="AT113:AT114"/>
    <mergeCell ref="AU117:AU118"/>
    <mergeCell ref="AV117:AV118"/>
    <mergeCell ref="AW117:AW118"/>
    <mergeCell ref="AX117:AX118"/>
    <mergeCell ref="AY117:AY118"/>
    <mergeCell ref="AL119:AL120"/>
    <mergeCell ref="AM119:AM120"/>
    <mergeCell ref="AN119:AN120"/>
    <mergeCell ref="AO119:AO120"/>
    <mergeCell ref="AP119:AP120"/>
    <mergeCell ref="AQ119:AQ120"/>
    <mergeCell ref="AR119:AR120"/>
    <mergeCell ref="AS119:AS120"/>
    <mergeCell ref="AT119:AT120"/>
    <mergeCell ref="AU119:AU120"/>
    <mergeCell ref="AV119:AV120"/>
    <mergeCell ref="AW119:AW120"/>
    <mergeCell ref="AX119:AX120"/>
    <mergeCell ref="AY119:AY120"/>
    <mergeCell ref="AL117:AL118"/>
    <mergeCell ref="AM117:AM118"/>
    <mergeCell ref="AN117:AN118"/>
    <mergeCell ref="AO117:AO118"/>
    <mergeCell ref="AP117:AP118"/>
    <mergeCell ref="AQ117:AQ118"/>
    <mergeCell ref="AR117:AR118"/>
    <mergeCell ref="AS117:AS118"/>
    <mergeCell ref="AT117:AT118"/>
    <mergeCell ref="AU121:AU122"/>
    <mergeCell ref="AV121:AV122"/>
    <mergeCell ref="AW121:AW122"/>
    <mergeCell ref="AX121:AX122"/>
    <mergeCell ref="AY121:AY122"/>
    <mergeCell ref="AL123:AL124"/>
    <mergeCell ref="AM123:AM124"/>
    <mergeCell ref="AN123:AN124"/>
    <mergeCell ref="AO123:AO124"/>
    <mergeCell ref="AP123:AP124"/>
    <mergeCell ref="AQ123:AQ124"/>
    <mergeCell ref="AR123:AR124"/>
    <mergeCell ref="AS123:AS124"/>
    <mergeCell ref="AT123:AT124"/>
    <mergeCell ref="AU123:AU124"/>
    <mergeCell ref="AV123:AV124"/>
    <mergeCell ref="AW123:AW124"/>
    <mergeCell ref="AX123:AX124"/>
    <mergeCell ref="AY123:AY124"/>
    <mergeCell ref="AL121:AL122"/>
    <mergeCell ref="AM121:AM122"/>
    <mergeCell ref="AN121:AN122"/>
    <mergeCell ref="AO121:AO122"/>
    <mergeCell ref="AP121:AP122"/>
    <mergeCell ref="AQ121:AQ122"/>
    <mergeCell ref="AR121:AR122"/>
    <mergeCell ref="AS121:AS122"/>
    <mergeCell ref="AT121:AT122"/>
    <mergeCell ref="AU125:AU126"/>
    <mergeCell ref="AV125:AV126"/>
    <mergeCell ref="AW125:AW126"/>
    <mergeCell ref="AX125:AX126"/>
    <mergeCell ref="AY125:AY126"/>
    <mergeCell ref="AL127:AL128"/>
    <mergeCell ref="AM127:AM128"/>
    <mergeCell ref="AN127:AN128"/>
    <mergeCell ref="AO127:AO128"/>
    <mergeCell ref="AP127:AP128"/>
    <mergeCell ref="AQ127:AQ128"/>
    <mergeCell ref="AR127:AR128"/>
    <mergeCell ref="AS127:AS128"/>
    <mergeCell ref="AT127:AT128"/>
    <mergeCell ref="AU127:AU128"/>
    <mergeCell ref="AV127:AV128"/>
    <mergeCell ref="AW127:AW128"/>
    <mergeCell ref="AX127:AX128"/>
    <mergeCell ref="AY127:AY128"/>
    <mergeCell ref="AL125:AL126"/>
    <mergeCell ref="AM125:AM126"/>
    <mergeCell ref="AN125:AN126"/>
    <mergeCell ref="AO125:AO126"/>
    <mergeCell ref="AP125:AP126"/>
    <mergeCell ref="AQ125:AQ126"/>
    <mergeCell ref="AR125:AR126"/>
    <mergeCell ref="AS125:AS126"/>
    <mergeCell ref="AT125:AT126"/>
    <mergeCell ref="AU129:AU130"/>
    <mergeCell ref="AV129:AV130"/>
    <mergeCell ref="AW129:AW130"/>
    <mergeCell ref="AX129:AX130"/>
    <mergeCell ref="AY129:AY130"/>
    <mergeCell ref="AL131:AL132"/>
    <mergeCell ref="AM131:AM132"/>
    <mergeCell ref="AN131:AN132"/>
    <mergeCell ref="AO131:AO132"/>
    <mergeCell ref="AP131:AP132"/>
    <mergeCell ref="AQ131:AQ132"/>
    <mergeCell ref="AR131:AR132"/>
    <mergeCell ref="AS131:AS132"/>
    <mergeCell ref="AT131:AT132"/>
    <mergeCell ref="AU131:AU132"/>
    <mergeCell ref="AV131:AV132"/>
    <mergeCell ref="AW131:AW132"/>
    <mergeCell ref="AX131:AX132"/>
    <mergeCell ref="AY131:AY132"/>
    <mergeCell ref="AL129:AL130"/>
    <mergeCell ref="AM129:AM130"/>
    <mergeCell ref="AN129:AN130"/>
    <mergeCell ref="AO129:AO130"/>
    <mergeCell ref="AP129:AP130"/>
    <mergeCell ref="AQ129:AQ130"/>
    <mergeCell ref="AR129:AR130"/>
    <mergeCell ref="AS129:AS130"/>
    <mergeCell ref="AT129:AT130"/>
    <mergeCell ref="AU133:AU134"/>
    <mergeCell ref="AV133:AV134"/>
    <mergeCell ref="AW133:AW134"/>
    <mergeCell ref="AX133:AX134"/>
    <mergeCell ref="AY133:AY134"/>
    <mergeCell ref="AL135:AL136"/>
    <mergeCell ref="AM135:AM136"/>
    <mergeCell ref="AN135:AN136"/>
    <mergeCell ref="AO135:AO136"/>
    <mergeCell ref="AP135:AP136"/>
    <mergeCell ref="AQ135:AQ136"/>
    <mergeCell ref="AR135:AR136"/>
    <mergeCell ref="AS135:AS136"/>
    <mergeCell ref="AT135:AT136"/>
    <mergeCell ref="AU135:AU136"/>
    <mergeCell ref="AV135:AV136"/>
    <mergeCell ref="AW135:AW136"/>
    <mergeCell ref="AX135:AX136"/>
    <mergeCell ref="AY135:AY136"/>
    <mergeCell ref="AL133:AL134"/>
    <mergeCell ref="AM133:AM134"/>
    <mergeCell ref="AN133:AN134"/>
    <mergeCell ref="AO133:AO134"/>
    <mergeCell ref="AP133:AP134"/>
    <mergeCell ref="AQ133:AQ134"/>
    <mergeCell ref="AR133:AR134"/>
    <mergeCell ref="AS133:AS134"/>
    <mergeCell ref="AT133:AT134"/>
    <mergeCell ref="AU137:AU138"/>
    <mergeCell ref="AV137:AV138"/>
    <mergeCell ref="AW137:AW138"/>
    <mergeCell ref="AX137:AX138"/>
    <mergeCell ref="AY137:AY138"/>
    <mergeCell ref="AL139:AL140"/>
    <mergeCell ref="AM139:AM140"/>
    <mergeCell ref="AN139:AN140"/>
    <mergeCell ref="AO139:AO140"/>
    <mergeCell ref="AP139:AP140"/>
    <mergeCell ref="AQ139:AQ140"/>
    <mergeCell ref="AR139:AR140"/>
    <mergeCell ref="AS139:AS140"/>
    <mergeCell ref="AT139:AT140"/>
    <mergeCell ref="AU139:AU140"/>
    <mergeCell ref="AV139:AV140"/>
    <mergeCell ref="AW139:AW140"/>
    <mergeCell ref="AX139:AX140"/>
    <mergeCell ref="AY139:AY140"/>
    <mergeCell ref="AL137:AL138"/>
    <mergeCell ref="AM137:AM138"/>
    <mergeCell ref="AN137:AN138"/>
    <mergeCell ref="AO137:AO138"/>
    <mergeCell ref="AP137:AP138"/>
    <mergeCell ref="AQ137:AQ138"/>
    <mergeCell ref="AR137:AR138"/>
    <mergeCell ref="AS137:AS138"/>
    <mergeCell ref="AT137:AT138"/>
    <mergeCell ref="AU141:AU142"/>
    <mergeCell ref="AV141:AV142"/>
    <mergeCell ref="AW141:AW142"/>
    <mergeCell ref="AX141:AX142"/>
    <mergeCell ref="AY141:AY142"/>
    <mergeCell ref="AL143:AL144"/>
    <mergeCell ref="AM143:AM144"/>
    <mergeCell ref="AN143:AN144"/>
    <mergeCell ref="AO143:AO144"/>
    <mergeCell ref="AP143:AP144"/>
    <mergeCell ref="AQ143:AQ144"/>
    <mergeCell ref="AR143:AR144"/>
    <mergeCell ref="AS143:AS144"/>
    <mergeCell ref="AT143:AT144"/>
    <mergeCell ref="AU143:AU144"/>
    <mergeCell ref="AV143:AV144"/>
    <mergeCell ref="AW143:AW144"/>
    <mergeCell ref="AX143:AX144"/>
    <mergeCell ref="AY143:AY144"/>
    <mergeCell ref="AL141:AL142"/>
    <mergeCell ref="AM141:AM142"/>
    <mergeCell ref="AN141:AN142"/>
    <mergeCell ref="AO141:AO142"/>
    <mergeCell ref="AP141:AP142"/>
    <mergeCell ref="AQ141:AQ142"/>
    <mergeCell ref="AR141:AR142"/>
    <mergeCell ref="AS141:AS142"/>
    <mergeCell ref="AT141:AT142"/>
    <mergeCell ref="AU145:AU146"/>
    <mergeCell ref="AV145:AV146"/>
    <mergeCell ref="AW145:AW146"/>
    <mergeCell ref="AX145:AX146"/>
    <mergeCell ref="AY145:AY146"/>
    <mergeCell ref="AL147:AL148"/>
    <mergeCell ref="AM147:AM148"/>
    <mergeCell ref="AN147:AN148"/>
    <mergeCell ref="AO147:AO148"/>
    <mergeCell ref="AP147:AP148"/>
    <mergeCell ref="AQ147:AQ148"/>
    <mergeCell ref="AR147:AR148"/>
    <mergeCell ref="AS147:AS148"/>
    <mergeCell ref="AT147:AT148"/>
    <mergeCell ref="AU147:AU148"/>
    <mergeCell ref="AV147:AV148"/>
    <mergeCell ref="AW147:AW148"/>
    <mergeCell ref="AX147:AX148"/>
    <mergeCell ref="AY147:AY148"/>
    <mergeCell ref="AL145:AL146"/>
    <mergeCell ref="AM145:AM146"/>
    <mergeCell ref="AN145:AN146"/>
    <mergeCell ref="AO145:AO146"/>
    <mergeCell ref="AP145:AP146"/>
    <mergeCell ref="AQ145:AQ146"/>
    <mergeCell ref="AR145:AR146"/>
    <mergeCell ref="AS145:AS146"/>
    <mergeCell ref="AT145:AT146"/>
    <mergeCell ref="AU154:AU155"/>
    <mergeCell ref="AV154:AV155"/>
    <mergeCell ref="AW154:AW155"/>
    <mergeCell ref="AX154:AX155"/>
    <mergeCell ref="AY154:AY155"/>
    <mergeCell ref="AL156:AL157"/>
    <mergeCell ref="AM156:AM157"/>
    <mergeCell ref="AN156:AN157"/>
    <mergeCell ref="AO156:AO157"/>
    <mergeCell ref="AP156:AP157"/>
    <mergeCell ref="AQ156:AQ157"/>
    <mergeCell ref="AR156:AR157"/>
    <mergeCell ref="AS156:AS157"/>
    <mergeCell ref="AT156:AT157"/>
    <mergeCell ref="AU156:AU157"/>
    <mergeCell ref="AV156:AV157"/>
    <mergeCell ref="AW156:AW157"/>
    <mergeCell ref="AX156:AX157"/>
    <mergeCell ref="AY156:AY157"/>
    <mergeCell ref="AL154:AL155"/>
    <mergeCell ref="AM154:AM155"/>
    <mergeCell ref="AN154:AN155"/>
    <mergeCell ref="AO154:AO155"/>
    <mergeCell ref="AP154:AP155"/>
    <mergeCell ref="AQ154:AQ155"/>
    <mergeCell ref="AR154:AR155"/>
    <mergeCell ref="AS154:AS155"/>
    <mergeCell ref="AT154:AT155"/>
    <mergeCell ref="AU158:AU159"/>
    <mergeCell ref="AV158:AV159"/>
    <mergeCell ref="AW158:AW159"/>
    <mergeCell ref="AX158:AX159"/>
    <mergeCell ref="AY158:AY159"/>
    <mergeCell ref="AL160:AL161"/>
    <mergeCell ref="AM160:AM161"/>
    <mergeCell ref="AN160:AN161"/>
    <mergeCell ref="AO160:AO161"/>
    <mergeCell ref="AP160:AP161"/>
    <mergeCell ref="AQ160:AQ161"/>
    <mergeCell ref="AR160:AR161"/>
    <mergeCell ref="AS160:AS161"/>
    <mergeCell ref="AT160:AT161"/>
    <mergeCell ref="AU160:AU161"/>
    <mergeCell ref="AV160:AV161"/>
    <mergeCell ref="AW160:AW161"/>
    <mergeCell ref="AX160:AX161"/>
    <mergeCell ref="AY160:AY161"/>
    <mergeCell ref="AL158:AL159"/>
    <mergeCell ref="AM158:AM159"/>
    <mergeCell ref="AN158:AN159"/>
    <mergeCell ref="AO158:AO159"/>
    <mergeCell ref="AP158:AP159"/>
    <mergeCell ref="AQ158:AQ159"/>
    <mergeCell ref="AR158:AR159"/>
    <mergeCell ref="AS158:AS159"/>
    <mergeCell ref="AT158:AT159"/>
    <mergeCell ref="AU162:AU163"/>
    <mergeCell ref="AV162:AV163"/>
    <mergeCell ref="AW162:AW163"/>
    <mergeCell ref="AX162:AX163"/>
    <mergeCell ref="AY162:AY163"/>
    <mergeCell ref="AL164:AL165"/>
    <mergeCell ref="AM164:AM165"/>
    <mergeCell ref="AN164:AN165"/>
    <mergeCell ref="AO164:AO165"/>
    <mergeCell ref="AP164:AP165"/>
    <mergeCell ref="AQ164:AQ165"/>
    <mergeCell ref="AR164:AR165"/>
    <mergeCell ref="AS164:AS165"/>
    <mergeCell ref="AT164:AT165"/>
    <mergeCell ref="AU164:AU165"/>
    <mergeCell ref="AV164:AV165"/>
    <mergeCell ref="AW164:AW165"/>
    <mergeCell ref="AX164:AX165"/>
    <mergeCell ref="AY164:AY165"/>
    <mergeCell ref="AL162:AL163"/>
    <mergeCell ref="AM162:AM163"/>
    <mergeCell ref="AN162:AN163"/>
    <mergeCell ref="AO162:AO163"/>
    <mergeCell ref="AP162:AP163"/>
    <mergeCell ref="AQ162:AQ163"/>
    <mergeCell ref="AR162:AR163"/>
    <mergeCell ref="AS162:AS163"/>
    <mergeCell ref="AT162:AT163"/>
    <mergeCell ref="AU166:AU167"/>
    <mergeCell ref="AV166:AV167"/>
    <mergeCell ref="AW166:AW167"/>
    <mergeCell ref="AX166:AX167"/>
    <mergeCell ref="AY166:AY167"/>
    <mergeCell ref="AL168:AL169"/>
    <mergeCell ref="AM168:AM169"/>
    <mergeCell ref="AN168:AN169"/>
    <mergeCell ref="AO168:AO169"/>
    <mergeCell ref="AP168:AP169"/>
    <mergeCell ref="AQ168:AQ169"/>
    <mergeCell ref="AR168:AR169"/>
    <mergeCell ref="AS168:AS169"/>
    <mergeCell ref="AT168:AT169"/>
    <mergeCell ref="AU168:AU169"/>
    <mergeCell ref="AV168:AV169"/>
    <mergeCell ref="AW168:AW169"/>
    <mergeCell ref="AX168:AX169"/>
    <mergeCell ref="AY168:AY169"/>
    <mergeCell ref="AL166:AL167"/>
    <mergeCell ref="AM166:AM167"/>
    <mergeCell ref="AN166:AN167"/>
    <mergeCell ref="AO166:AO167"/>
    <mergeCell ref="AP166:AP167"/>
    <mergeCell ref="AQ166:AQ167"/>
    <mergeCell ref="AR166:AR167"/>
    <mergeCell ref="AS166:AS167"/>
    <mergeCell ref="AT166:AT167"/>
    <mergeCell ref="AU170:AU171"/>
    <mergeCell ref="AV170:AV171"/>
    <mergeCell ref="AW170:AW171"/>
    <mergeCell ref="AX170:AX171"/>
    <mergeCell ref="AY170:AY171"/>
    <mergeCell ref="AL172:AL173"/>
    <mergeCell ref="AM172:AM173"/>
    <mergeCell ref="AN172:AN173"/>
    <mergeCell ref="AO172:AO173"/>
    <mergeCell ref="AP172:AP173"/>
    <mergeCell ref="AQ172:AQ173"/>
    <mergeCell ref="AR172:AR173"/>
    <mergeCell ref="AS172:AS173"/>
    <mergeCell ref="AT172:AT173"/>
    <mergeCell ref="AU172:AU173"/>
    <mergeCell ref="AV172:AV173"/>
    <mergeCell ref="AW172:AW173"/>
    <mergeCell ref="AX172:AX173"/>
    <mergeCell ref="AY172:AY173"/>
    <mergeCell ref="AL170:AL171"/>
    <mergeCell ref="AM170:AM171"/>
    <mergeCell ref="AN170:AN171"/>
    <mergeCell ref="AO170:AO171"/>
    <mergeCell ref="AP170:AP171"/>
    <mergeCell ref="AQ170:AQ171"/>
    <mergeCell ref="AR170:AR171"/>
    <mergeCell ref="AS170:AS171"/>
    <mergeCell ref="AT170:AT171"/>
    <mergeCell ref="AU174:AU175"/>
    <mergeCell ref="AV174:AV175"/>
    <mergeCell ref="AW174:AW175"/>
    <mergeCell ref="AX174:AX175"/>
    <mergeCell ref="AY174:AY175"/>
    <mergeCell ref="AL176:AL177"/>
    <mergeCell ref="AM176:AM177"/>
    <mergeCell ref="AN176:AN177"/>
    <mergeCell ref="AO176:AO177"/>
    <mergeCell ref="AP176:AP177"/>
    <mergeCell ref="AQ176:AQ177"/>
    <mergeCell ref="AR176:AR177"/>
    <mergeCell ref="AS176:AS177"/>
    <mergeCell ref="AT176:AT177"/>
    <mergeCell ref="AU176:AU177"/>
    <mergeCell ref="AV176:AV177"/>
    <mergeCell ref="AW176:AW177"/>
    <mergeCell ref="AX176:AX177"/>
    <mergeCell ref="AY176:AY177"/>
    <mergeCell ref="AL174:AL175"/>
    <mergeCell ref="AM174:AM175"/>
    <mergeCell ref="AN174:AN175"/>
    <mergeCell ref="AO174:AO175"/>
    <mergeCell ref="AP174:AP175"/>
    <mergeCell ref="AQ174:AQ175"/>
    <mergeCell ref="AR174:AR175"/>
    <mergeCell ref="AS174:AS175"/>
    <mergeCell ref="AT174:AT175"/>
    <mergeCell ref="AU178:AU179"/>
    <mergeCell ref="AV178:AV179"/>
    <mergeCell ref="AW178:AW179"/>
    <mergeCell ref="AX178:AX179"/>
    <mergeCell ref="AY178:AY179"/>
    <mergeCell ref="AL180:AL181"/>
    <mergeCell ref="AM180:AM181"/>
    <mergeCell ref="AN180:AN181"/>
    <mergeCell ref="AO180:AO181"/>
    <mergeCell ref="AP180:AP181"/>
    <mergeCell ref="AQ180:AQ181"/>
    <mergeCell ref="AR180:AR181"/>
    <mergeCell ref="AS180:AS181"/>
    <mergeCell ref="AT180:AT181"/>
    <mergeCell ref="AU180:AU181"/>
    <mergeCell ref="AV180:AV181"/>
    <mergeCell ref="AW180:AW181"/>
    <mergeCell ref="AX180:AX181"/>
    <mergeCell ref="AY180:AY181"/>
    <mergeCell ref="AL178:AL179"/>
    <mergeCell ref="AM178:AM179"/>
    <mergeCell ref="AN178:AN179"/>
    <mergeCell ref="AO178:AO179"/>
    <mergeCell ref="AP178:AP179"/>
    <mergeCell ref="AQ178:AQ179"/>
    <mergeCell ref="AR178:AR179"/>
    <mergeCell ref="AS178:AS179"/>
    <mergeCell ref="AT178:AT179"/>
    <mergeCell ref="AU182:AU183"/>
    <mergeCell ref="AV182:AV183"/>
    <mergeCell ref="AW182:AW183"/>
    <mergeCell ref="AX182:AX183"/>
    <mergeCell ref="AY182:AY183"/>
    <mergeCell ref="AL184:AL185"/>
    <mergeCell ref="AM184:AM185"/>
    <mergeCell ref="AN184:AN185"/>
    <mergeCell ref="AO184:AO185"/>
    <mergeCell ref="AP184:AP185"/>
    <mergeCell ref="AQ184:AQ185"/>
    <mergeCell ref="AR184:AR185"/>
    <mergeCell ref="AS184:AS185"/>
    <mergeCell ref="AT184:AT185"/>
    <mergeCell ref="AU184:AU185"/>
    <mergeCell ref="AV184:AV185"/>
    <mergeCell ref="AW184:AW185"/>
    <mergeCell ref="AX184:AX185"/>
    <mergeCell ref="AY184:AY185"/>
    <mergeCell ref="AL182:AL183"/>
    <mergeCell ref="AM182:AM183"/>
    <mergeCell ref="AN182:AN183"/>
    <mergeCell ref="AO182:AO183"/>
    <mergeCell ref="AP182:AP183"/>
    <mergeCell ref="AQ182:AQ183"/>
    <mergeCell ref="AR182:AR183"/>
    <mergeCell ref="AS182:AS183"/>
    <mergeCell ref="AT182:AT183"/>
    <mergeCell ref="AU186:AU187"/>
    <mergeCell ref="AV186:AV187"/>
    <mergeCell ref="AW186:AW187"/>
    <mergeCell ref="AX186:AX187"/>
    <mergeCell ref="AY186:AY187"/>
    <mergeCell ref="AL188:AL189"/>
    <mergeCell ref="AM188:AM189"/>
    <mergeCell ref="AN188:AN189"/>
    <mergeCell ref="AO188:AO189"/>
    <mergeCell ref="AP188:AP189"/>
    <mergeCell ref="AQ188:AQ189"/>
    <mergeCell ref="AR188:AR189"/>
    <mergeCell ref="AS188:AS189"/>
    <mergeCell ref="AT188:AT189"/>
    <mergeCell ref="AU188:AU189"/>
    <mergeCell ref="AV188:AV189"/>
    <mergeCell ref="AW188:AW189"/>
    <mergeCell ref="AX188:AX189"/>
    <mergeCell ref="AY188:AY189"/>
    <mergeCell ref="AL186:AL187"/>
    <mergeCell ref="AM186:AM187"/>
    <mergeCell ref="AN186:AN187"/>
    <mergeCell ref="AO186:AO187"/>
    <mergeCell ref="AP186:AP187"/>
    <mergeCell ref="AQ186:AQ187"/>
    <mergeCell ref="AR186:AR187"/>
    <mergeCell ref="AS186:AS187"/>
    <mergeCell ref="AT186:AT187"/>
    <mergeCell ref="AU195:AU196"/>
    <mergeCell ref="AV195:AV196"/>
    <mergeCell ref="AW195:AW196"/>
    <mergeCell ref="AX195:AX196"/>
    <mergeCell ref="AY195:AY196"/>
    <mergeCell ref="AL197:AL198"/>
    <mergeCell ref="AM197:AM198"/>
    <mergeCell ref="AN197:AN198"/>
    <mergeCell ref="AO197:AO198"/>
    <mergeCell ref="AP197:AP198"/>
    <mergeCell ref="AQ197:AQ198"/>
    <mergeCell ref="AR197:AR198"/>
    <mergeCell ref="AS197:AS198"/>
    <mergeCell ref="AT197:AT198"/>
    <mergeCell ref="AU197:AU198"/>
    <mergeCell ref="AV197:AV198"/>
    <mergeCell ref="AW197:AW198"/>
    <mergeCell ref="AX197:AX198"/>
    <mergeCell ref="AY197:AY198"/>
    <mergeCell ref="AL195:AL196"/>
    <mergeCell ref="AM195:AM196"/>
    <mergeCell ref="AN195:AN196"/>
    <mergeCell ref="AO195:AO196"/>
    <mergeCell ref="AP195:AP196"/>
    <mergeCell ref="AQ195:AQ196"/>
    <mergeCell ref="AR195:AR196"/>
    <mergeCell ref="AS195:AS196"/>
    <mergeCell ref="AT195:AT196"/>
    <mergeCell ref="AU199:AU200"/>
    <mergeCell ref="AV199:AV200"/>
    <mergeCell ref="AW199:AW200"/>
    <mergeCell ref="AX199:AX200"/>
    <mergeCell ref="AY199:AY200"/>
    <mergeCell ref="AL201:AL202"/>
    <mergeCell ref="AM201:AM202"/>
    <mergeCell ref="AN201:AN202"/>
    <mergeCell ref="AO201:AO202"/>
    <mergeCell ref="AP201:AP202"/>
    <mergeCell ref="AQ201:AQ202"/>
    <mergeCell ref="AR201:AR202"/>
    <mergeCell ref="AS201:AS202"/>
    <mergeCell ref="AT201:AT202"/>
    <mergeCell ref="AU201:AU202"/>
    <mergeCell ref="AV201:AV202"/>
    <mergeCell ref="AW201:AW202"/>
    <mergeCell ref="AX201:AX202"/>
    <mergeCell ref="AY201:AY202"/>
    <mergeCell ref="AL199:AL200"/>
    <mergeCell ref="AM199:AM200"/>
    <mergeCell ref="AN199:AN200"/>
    <mergeCell ref="AO199:AO200"/>
    <mergeCell ref="AP199:AP200"/>
    <mergeCell ref="AQ199:AQ200"/>
    <mergeCell ref="AR199:AR200"/>
    <mergeCell ref="AS199:AS200"/>
    <mergeCell ref="AT199:AT200"/>
    <mergeCell ref="AU203:AU204"/>
    <mergeCell ref="AV203:AV204"/>
    <mergeCell ref="AW203:AW204"/>
    <mergeCell ref="AX203:AX204"/>
    <mergeCell ref="AY203:AY204"/>
    <mergeCell ref="AL205:AL206"/>
    <mergeCell ref="AM205:AM206"/>
    <mergeCell ref="AN205:AN206"/>
    <mergeCell ref="AO205:AO206"/>
    <mergeCell ref="AP205:AP206"/>
    <mergeCell ref="AQ205:AQ206"/>
    <mergeCell ref="AR205:AR206"/>
    <mergeCell ref="AS205:AS206"/>
    <mergeCell ref="AT205:AT206"/>
    <mergeCell ref="AU205:AU206"/>
    <mergeCell ref="AV205:AV206"/>
    <mergeCell ref="AW205:AW206"/>
    <mergeCell ref="AX205:AX206"/>
    <mergeCell ref="AY205:AY206"/>
    <mergeCell ref="AL203:AL204"/>
    <mergeCell ref="AM203:AM204"/>
    <mergeCell ref="AN203:AN204"/>
    <mergeCell ref="AO203:AO204"/>
    <mergeCell ref="AP203:AP204"/>
    <mergeCell ref="AQ203:AQ204"/>
    <mergeCell ref="AR203:AR204"/>
    <mergeCell ref="AS203:AS204"/>
    <mergeCell ref="AT203:AT204"/>
    <mergeCell ref="AU207:AU208"/>
    <mergeCell ref="AV207:AV208"/>
    <mergeCell ref="AW207:AW208"/>
    <mergeCell ref="AX207:AX208"/>
    <mergeCell ref="AY207:AY208"/>
    <mergeCell ref="AL209:AL210"/>
    <mergeCell ref="AM209:AM210"/>
    <mergeCell ref="AN209:AN210"/>
    <mergeCell ref="AO209:AO210"/>
    <mergeCell ref="AP209:AP210"/>
    <mergeCell ref="AQ209:AQ210"/>
    <mergeCell ref="AR209:AR210"/>
    <mergeCell ref="AS209:AS210"/>
    <mergeCell ref="AT209:AT210"/>
    <mergeCell ref="AU209:AU210"/>
    <mergeCell ref="AV209:AV210"/>
    <mergeCell ref="AW209:AW210"/>
    <mergeCell ref="AX209:AX210"/>
    <mergeCell ref="AY209:AY210"/>
    <mergeCell ref="AL207:AL208"/>
    <mergeCell ref="AM207:AM208"/>
    <mergeCell ref="AN207:AN208"/>
    <mergeCell ref="AO207:AO208"/>
    <mergeCell ref="AP207:AP208"/>
    <mergeCell ref="AQ207:AQ208"/>
    <mergeCell ref="AR207:AR208"/>
    <mergeCell ref="AS207:AS208"/>
    <mergeCell ref="AT207:AT208"/>
    <mergeCell ref="AU211:AU212"/>
    <mergeCell ref="AV211:AV212"/>
    <mergeCell ref="AW211:AW212"/>
    <mergeCell ref="AX211:AX212"/>
    <mergeCell ref="AY211:AY212"/>
    <mergeCell ref="AL213:AL214"/>
    <mergeCell ref="AM213:AM214"/>
    <mergeCell ref="AN213:AN214"/>
    <mergeCell ref="AO213:AO214"/>
    <mergeCell ref="AP213:AP214"/>
    <mergeCell ref="AQ213:AQ214"/>
    <mergeCell ref="AR213:AR214"/>
    <mergeCell ref="AS213:AS214"/>
    <mergeCell ref="AT213:AT214"/>
    <mergeCell ref="AU213:AU214"/>
    <mergeCell ref="AV213:AV214"/>
    <mergeCell ref="AW213:AW214"/>
    <mergeCell ref="AX213:AX214"/>
    <mergeCell ref="AY213:AY214"/>
    <mergeCell ref="AL211:AL212"/>
    <mergeCell ref="AM211:AM212"/>
    <mergeCell ref="AN211:AN212"/>
    <mergeCell ref="AO211:AO212"/>
    <mergeCell ref="AP211:AP212"/>
    <mergeCell ref="AQ211:AQ212"/>
    <mergeCell ref="AR211:AR212"/>
    <mergeCell ref="AS211:AS212"/>
    <mergeCell ref="AT211:AT212"/>
    <mergeCell ref="AU215:AU216"/>
    <mergeCell ref="AV215:AV216"/>
    <mergeCell ref="AW215:AW216"/>
    <mergeCell ref="AX215:AX216"/>
    <mergeCell ref="AY215:AY216"/>
    <mergeCell ref="AL217:AL218"/>
    <mergeCell ref="AM217:AM218"/>
    <mergeCell ref="AN217:AN218"/>
    <mergeCell ref="AO217:AO218"/>
    <mergeCell ref="AP217:AP218"/>
    <mergeCell ref="AQ217:AQ218"/>
    <mergeCell ref="AR217:AR218"/>
    <mergeCell ref="AS217:AS218"/>
    <mergeCell ref="AT217:AT218"/>
    <mergeCell ref="AU217:AU218"/>
    <mergeCell ref="AV217:AV218"/>
    <mergeCell ref="AW217:AW218"/>
    <mergeCell ref="AX217:AX218"/>
    <mergeCell ref="AY217:AY218"/>
    <mergeCell ref="AL215:AL216"/>
    <mergeCell ref="AM215:AM216"/>
    <mergeCell ref="AN215:AN216"/>
    <mergeCell ref="AO215:AO216"/>
    <mergeCell ref="AP215:AP216"/>
    <mergeCell ref="AQ215:AQ216"/>
    <mergeCell ref="AR215:AR216"/>
    <mergeCell ref="AS215:AS216"/>
    <mergeCell ref="AT215:AT216"/>
    <mergeCell ref="AR223:AR224"/>
    <mergeCell ref="AS223:AS224"/>
    <mergeCell ref="AT223:AT224"/>
    <mergeCell ref="AU219:AU220"/>
    <mergeCell ref="AV219:AV220"/>
    <mergeCell ref="AW219:AW220"/>
    <mergeCell ref="AX219:AX220"/>
    <mergeCell ref="AY219:AY220"/>
    <mergeCell ref="AL221:AL222"/>
    <mergeCell ref="AM221:AM222"/>
    <mergeCell ref="AN221:AN222"/>
    <mergeCell ref="AO221:AO222"/>
    <mergeCell ref="AP221:AP222"/>
    <mergeCell ref="AQ221:AQ222"/>
    <mergeCell ref="AR221:AR222"/>
    <mergeCell ref="AS221:AS222"/>
    <mergeCell ref="AT221:AT222"/>
    <mergeCell ref="AU221:AU222"/>
    <mergeCell ref="AV221:AV222"/>
    <mergeCell ref="AW221:AW222"/>
    <mergeCell ref="AX221:AX222"/>
    <mergeCell ref="AY221:AY222"/>
    <mergeCell ref="AL219:AL220"/>
    <mergeCell ref="AM219:AM220"/>
    <mergeCell ref="AN219:AN220"/>
    <mergeCell ref="AO219:AO220"/>
    <mergeCell ref="AP219:AP220"/>
    <mergeCell ref="AQ219:AQ220"/>
    <mergeCell ref="AR219:AR220"/>
    <mergeCell ref="AS219:AS220"/>
    <mergeCell ref="AT219:AT220"/>
    <mergeCell ref="AN227:AN228"/>
    <mergeCell ref="AO227:AO228"/>
    <mergeCell ref="AP227:AP228"/>
    <mergeCell ref="AQ227:AQ228"/>
    <mergeCell ref="AR227:AR228"/>
    <mergeCell ref="AS227:AS228"/>
    <mergeCell ref="AT227:AT228"/>
    <mergeCell ref="AU223:AU224"/>
    <mergeCell ref="AV223:AV224"/>
    <mergeCell ref="AW223:AW224"/>
    <mergeCell ref="AX223:AX224"/>
    <mergeCell ref="AY223:AY224"/>
    <mergeCell ref="AL225:AL226"/>
    <mergeCell ref="AM225:AM226"/>
    <mergeCell ref="AN225:AN226"/>
    <mergeCell ref="AO225:AO226"/>
    <mergeCell ref="AP225:AP226"/>
    <mergeCell ref="AQ225:AQ226"/>
    <mergeCell ref="AR225:AR226"/>
    <mergeCell ref="AS225:AS226"/>
    <mergeCell ref="AT225:AT226"/>
    <mergeCell ref="AU225:AU226"/>
    <mergeCell ref="AV225:AV226"/>
    <mergeCell ref="AW225:AW226"/>
    <mergeCell ref="AX225:AX226"/>
    <mergeCell ref="AY225:AY226"/>
    <mergeCell ref="AL223:AL224"/>
    <mergeCell ref="AM223:AM224"/>
    <mergeCell ref="AN223:AN224"/>
    <mergeCell ref="AO223:AO224"/>
    <mergeCell ref="AP223:AP224"/>
    <mergeCell ref="AQ223:AQ224"/>
    <mergeCell ref="AX233:AX234"/>
    <mergeCell ref="AY233:AY234"/>
    <mergeCell ref="AL231:AL232"/>
    <mergeCell ref="AM231:AM232"/>
    <mergeCell ref="AN231:AN232"/>
    <mergeCell ref="AO231:AO232"/>
    <mergeCell ref="AP231:AP232"/>
    <mergeCell ref="AQ231:AQ232"/>
    <mergeCell ref="AR231:AR232"/>
    <mergeCell ref="AS231:AS232"/>
    <mergeCell ref="AT231:AT232"/>
    <mergeCell ref="AU227:AU228"/>
    <mergeCell ref="AV227:AV228"/>
    <mergeCell ref="AW227:AW228"/>
    <mergeCell ref="AX227:AX228"/>
    <mergeCell ref="AY227:AY228"/>
    <mergeCell ref="AL229:AL230"/>
    <mergeCell ref="AM229:AM230"/>
    <mergeCell ref="AN229:AN230"/>
    <mergeCell ref="AO229:AO230"/>
    <mergeCell ref="AP229:AP230"/>
    <mergeCell ref="AQ229:AQ230"/>
    <mergeCell ref="AR229:AR230"/>
    <mergeCell ref="AS229:AS230"/>
    <mergeCell ref="AT229:AT230"/>
    <mergeCell ref="AU229:AU230"/>
    <mergeCell ref="AV229:AV230"/>
    <mergeCell ref="AW229:AW230"/>
    <mergeCell ref="AX229:AX230"/>
    <mergeCell ref="AY229:AY230"/>
    <mergeCell ref="AL227:AL228"/>
    <mergeCell ref="AM227:AM228"/>
    <mergeCell ref="S8:T9"/>
    <mergeCell ref="AU235:AU236"/>
    <mergeCell ref="AV235:AV236"/>
    <mergeCell ref="AW235:AW236"/>
    <mergeCell ref="AX235:AX236"/>
    <mergeCell ref="AY235:AY236"/>
    <mergeCell ref="AL235:AL236"/>
    <mergeCell ref="AM235:AM236"/>
    <mergeCell ref="AN235:AN236"/>
    <mergeCell ref="AO235:AO236"/>
    <mergeCell ref="AP235:AP236"/>
    <mergeCell ref="AQ235:AQ236"/>
    <mergeCell ref="AR235:AR236"/>
    <mergeCell ref="AS235:AS236"/>
    <mergeCell ref="AT235:AT236"/>
    <mergeCell ref="AU231:AU232"/>
    <mergeCell ref="AV231:AV232"/>
    <mergeCell ref="AW231:AW232"/>
    <mergeCell ref="AX231:AX232"/>
    <mergeCell ref="AY231:AY232"/>
    <mergeCell ref="AL233:AL234"/>
    <mergeCell ref="AM233:AM234"/>
    <mergeCell ref="AN233:AN234"/>
    <mergeCell ref="AO233:AO234"/>
    <mergeCell ref="AP233:AP234"/>
    <mergeCell ref="AQ233:AQ234"/>
    <mergeCell ref="AR233:AR234"/>
    <mergeCell ref="AS233:AS234"/>
    <mergeCell ref="AT233:AT234"/>
    <mergeCell ref="AU233:AU234"/>
    <mergeCell ref="AV233:AV234"/>
    <mergeCell ref="AW233:AW234"/>
  </mergeCells>
  <conditionalFormatting sqref="W12:W13 X11">
    <cfRule type="containsText" dxfId="169" priority="1064" operator="containsText" text="1">
      <formula>NOT(ISERROR(SEARCH("1",W11)))</formula>
    </cfRule>
    <cfRule type="containsText" dxfId="168" priority="1065" operator="containsText" text="1">
      <formula>NOT(ISERROR(SEARCH("1",W11)))</formula>
    </cfRule>
    <cfRule type="containsText" dxfId="167" priority="1067" operator="containsText" text="1">
      <formula>NOT(ISERROR(SEARCH("1",W11)))</formula>
    </cfRule>
    <cfRule type="containsText" dxfId="166" priority="1068" operator="containsText" text="1">
      <formula>NOT(ISERROR(SEARCH("1",W11)))</formula>
    </cfRule>
  </conditionalFormatting>
  <conditionalFormatting sqref="W11">
    <cfRule type="containsText" dxfId="165" priority="118" operator="containsText" text="ELEGIR">
      <formula>NOT(ISERROR(SEARCH("ELEGIR",W11)))</formula>
    </cfRule>
    <cfRule type="containsText" dxfId="164" priority="135" operator="containsText" text="INCUMPLIDO">
      <formula>NOT(ISERROR(SEARCH("INCUMPLIDO",W11)))</formula>
    </cfRule>
    <cfRule type="containsText" dxfId="163" priority="136" operator="containsText" text="CUMPLIDO">
      <formula>NOT(ISERROR(SEARCH("CUMPLIDO",W11)))</formula>
    </cfRule>
  </conditionalFormatting>
  <conditionalFormatting sqref="X43:AG43">
    <cfRule type="containsText" dxfId="162" priority="49" operator="containsText" text="ELEGIR">
      <formula>NOT(ISERROR(SEARCH("ELEGIR",X43)))</formula>
    </cfRule>
    <cfRule type="containsText" dxfId="161" priority="50" operator="containsText" text="INCUMPLIDO">
      <formula>NOT(ISERROR(SEARCH("INCUMPLIDO",X43)))</formula>
    </cfRule>
    <cfRule type="containsText" dxfId="160" priority="51" operator="containsText" text="CUMPLIDO">
      <formula>NOT(ISERROR(SEARCH("CUMPLIDO",X43)))</formula>
    </cfRule>
  </conditionalFormatting>
  <conditionalFormatting sqref="AG21 AE23 AA21 AB23 Y23 X19 AA19 AD19 AG19 AF17 AC17 Z17 AC15 AC11 X13:AG13">
    <cfRule type="containsText" dxfId="159" priority="37" operator="containsText" text="ELEGIR">
      <formula>NOT(ISERROR(SEARCH("ELEGIR",X11)))</formula>
    </cfRule>
    <cfRule type="containsText" dxfId="158" priority="38" operator="containsText" text="INCUMPLIDO">
      <formula>NOT(ISERROR(SEARCH("INCUMPLIDO",X11)))</formula>
    </cfRule>
    <cfRule type="containsText" dxfId="157" priority="39" operator="containsText" text="CUMPLIDO">
      <formula>NOT(ISERROR(SEARCH("CUMPLIDO",X11)))</formula>
    </cfRule>
  </conditionalFormatting>
  <conditionalFormatting sqref="V15:W15">
    <cfRule type="containsText" dxfId="156" priority="34" operator="containsText" text="ELEGIR">
      <formula>NOT(ISERROR(SEARCH("ELEGIR",V15)))</formula>
    </cfRule>
    <cfRule type="containsText" dxfId="155" priority="35" operator="containsText" text="INCUMPLIDO">
      <formula>NOT(ISERROR(SEARCH("INCUMPLIDO",V15)))</formula>
    </cfRule>
    <cfRule type="containsText" dxfId="154" priority="36" operator="containsText" text="CUMPLIDO">
      <formula>NOT(ISERROR(SEARCH("CUMPLIDO",V15)))</formula>
    </cfRule>
  </conditionalFormatting>
  <conditionalFormatting sqref="V17:W17">
    <cfRule type="containsText" dxfId="153" priority="31" operator="containsText" text="ELEGIR">
      <formula>NOT(ISERROR(SEARCH("ELEGIR",V17)))</formula>
    </cfRule>
    <cfRule type="containsText" dxfId="152" priority="32" operator="containsText" text="INCUMPLIDO">
      <formula>NOT(ISERROR(SEARCH("INCUMPLIDO",V17)))</formula>
    </cfRule>
    <cfRule type="containsText" dxfId="151" priority="33" operator="containsText" text="CUMPLIDO">
      <formula>NOT(ISERROR(SEARCH("CUMPLIDO",V17)))</formula>
    </cfRule>
  </conditionalFormatting>
  <conditionalFormatting sqref="X89 V83 V75:AG75 V73:AG73 X71 V69:AG69 AF67 AC67 Z67 W67 V65:AA65 W63 V61:AG61 X59 AA57 W55 V53:AG53 AA51 V47:AG47 AG45 AA45 W43 V41:AG41 V39:AG39 AD37 Y37 W35 AE33 AB33 Y33 V31:AG31 V29:AG29 AA27 V25:AG25 V77:AG77 V79:AG79 V81:AG81 V85:AG85 V91:AG91 V49:AG49 V87:AG87">
    <cfRule type="containsText" dxfId="150" priority="28" operator="containsText" text="ELEGIR">
      <formula>NOT(ISERROR(SEARCH("ELEGIR",V25)))</formula>
    </cfRule>
    <cfRule type="containsText" dxfId="149" priority="29" operator="containsText" text="INCUMPLIDO">
      <formula>NOT(ISERROR(SEARCH("INCUMPLIDO",V25)))</formula>
    </cfRule>
    <cfRule type="containsText" dxfId="148" priority="30" operator="containsText" text="CUMPLIDO">
      <formula>NOT(ISERROR(SEARCH("CUMPLIDO",V25)))</formula>
    </cfRule>
  </conditionalFormatting>
  <conditionalFormatting sqref="X98:Y98">
    <cfRule type="containsText" dxfId="147" priority="25" operator="containsText" text="ELEGIR">
      <formula>NOT(ISERROR(SEARCH("ELEGIR",X98)))</formula>
    </cfRule>
    <cfRule type="containsText" dxfId="146" priority="26" operator="containsText" text="INCUMPLIDO">
      <formula>NOT(ISERROR(SEARCH("INCUMPLIDO",X98)))</formula>
    </cfRule>
    <cfRule type="containsText" dxfId="145" priority="27" operator="containsText" text="CUMPLIDO">
      <formula>NOT(ISERROR(SEARCH("CUMPLIDO",X98)))</formula>
    </cfRule>
  </conditionalFormatting>
  <conditionalFormatting sqref="Y100:Z100">
    <cfRule type="containsText" dxfId="144" priority="19" operator="containsText" text="ELEGIR">
      <formula>NOT(ISERROR(SEARCH("ELEGIR",Y100)))</formula>
    </cfRule>
    <cfRule type="containsText" dxfId="143" priority="20" operator="containsText" text="INCUMPLIDO">
      <formula>NOT(ISERROR(SEARCH("INCUMPLIDO",Y100)))</formula>
    </cfRule>
    <cfRule type="containsText" dxfId="142" priority="21" operator="containsText" text="CUMPLIDO">
      <formula>NOT(ISERROR(SEARCH("CUMPLIDO",Y100)))</formula>
    </cfRule>
  </conditionalFormatting>
  <conditionalFormatting sqref="AG106 AG104 AG102 AD104 AD102 AA106 AA104 AA102 X106 X104 V102:X102 AD106">
    <cfRule type="containsText" dxfId="141" priority="16" operator="containsText" text="ELEGIR">
      <formula>NOT(ISERROR(SEARCH("ELEGIR",V102)))</formula>
    </cfRule>
    <cfRule type="containsText" dxfId="140" priority="17" operator="containsText" text="INCUMPLIDO">
      <formula>NOT(ISERROR(SEARCH("INCUMPLIDO",V102)))</formula>
    </cfRule>
    <cfRule type="containsText" dxfId="139" priority="18" operator="containsText" text="CUMPLIDO">
      <formula>NOT(ISERROR(SEARCH("CUMPLIDO",V102)))</formula>
    </cfRule>
  </conditionalFormatting>
  <conditionalFormatting sqref="X122 Y120 Y118:Z118 W116 X114 V112 Y110 V108:AG108">
    <cfRule type="containsText" dxfId="138" priority="13" operator="containsText" text="ELEGIR">
      <formula>NOT(ISERROR(SEARCH("ELEGIR",V108)))</formula>
    </cfRule>
    <cfRule type="containsText" dxfId="137" priority="14" operator="containsText" text="INCUMPLIDO">
      <formula>NOT(ISERROR(SEARCH("INCUMPLIDO",V108)))</formula>
    </cfRule>
    <cfRule type="containsText" dxfId="136" priority="15" operator="containsText" text="CUMPLIDO">
      <formula>NOT(ISERROR(SEARCH("CUMPLIDO",V108)))</formula>
    </cfRule>
  </conditionalFormatting>
  <conditionalFormatting sqref="W148:AG148 Y146:Z146 W144:X144 AB142:AG142 V140:X140 V138:AG138 AG136 AD136 AA136 X136 V134:AA134 V132:AG132 AA130 V128:AG128 X126 V124:AG124">
    <cfRule type="containsText" dxfId="135" priority="10" operator="containsText" text="ELEGIR">
      <formula>NOT(ISERROR(SEARCH("ELEGIR",V124)))</formula>
    </cfRule>
    <cfRule type="containsText" dxfId="134" priority="11" operator="containsText" text="INCUMPLIDO">
      <formula>NOT(ISERROR(SEARCH("INCUMPLIDO",V124)))</formula>
    </cfRule>
    <cfRule type="containsText" dxfId="133" priority="12" operator="containsText" text="CUMPLIDO">
      <formula>NOT(ISERROR(SEARCH("CUMPLIDO",V124)))</formula>
    </cfRule>
  </conditionalFormatting>
  <conditionalFormatting sqref="V189:AG189 V187 Y185 V183:AG183 AD181 Y181 W179 V177:Z177 V175:AG175 V173:AG173 AG171 AF169 AA171 Z169 V167:AG167 AF165 AD165 AB165 Z165 X165 V165 W163 AG161 AA161 V159:AG159 AF157 AD157 AB157 Z157 X157 V157 V155:AG155">
    <cfRule type="containsText" dxfId="132" priority="7" operator="containsText" text="ELEGIR">
      <formula>NOT(ISERROR(SEARCH("ELEGIR",V155)))</formula>
    </cfRule>
    <cfRule type="containsText" dxfId="131" priority="8" operator="containsText" text="INCUMPLIDO">
      <formula>NOT(ISERROR(SEARCH("INCUMPLIDO",V155)))</formula>
    </cfRule>
    <cfRule type="containsText" dxfId="130" priority="9" operator="containsText" text="CUMPLIDO">
      <formula>NOT(ISERROR(SEARCH("CUMPLIDO",V155)))</formula>
    </cfRule>
  </conditionalFormatting>
  <conditionalFormatting sqref="AG236 AD236 AA236 X236 V234:X234 AE232 AD230:AE230 AE228:AF228 Z226:AF226 W224 V222 Y220 V218:AG218 V216:W216 AE208 AB214 W212 Y210 Y208 AB206 Z204:AA204 AC202:AD202 AC200 AD198 AA198 W200 X198 Y196:AG196">
    <cfRule type="containsText" dxfId="129" priority="4" operator="containsText" text="ELEGIR">
      <formula>NOT(ISERROR(SEARCH("ELEGIR",V196)))</formula>
    </cfRule>
    <cfRule type="containsText" dxfId="128" priority="5" operator="containsText" text="INCUMPLIDO">
      <formula>NOT(ISERROR(SEARCH("INCUMPLIDO",V196)))</formula>
    </cfRule>
    <cfRule type="containsText" dxfId="127" priority="6" operator="containsText" text="CUMPLIDO">
      <formula>NOT(ISERROR(SEARCH("CUMPLIDO",V196)))</formula>
    </cfRule>
  </conditionalFormatting>
  <conditionalFormatting sqref="W214">
    <cfRule type="containsText" dxfId="126" priority="1" operator="containsText" text="ELEGIR">
      <formula>NOT(ISERROR(SEARCH("ELEGIR",W214)))</formula>
    </cfRule>
    <cfRule type="containsText" dxfId="125" priority="2" operator="containsText" text="INCUMPLIDO">
      <formula>NOT(ISERROR(SEARCH("INCUMPLIDO",W214)))</formula>
    </cfRule>
    <cfRule type="containsText" dxfId="124" priority="3" operator="containsText" text="CUMPLIDO">
      <formula>NOT(ISERROR(SEARCH("CUMPLIDO",W214)))</formula>
    </cfRule>
  </conditionalFormatting>
  <dataValidations count="16">
    <dataValidation type="list" operator="lessThanOrEqual" allowBlank="1" showInputMessage="1" showErrorMessage="1" sqref="T227">
      <formula1>"1, 2, 3, 4, 5, 6, 7, 8, 9, 10, 11, 12"</formula1>
    </dataValidation>
    <dataValidation type="list" operator="lessThanOrEqual" allowBlank="1" showInputMessage="1" showErrorMessage="1" sqref="T131 T60 T24 T30 T40 T48 T52 T68 T80 T86 T90 T107 T123 T127 T154 T137 T158 T166 T174 T182 T195 T188 T28 T38 T46 T72 T74 T76 T78 T84 T172 T217">
      <formula1>"0, 1, 2, 3, 4, 5, 6, 7, 8, 9, 10, 11, 12"</formula1>
    </dataValidation>
    <dataValidation type="list" operator="lessThanOrEqual" allowBlank="1" showInputMessage="1" showErrorMessage="1" sqref="T32 T197 T14 T22 T139 T233">
      <formula1>"0, 1, 2, 3"</formula1>
    </dataValidation>
    <dataValidation type="list" operator="lessThanOrEqual" allowBlank="1" showInputMessage="1" showErrorMessage="1" sqref="T133 T64 T156 T101 T141 T164">
      <formula1>"0, 1, 2, 3, 4, 5, 6"</formula1>
    </dataValidation>
    <dataValidation type="list" operator="lessThanOrEqual" allowBlank="1" showInputMessage="1" showErrorMessage="1" sqref="T44 T215 T117 T10 T20 T36 T99 T145 T170 T180 T203 T207 T97 T143 T168 T199 T201 T229">
      <formula1>"0, 1, 2"</formula1>
    </dataValidation>
    <dataValidation type="list" operator="lessThanOrEqual" allowBlank="1" showInputMessage="1" showErrorMessage="1" sqref="T147">
      <formula1>"0, 1, 2, 3, 4, 5, 6, 7, 8,9,10,11"</formula1>
    </dataValidation>
    <dataValidation type="list" operator="lessThanOrEqual" allowBlank="1" showInputMessage="1" showErrorMessage="1" sqref="T18 T135 T66 T105 T103 T235">
      <formula1>"0, 1, 2, 3, 4"</formula1>
    </dataValidation>
    <dataValidation type="list" operator="lessThanOrEqual" allowBlank="1" showInputMessage="1" showErrorMessage="1" sqref="T12">
      <formula1>"0, 1, 2, 3, 4, 5, 6, 7, 8, 9, 10"</formula1>
    </dataValidation>
    <dataValidation type="list" operator="lessThanOrEqual" allowBlank="1" showInputMessage="1" showErrorMessage="1" sqref="T16">
      <formula1>"0, 1, 2, 3, 4, 5"</formula1>
    </dataValidation>
    <dataValidation type="list" operator="lessThanOrEqual" allowBlank="1" showInputMessage="1" showErrorMessage="1" sqref="T223 T26 T34 T50 T58 T62 T70 T82 T88 T113 T115 T121 T125 T129 T178 T186 T205 T162 T231 T54 T56 T109 T111 T119 T160 T184 T209 T211 T219 T221">
      <formula1>"0, 1"</formula1>
    </dataValidation>
    <dataValidation type="list" operator="lessThanOrEqual" allowBlank="1" showInputMessage="1" showErrorMessage="1" sqref="T42">
      <formula1>"0, 1, 2, 3, 4, 5, 6, 7, 8, 9, 10, 11"</formula1>
    </dataValidation>
    <dataValidation type="list" operator="lessThanOrEqual" allowBlank="1" showInputMessage="1" showErrorMessage="1" sqref="T225">
      <formula1>"0, 1, 2, 3, 4, 5, 6, 7"</formula1>
    </dataValidation>
    <dataValidation type="list" operator="lessThanOrEqual" allowBlank="1" showInputMessage="1" showErrorMessage="1" sqref="T176">
      <formula1>"0,1,2,3,4,5"</formula1>
    </dataValidation>
    <dataValidation type="list" allowBlank="1" showInputMessage="1" showErrorMessage="1" sqref="X43:AG43">
      <formula1>"ELEGIR, ICUMPLIDO, INCUMPLIDO"</formula1>
    </dataValidation>
    <dataValidation type="list" allowBlank="1" showInputMessage="1" showErrorMessage="1" sqref="W11 AC11 X13:AG13 AC15 AG21 Z17 AC17 AF17 AG19 AD19 AA19 X19 Y23 AB23 AA21 AE23 V15:W15 V17:W17 V25:AG25 AA27 V29:AG29 V31:AG31 Y33 AB33 AE33 W35 Y37 AD37 V39:AG39 V41:AG41 W43 AA45 AG45 V47:AG47 V91:AG91 AA51 V53:AG53 W55 AA57 X59 V61:AG61 W63 V65:AA65 W67 Z67 AC67 AF67 V69:AG69 X71 V73:AG73 V75:AG75 AG236 V77:AG77 V79:AG79 V83 V81:AG81 V85:AG85 X89 V49:AG49 X98:Y98 Y100:Z100 V102:X102 X104 X106 AA102 AA104 AA106 AD102 AG106 AG102 AG104 AD104 AD106 V108:AG108 Y110 V112 X114 W116 Y118:Z118 Y120 X122 V124:AG124 X126 V128:AG128 AA130 V132:AG132 V134:AA134 X136 AA136 AD136 AG136 V138:AG138 V140:X140 AB142:AG142 W144:X144 Y146:Z146 W148:AG148 V155:AG155 V157 X157 Z157 V189:AG189 AD157 AF157 AA161 AG161 W163 V165 X165 Z165 AB165 AD165 AF165 V167:AG167 Z169 AA171 AF169 AG171 V173:AG173 V175:AG175 V177:Z177 W179 Y181 AD181 V183:AG183 Y185 V187 AB157 V159:AG159 Y196:AG196 X198 W200 AA198 AD198 AC200 AC202:AD202 Z204:AA204 AB206 Y208 Y210 W212 AB214 AE208 V216:W216 V218:AG218 Y220 V222 W224 Z226:AF226 AE228:AF228 AD230:AE230 AE232 V234:X234 X236 AA236 AD236 V87:AG87 W214">
      <formula1>"ELEGIR, CUMPLIDO, INCUMPLIDO"</formula1>
    </dataValidation>
    <dataValidation type="list" operator="lessThanOrEqual" allowBlank="1" showInputMessage="1" showErrorMessage="1" sqref="T213:T214">
      <formula1>"0, 1,2"</formula1>
    </dataValidation>
  </dataValidations>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6"/>
  <dimension ref="A1:O3"/>
  <sheetViews>
    <sheetView workbookViewId="0"/>
  </sheetViews>
  <sheetFormatPr baseColWidth="10" defaultRowHeight="15.75" x14ac:dyDescent="0.25"/>
  <cols>
    <col min="1" max="1" width="2.7109375" customWidth="1"/>
    <col min="2" max="2" width="13.28515625" customWidth="1"/>
    <col min="3" max="3" width="11.85546875" customWidth="1"/>
    <col min="4" max="4" width="14.140625" customWidth="1"/>
    <col min="8" max="8" width="5.42578125" customWidth="1"/>
    <col min="10" max="10" width="16.42578125" style="44" customWidth="1"/>
    <col min="11" max="11" width="16.42578125" customWidth="1"/>
    <col min="12" max="12" width="16.42578125" style="44" customWidth="1"/>
    <col min="13" max="15" width="16.42578125" style="7" customWidth="1"/>
  </cols>
  <sheetData>
    <row r="1" spans="1:15" s="2" customFormat="1" ht="39" customHeight="1" x14ac:dyDescent="0.25">
      <c r="A1" s="10"/>
      <c r="J1" s="42"/>
      <c r="L1" s="42"/>
      <c r="M1" s="57"/>
      <c r="N1" s="57"/>
      <c r="O1" s="57"/>
    </row>
    <row r="2" spans="1:15" s="1" customFormat="1" ht="30.75" customHeight="1" x14ac:dyDescent="0.25">
      <c r="J2" s="43"/>
      <c r="L2" s="43"/>
      <c r="M2" s="58"/>
      <c r="N2" s="58"/>
      <c r="O2" s="58"/>
    </row>
    <row r="3" spans="1:15" ht="7.5" customHeight="1" x14ac:dyDescent="0.25"/>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7"/>
  <dimension ref="A1:O3"/>
  <sheetViews>
    <sheetView workbookViewId="0">
      <selection activeCell="A4" sqref="A4:XFD7"/>
    </sheetView>
  </sheetViews>
  <sheetFormatPr baseColWidth="10" defaultRowHeight="15.75" x14ac:dyDescent="0.25"/>
  <cols>
    <col min="1" max="1" width="2.7109375" customWidth="1"/>
    <col min="2" max="2" width="13.28515625" customWidth="1"/>
    <col min="3" max="3" width="11.85546875" customWidth="1"/>
    <col min="4" max="4" width="14.140625" customWidth="1"/>
    <col min="8" max="8" width="5.42578125" customWidth="1"/>
    <col min="10" max="10" width="16.42578125" style="44" customWidth="1"/>
    <col min="11" max="11" width="16.42578125" customWidth="1"/>
    <col min="12" max="12" width="16.42578125" style="44" customWidth="1"/>
    <col min="13" max="15" width="16.42578125" style="7" customWidth="1"/>
  </cols>
  <sheetData>
    <row r="1" spans="1:15" s="2" customFormat="1" ht="39" customHeight="1" x14ac:dyDescent="0.25">
      <c r="A1" s="10"/>
      <c r="J1" s="42"/>
      <c r="L1" s="42"/>
      <c r="M1" s="57"/>
      <c r="N1" s="57"/>
      <c r="O1" s="57"/>
    </row>
    <row r="2" spans="1:15" s="1" customFormat="1" ht="30.75" customHeight="1" x14ac:dyDescent="0.25">
      <c r="J2" s="43"/>
      <c r="L2" s="43"/>
      <c r="M2" s="58"/>
      <c r="N2" s="58"/>
      <c r="O2" s="58"/>
    </row>
    <row r="3" spans="1:15" ht="7.5" customHeight="1" x14ac:dyDescent="0.25"/>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8"/>
  <dimension ref="A1:O3"/>
  <sheetViews>
    <sheetView workbookViewId="0"/>
  </sheetViews>
  <sheetFormatPr baseColWidth="10" defaultRowHeight="15.75" x14ac:dyDescent="0.25"/>
  <cols>
    <col min="1" max="1" width="2.7109375" customWidth="1"/>
    <col min="2" max="2" width="13.28515625" customWidth="1"/>
    <col min="3" max="3" width="11.85546875" customWidth="1"/>
    <col min="4" max="4" width="14.140625" customWidth="1"/>
    <col min="8" max="8" width="5.42578125" customWidth="1"/>
    <col min="10" max="10" width="16.42578125" style="44" customWidth="1"/>
    <col min="11" max="11" width="16.42578125" customWidth="1"/>
    <col min="12" max="12" width="16.42578125" style="44" customWidth="1"/>
    <col min="13" max="15" width="16.42578125" style="7" customWidth="1"/>
  </cols>
  <sheetData>
    <row r="1" spans="1:15" s="2" customFormat="1" ht="39" customHeight="1" x14ac:dyDescent="0.25">
      <c r="A1" s="10"/>
      <c r="J1" s="42"/>
      <c r="L1" s="42"/>
      <c r="M1" s="57"/>
      <c r="N1" s="57"/>
      <c r="O1" s="57"/>
    </row>
    <row r="2" spans="1:15" s="1" customFormat="1" ht="30.75" customHeight="1" x14ac:dyDescent="0.25">
      <c r="J2" s="43"/>
      <c r="L2" s="43"/>
      <c r="M2" s="58"/>
      <c r="N2" s="58"/>
      <c r="O2" s="58"/>
    </row>
    <row r="3" spans="1:15" ht="7.5" customHeight="1"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B1:N17"/>
  <sheetViews>
    <sheetView showGridLines="0" workbookViewId="0">
      <pane ySplit="2" topLeftCell="A3" activePane="bottomLeft" state="frozen"/>
      <selection pane="bottomLeft"/>
    </sheetView>
  </sheetViews>
  <sheetFormatPr baseColWidth="10" defaultRowHeight="15" x14ac:dyDescent="0.25"/>
  <cols>
    <col min="1" max="1" width="2.7109375" customWidth="1"/>
    <col min="2" max="2" width="13.28515625" customWidth="1"/>
    <col min="3" max="3" width="11.85546875" customWidth="1"/>
    <col min="4" max="4" width="14.140625" customWidth="1"/>
    <col min="8" max="8" width="5.42578125" customWidth="1"/>
  </cols>
  <sheetData>
    <row r="1" spans="2:14" s="2" customFormat="1" ht="39" customHeight="1" x14ac:dyDescent="0.25"/>
    <row r="2" spans="2:14" s="1" customFormat="1" ht="30.75" customHeight="1" x14ac:dyDescent="0.25"/>
    <row r="3" spans="2:14" ht="12" customHeight="1" x14ac:dyDescent="0.25"/>
    <row r="4" spans="2:14" x14ac:dyDescent="0.25">
      <c r="B4" s="356" t="s">
        <v>0</v>
      </c>
      <c r="C4" s="356"/>
      <c r="D4" s="356"/>
      <c r="E4" s="356"/>
      <c r="F4" s="356"/>
      <c r="G4" s="356"/>
      <c r="H4" s="356"/>
      <c r="I4" s="356"/>
      <c r="J4" s="356"/>
      <c r="K4" s="356"/>
      <c r="L4" s="356"/>
      <c r="M4" s="356"/>
      <c r="N4" s="356"/>
    </row>
    <row r="5" spans="2:14" x14ac:dyDescent="0.25">
      <c r="B5" s="356"/>
      <c r="C5" s="356"/>
      <c r="D5" s="356"/>
      <c r="E5" s="356"/>
      <c r="F5" s="356"/>
      <c r="G5" s="356"/>
      <c r="H5" s="356"/>
      <c r="I5" s="356"/>
      <c r="J5" s="356"/>
      <c r="K5" s="356"/>
      <c r="L5" s="356"/>
      <c r="M5" s="356"/>
      <c r="N5" s="356"/>
    </row>
    <row r="6" spans="2:14" ht="11.25" customHeight="1" x14ac:dyDescent="0.25"/>
    <row r="7" spans="2:14" ht="17.25" customHeight="1" x14ac:dyDescent="0.25">
      <c r="B7" s="357" t="s">
        <v>1</v>
      </c>
      <c r="C7" s="357"/>
      <c r="D7" s="358">
        <v>2020</v>
      </c>
      <c r="E7" s="359"/>
      <c r="F7" s="359"/>
      <c r="G7" s="360"/>
      <c r="I7" s="357" t="s">
        <v>2</v>
      </c>
      <c r="J7" s="357"/>
      <c r="K7" s="358" t="s">
        <v>3</v>
      </c>
      <c r="L7" s="359"/>
      <c r="M7" s="359"/>
      <c r="N7" s="360"/>
    </row>
    <row r="8" spans="2:14" ht="17.25" customHeight="1" x14ac:dyDescent="0.25">
      <c r="B8" s="357"/>
      <c r="C8" s="357"/>
      <c r="D8" s="361"/>
      <c r="E8" s="362"/>
      <c r="F8" s="362"/>
      <c r="G8" s="363"/>
      <c r="I8" s="357"/>
      <c r="J8" s="357"/>
      <c r="K8" s="361"/>
      <c r="L8" s="362"/>
      <c r="M8" s="362"/>
      <c r="N8" s="363"/>
    </row>
    <row r="9" spans="2:14" ht="12" customHeight="1" x14ac:dyDescent="0.25"/>
    <row r="10" spans="2:14" ht="28.5" x14ac:dyDescent="0.25">
      <c r="B10" s="364" t="s">
        <v>6</v>
      </c>
      <c r="C10" s="364"/>
      <c r="D10" s="364"/>
      <c r="E10" s="364"/>
      <c r="F10" s="364"/>
      <c r="G10" s="364"/>
      <c r="H10" s="364"/>
      <c r="I10" s="364"/>
      <c r="J10" s="364"/>
      <c r="K10" s="364"/>
      <c r="L10" s="364"/>
      <c r="M10" s="364"/>
      <c r="N10" s="364"/>
    </row>
    <row r="11" spans="2:14" ht="18.75" customHeight="1" x14ac:dyDescent="0.25">
      <c r="B11" s="365" t="s">
        <v>477</v>
      </c>
      <c r="C11" s="366"/>
      <c r="D11" s="366"/>
      <c r="E11" s="366"/>
      <c r="F11" s="366"/>
      <c r="G11" s="366"/>
      <c r="H11" s="366"/>
      <c r="I11" s="366"/>
      <c r="J11" s="366"/>
      <c r="K11" s="366"/>
      <c r="L11" s="366"/>
      <c r="M11" s="366"/>
      <c r="N11" s="367"/>
    </row>
    <row r="12" spans="2:14" x14ac:dyDescent="0.25">
      <c r="B12" s="368"/>
      <c r="C12" s="369"/>
      <c r="D12" s="369"/>
      <c r="E12" s="369"/>
      <c r="F12" s="369"/>
      <c r="G12" s="369"/>
      <c r="H12" s="369"/>
      <c r="I12" s="369"/>
      <c r="J12" s="369"/>
      <c r="K12" s="369"/>
      <c r="L12" s="369"/>
      <c r="M12" s="369"/>
      <c r="N12" s="370"/>
    </row>
    <row r="13" spans="2:14" x14ac:dyDescent="0.25">
      <c r="B13" s="368"/>
      <c r="C13" s="369"/>
      <c r="D13" s="369"/>
      <c r="E13" s="369"/>
      <c r="F13" s="369"/>
      <c r="G13" s="369"/>
      <c r="H13" s="369"/>
      <c r="I13" s="369"/>
      <c r="J13" s="369"/>
      <c r="K13" s="369"/>
      <c r="L13" s="369"/>
      <c r="M13" s="369"/>
      <c r="N13" s="370"/>
    </row>
    <row r="14" spans="2:14" x14ac:dyDescent="0.25">
      <c r="B14" s="368"/>
      <c r="C14" s="369"/>
      <c r="D14" s="369"/>
      <c r="E14" s="369"/>
      <c r="F14" s="369"/>
      <c r="G14" s="369"/>
      <c r="H14" s="369"/>
      <c r="I14" s="369"/>
      <c r="J14" s="369"/>
      <c r="K14" s="369"/>
      <c r="L14" s="369"/>
      <c r="M14" s="369"/>
      <c r="N14" s="370"/>
    </row>
    <row r="15" spans="2:14" x14ac:dyDescent="0.25">
      <c r="B15" s="368"/>
      <c r="C15" s="369"/>
      <c r="D15" s="369"/>
      <c r="E15" s="369"/>
      <c r="F15" s="369"/>
      <c r="G15" s="369"/>
      <c r="H15" s="369"/>
      <c r="I15" s="369"/>
      <c r="J15" s="369"/>
      <c r="K15" s="369"/>
      <c r="L15" s="369"/>
      <c r="M15" s="369"/>
      <c r="N15" s="370"/>
    </row>
    <row r="16" spans="2:14" x14ac:dyDescent="0.25">
      <c r="B16" s="368"/>
      <c r="C16" s="369"/>
      <c r="D16" s="369"/>
      <c r="E16" s="369"/>
      <c r="F16" s="369"/>
      <c r="G16" s="369"/>
      <c r="H16" s="369"/>
      <c r="I16" s="369"/>
      <c r="J16" s="369"/>
      <c r="K16" s="369"/>
      <c r="L16" s="369"/>
      <c r="M16" s="369"/>
      <c r="N16" s="370"/>
    </row>
    <row r="17" spans="2:14" x14ac:dyDescent="0.25">
      <c r="B17" s="371"/>
      <c r="C17" s="372"/>
      <c r="D17" s="372"/>
      <c r="E17" s="372"/>
      <c r="F17" s="372"/>
      <c r="G17" s="372"/>
      <c r="H17" s="372"/>
      <c r="I17" s="372"/>
      <c r="J17" s="372"/>
      <c r="K17" s="372"/>
      <c r="L17" s="372"/>
      <c r="M17" s="372"/>
      <c r="N17" s="373"/>
    </row>
  </sheetData>
  <mergeCells count="7">
    <mergeCell ref="B10:N10"/>
    <mergeCell ref="B11:N17"/>
    <mergeCell ref="B4:N5"/>
    <mergeCell ref="B7:C8"/>
    <mergeCell ref="D7:G8"/>
    <mergeCell ref="I7:J8"/>
    <mergeCell ref="K7:N8"/>
  </mergeCells>
  <dataValidations count="1">
    <dataValidation type="list" allowBlank="1" showInputMessage="1" showErrorMessage="1" sqref="K7:N8">
      <formula1>"1 año, 2 años, 3 años, 4 años"</formula1>
    </dataValidation>
  </dataValidation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256"/>
  <sheetViews>
    <sheetView showGridLines="0" tabSelected="1" workbookViewId="0">
      <pane ySplit="4" topLeftCell="A215" activePane="bottomLeft" state="frozen"/>
      <selection pane="bottomLeft" activeCell="G226" sqref="G226"/>
    </sheetView>
  </sheetViews>
  <sheetFormatPr baseColWidth="10" defaultRowHeight="15.75" x14ac:dyDescent="0.25"/>
  <cols>
    <col min="1" max="1" width="2.7109375" customWidth="1"/>
    <col min="2" max="2" width="13.28515625" customWidth="1"/>
    <col min="3" max="3" width="13.42578125" customWidth="1"/>
    <col min="4" max="4" width="14.140625" customWidth="1"/>
    <col min="5" max="5" width="15" customWidth="1"/>
    <col min="6" max="6" width="15.7109375" customWidth="1"/>
    <col min="7" max="7" width="11.42578125" customWidth="1"/>
    <col min="8" max="8" width="5.42578125" customWidth="1"/>
    <col min="10" max="10" width="16.42578125" style="44" customWidth="1"/>
    <col min="11" max="11" width="16.42578125" customWidth="1"/>
    <col min="12" max="12" width="16.42578125" style="44" customWidth="1"/>
    <col min="13" max="13" width="16.42578125" style="7" customWidth="1"/>
    <col min="14" max="14" width="11.42578125" customWidth="1"/>
    <col min="15" max="15" width="0.140625" customWidth="1"/>
    <col min="16" max="16" width="10.42578125" customWidth="1"/>
    <col min="17" max="25" width="13" customWidth="1"/>
  </cols>
  <sheetData>
    <row r="1" spans="1:25" s="2" customFormat="1" ht="39" customHeight="1" x14ac:dyDescent="0.25">
      <c r="A1" s="10"/>
      <c r="J1" s="42"/>
      <c r="L1" s="42"/>
      <c r="M1" s="57"/>
    </row>
    <row r="2" spans="1:25" s="1" customFormat="1" ht="30.75" customHeight="1" x14ac:dyDescent="0.25">
      <c r="J2" s="43"/>
      <c r="L2" s="43"/>
      <c r="M2" s="58"/>
    </row>
    <row r="3" spans="1:25" ht="7.5" customHeight="1" x14ac:dyDescent="0.25"/>
    <row r="4" spans="1:25" ht="16.5" customHeight="1" x14ac:dyDescent="0.25"/>
    <row r="5" spans="1:25" ht="18.75" x14ac:dyDescent="0.25">
      <c r="B5" s="450" t="s">
        <v>28</v>
      </c>
      <c r="C5" s="450"/>
      <c r="D5" s="450"/>
      <c r="E5" s="504" t="s">
        <v>29</v>
      </c>
      <c r="F5" s="827"/>
      <c r="G5" s="827"/>
      <c r="H5" s="827"/>
      <c r="I5" s="827"/>
      <c r="J5" s="827"/>
      <c r="K5" s="827"/>
      <c r="L5" s="827"/>
      <c r="M5" s="828"/>
    </row>
    <row r="6" spans="1:25" ht="7.5" customHeight="1" x14ac:dyDescent="0.25">
      <c r="B6" s="7"/>
      <c r="C6" s="7"/>
      <c r="D6" s="7"/>
      <c r="F6" s="7"/>
      <c r="G6" s="7"/>
      <c r="H6" s="7"/>
      <c r="K6" s="12"/>
      <c r="L6" s="53"/>
      <c r="M6" s="17"/>
    </row>
    <row r="7" spans="1:25" x14ac:dyDescent="0.25">
      <c r="B7" s="527" t="s">
        <v>36</v>
      </c>
      <c r="C7" s="527"/>
      <c r="D7" s="527"/>
      <c r="E7" s="527" t="s">
        <v>37</v>
      </c>
      <c r="F7" s="527"/>
      <c r="G7" s="527"/>
      <c r="H7" s="527"/>
      <c r="I7" s="527"/>
      <c r="J7" s="528" t="s">
        <v>87</v>
      </c>
      <c r="K7" s="528" t="s">
        <v>78</v>
      </c>
      <c r="L7" s="560" t="s">
        <v>86</v>
      </c>
      <c r="M7" s="561"/>
      <c r="O7" s="218"/>
      <c r="P7" s="218"/>
      <c r="Q7" s="218"/>
      <c r="R7" s="218"/>
      <c r="S7" s="218"/>
      <c r="T7" s="218"/>
      <c r="U7" s="218"/>
      <c r="V7" s="218"/>
      <c r="W7" s="218"/>
      <c r="X7" s="218"/>
      <c r="Y7" s="218"/>
    </row>
    <row r="8" spans="1:25" x14ac:dyDescent="0.25">
      <c r="B8" s="527"/>
      <c r="C8" s="527"/>
      <c r="D8" s="527"/>
      <c r="E8" s="527"/>
      <c r="F8" s="527"/>
      <c r="G8" s="527"/>
      <c r="H8" s="527"/>
      <c r="I8" s="527"/>
      <c r="J8" s="528"/>
      <c r="K8" s="528"/>
      <c r="L8" s="673" t="s">
        <v>79</v>
      </c>
      <c r="M8" s="674"/>
      <c r="O8" s="320" t="s">
        <v>518</v>
      </c>
      <c r="P8" s="307" t="s">
        <v>517</v>
      </c>
      <c r="Q8" s="218"/>
      <c r="R8" s="218"/>
      <c r="S8" s="218"/>
      <c r="T8" s="218"/>
      <c r="U8" s="218"/>
      <c r="V8" s="218"/>
      <c r="W8" s="218"/>
      <c r="X8" s="218"/>
      <c r="Y8" s="218"/>
    </row>
    <row r="9" spans="1:25" x14ac:dyDescent="0.25">
      <c r="B9" s="554" t="s">
        <v>30</v>
      </c>
      <c r="C9" s="555"/>
      <c r="D9" s="556"/>
      <c r="E9" s="529" t="s">
        <v>38</v>
      </c>
      <c r="F9" s="530"/>
      <c r="G9" s="530"/>
      <c r="H9" s="530"/>
      <c r="I9" s="531"/>
      <c r="J9" s="45">
        <v>44075</v>
      </c>
      <c r="K9" s="523" t="s">
        <v>80</v>
      </c>
      <c r="L9" s="879">
        <v>0.2064</v>
      </c>
      <c r="M9" s="880"/>
      <c r="P9" s="893">
        <f>L9/12</f>
        <v>1.72E-2</v>
      </c>
    </row>
    <row r="10" spans="1:25" x14ac:dyDescent="0.25">
      <c r="B10" s="554"/>
      <c r="C10" s="555"/>
      <c r="D10" s="556"/>
      <c r="E10" s="529"/>
      <c r="F10" s="530"/>
      <c r="G10" s="530"/>
      <c r="H10" s="530"/>
      <c r="I10" s="531"/>
      <c r="J10" s="564">
        <v>9137703.8399999999</v>
      </c>
      <c r="K10" s="523"/>
      <c r="L10" s="21">
        <f>($J$10*L9)+J10</f>
        <v>11023725.912575999</v>
      </c>
      <c r="M10" s="21">
        <f>+J10*L9</f>
        <v>1886022.0725759999</v>
      </c>
      <c r="O10" s="157">
        <f>M10/12</f>
        <v>157168.50604799998</v>
      </c>
      <c r="P10" s="893"/>
    </row>
    <row r="11" spans="1:25" x14ac:dyDescent="0.25">
      <c r="B11" s="554"/>
      <c r="C11" s="555"/>
      <c r="D11" s="556"/>
      <c r="E11" s="529"/>
      <c r="F11" s="530"/>
      <c r="G11" s="530"/>
      <c r="H11" s="530"/>
      <c r="I11" s="531"/>
      <c r="J11" s="565"/>
      <c r="K11" s="524" t="s">
        <v>81</v>
      </c>
      <c r="L11" s="871">
        <v>0.14000000000000001</v>
      </c>
      <c r="M11" s="872"/>
      <c r="O11" s="157"/>
      <c r="P11" s="893">
        <f>L11/12</f>
        <v>1.1666666666666667E-2</v>
      </c>
    </row>
    <row r="12" spans="1:25" x14ac:dyDescent="0.25">
      <c r="B12" s="554"/>
      <c r="C12" s="555"/>
      <c r="D12" s="556"/>
      <c r="E12" s="529"/>
      <c r="F12" s="530"/>
      <c r="G12" s="530"/>
      <c r="H12" s="530"/>
      <c r="I12" s="531"/>
      <c r="J12" s="565"/>
      <c r="K12" s="524"/>
      <c r="L12" s="23">
        <f>($J$10*L11)+J10</f>
        <v>10416982.377599999</v>
      </c>
      <c r="M12" s="21">
        <f>J10*L11</f>
        <v>1279278.5376000002</v>
      </c>
      <c r="O12" s="157">
        <f>M12/12</f>
        <v>106606.54480000002</v>
      </c>
      <c r="P12" s="893"/>
    </row>
    <row r="13" spans="1:25" x14ac:dyDescent="0.25">
      <c r="B13" s="554"/>
      <c r="C13" s="555"/>
      <c r="D13" s="556"/>
      <c r="E13" s="529"/>
      <c r="F13" s="530"/>
      <c r="G13" s="530"/>
      <c r="H13" s="530"/>
      <c r="I13" s="531"/>
      <c r="J13" s="565"/>
      <c r="K13" s="525" t="s">
        <v>82</v>
      </c>
      <c r="L13" s="871">
        <v>0.1</v>
      </c>
      <c r="M13" s="872"/>
      <c r="O13" s="157"/>
      <c r="P13" s="893">
        <f>L13/12</f>
        <v>8.3333333333333332E-3</v>
      </c>
    </row>
    <row r="14" spans="1:25" x14ac:dyDescent="0.25">
      <c r="B14" s="554"/>
      <c r="C14" s="555"/>
      <c r="D14" s="556"/>
      <c r="E14" s="529"/>
      <c r="F14" s="530"/>
      <c r="G14" s="530"/>
      <c r="H14" s="530"/>
      <c r="I14" s="531"/>
      <c r="J14" s="565"/>
      <c r="K14" s="881"/>
      <c r="L14" s="23">
        <f>($J$10*L13)+J10</f>
        <v>10051474.223999999</v>
      </c>
      <c r="M14" s="21">
        <f>L13*J10</f>
        <v>913770.38400000008</v>
      </c>
      <c r="O14" s="157">
        <f>M14/12</f>
        <v>76147.532000000007</v>
      </c>
      <c r="P14" s="893"/>
    </row>
    <row r="15" spans="1:25" ht="4.5" customHeight="1" x14ac:dyDescent="0.25">
      <c r="B15" s="862"/>
      <c r="C15" s="862"/>
      <c r="D15" s="862"/>
      <c r="E15" s="862"/>
      <c r="F15" s="862"/>
      <c r="G15" s="862"/>
      <c r="H15" s="862"/>
      <c r="I15" s="862"/>
      <c r="J15" s="862"/>
      <c r="K15" s="862"/>
      <c r="L15" s="862"/>
      <c r="M15" s="862"/>
    </row>
    <row r="16" spans="1:25" ht="15" x14ac:dyDescent="0.25">
      <c r="B16" s="30" t="s">
        <v>108</v>
      </c>
      <c r="C16" s="30" t="s">
        <v>109</v>
      </c>
      <c r="D16" s="30" t="s">
        <v>110</v>
      </c>
      <c r="E16" s="30" t="s">
        <v>111</v>
      </c>
      <c r="F16" s="30" t="s">
        <v>112</v>
      </c>
      <c r="G16" s="30" t="s">
        <v>113</v>
      </c>
      <c r="H16" s="817" t="s">
        <v>114</v>
      </c>
      <c r="I16" s="817"/>
      <c r="J16" s="30" t="s">
        <v>115</v>
      </c>
      <c r="K16" s="30" t="s">
        <v>116</v>
      </c>
      <c r="L16" s="30" t="s">
        <v>117</v>
      </c>
      <c r="M16" s="30" t="s">
        <v>118</v>
      </c>
      <c r="N16" s="30" t="s">
        <v>119</v>
      </c>
    </row>
    <row r="17" spans="2:16" ht="36" customHeight="1" x14ac:dyDescent="0.25">
      <c r="B17" s="326">
        <f>(9496654.48-9571025.36)/9571025.36</f>
        <v>-7.7704192813881504E-3</v>
      </c>
      <c r="C17" s="326">
        <f>(9563289.44-9571025.36)/9571025.36</f>
        <v>-8.0826449716981275E-4</v>
      </c>
      <c r="D17" s="326">
        <f>(9572616.53-9571025.36)/9571025.36</f>
        <v>1.6624864527575817E-4</v>
      </c>
      <c r="E17" s="325">
        <v>6.7000000000000002E-3</v>
      </c>
      <c r="F17" s="326">
        <v>-1.3999999999999999E-4</v>
      </c>
      <c r="G17" s="326">
        <v>0</v>
      </c>
      <c r="H17" s="869">
        <v>0</v>
      </c>
      <c r="I17" s="870"/>
      <c r="J17" s="326">
        <v>0</v>
      </c>
      <c r="K17" s="326">
        <v>0</v>
      </c>
      <c r="L17" s="326">
        <v>0</v>
      </c>
      <c r="M17" s="326">
        <v>0</v>
      </c>
      <c r="N17" s="326">
        <v>0</v>
      </c>
    </row>
    <row r="18" spans="2:16" ht="6" customHeight="1" x14ac:dyDescent="0.25">
      <c r="B18" s="862"/>
      <c r="C18" s="862"/>
      <c r="D18" s="862"/>
      <c r="E18" s="862"/>
      <c r="F18" s="862"/>
      <c r="G18" s="862"/>
      <c r="H18" s="862"/>
      <c r="I18" s="862"/>
      <c r="J18" s="862"/>
      <c r="K18" s="862"/>
      <c r="L18" s="862"/>
      <c r="M18" s="862"/>
      <c r="N18" s="209"/>
    </row>
    <row r="19" spans="2:16" ht="15.75" customHeight="1" x14ac:dyDescent="0.25">
      <c r="B19" s="820" t="s">
        <v>31</v>
      </c>
      <c r="C19" s="821"/>
      <c r="D19" s="822"/>
      <c r="E19" s="517" t="s">
        <v>39</v>
      </c>
      <c r="F19" s="518"/>
      <c r="G19" s="518"/>
      <c r="H19" s="518"/>
      <c r="I19" s="518"/>
      <c r="J19" s="221">
        <v>44075</v>
      </c>
      <c r="K19" s="882" t="s">
        <v>80</v>
      </c>
      <c r="L19" s="875">
        <f>M20/J20</f>
        <v>0.11780777898122757</v>
      </c>
      <c r="M19" s="876"/>
      <c r="P19" s="893">
        <f>L19/12</f>
        <v>9.8173149151022984E-3</v>
      </c>
    </row>
    <row r="20" spans="2:16" ht="15" customHeight="1" x14ac:dyDescent="0.25">
      <c r="B20" s="823"/>
      <c r="C20" s="509"/>
      <c r="D20" s="510"/>
      <c r="E20" s="517"/>
      <c r="F20" s="518"/>
      <c r="G20" s="518"/>
      <c r="H20" s="518"/>
      <c r="I20" s="518"/>
      <c r="J20" s="526">
        <v>9125310.6600000001</v>
      </c>
      <c r="K20" s="523"/>
      <c r="L20" s="24">
        <f>J20+M20</f>
        <v>10200343.24136832</v>
      </c>
      <c r="M20" s="24">
        <f>(M10*0.57)</f>
        <v>1075032.5813683199</v>
      </c>
      <c r="O20" s="157">
        <f>M20/12</f>
        <v>89586.048447359994</v>
      </c>
      <c r="P20" s="893"/>
    </row>
    <row r="21" spans="2:16" ht="15" customHeight="1" x14ac:dyDescent="0.25">
      <c r="B21" s="823"/>
      <c r="C21" s="509"/>
      <c r="D21" s="510"/>
      <c r="E21" s="517"/>
      <c r="F21" s="518"/>
      <c r="G21" s="518"/>
      <c r="H21" s="518"/>
      <c r="I21" s="518"/>
      <c r="J21" s="526"/>
      <c r="K21" s="524" t="s">
        <v>81</v>
      </c>
      <c r="L21" s="873">
        <f>M22/J20</f>
        <v>7.9908377215948942E-2</v>
      </c>
      <c r="M21" s="874"/>
      <c r="P21" s="893">
        <f>L21/12</f>
        <v>6.6590314346624121E-3</v>
      </c>
    </row>
    <row r="22" spans="2:16" ht="15" customHeight="1" x14ac:dyDescent="0.25">
      <c r="B22" s="823"/>
      <c r="C22" s="509"/>
      <c r="D22" s="510"/>
      <c r="E22" s="517"/>
      <c r="F22" s="518"/>
      <c r="G22" s="518"/>
      <c r="H22" s="518"/>
      <c r="I22" s="518"/>
      <c r="J22" s="526"/>
      <c r="K22" s="524"/>
      <c r="L22" s="24">
        <f>J20+M22</f>
        <v>9854499.4264320005</v>
      </c>
      <c r="M22" s="24">
        <f>(M12*0.57)</f>
        <v>729188.76643199997</v>
      </c>
      <c r="O22" s="157">
        <f>M22/12</f>
        <v>60765.730535999995</v>
      </c>
      <c r="P22" s="893"/>
    </row>
    <row r="23" spans="2:16" ht="15" customHeight="1" x14ac:dyDescent="0.25">
      <c r="B23" s="823"/>
      <c r="C23" s="509"/>
      <c r="D23" s="510"/>
      <c r="E23" s="517"/>
      <c r="F23" s="518"/>
      <c r="G23" s="518"/>
      <c r="H23" s="518"/>
      <c r="I23" s="518"/>
      <c r="J23" s="526"/>
      <c r="K23" s="525" t="s">
        <v>82</v>
      </c>
      <c r="L23" s="873">
        <f>M24/J20</f>
        <v>5.7077412297106389E-2</v>
      </c>
      <c r="M23" s="874"/>
      <c r="P23" s="893">
        <f>L23/12</f>
        <v>4.756451024758866E-3</v>
      </c>
    </row>
    <row r="24" spans="2:16" ht="15" customHeight="1" x14ac:dyDescent="0.25">
      <c r="B24" s="824"/>
      <c r="C24" s="825"/>
      <c r="D24" s="826"/>
      <c r="E24" s="520"/>
      <c r="F24" s="521"/>
      <c r="G24" s="521"/>
      <c r="H24" s="521"/>
      <c r="I24" s="521"/>
      <c r="J24" s="567"/>
      <c r="K24" s="525"/>
      <c r="L24" s="24">
        <f>M24+J20</f>
        <v>9646159.7788800001</v>
      </c>
      <c r="M24" s="24">
        <f>(M14*0.57)</f>
        <v>520849.11888000002</v>
      </c>
      <c r="O24" s="157">
        <f>M24/12</f>
        <v>43404.093240000002</v>
      </c>
      <c r="P24" s="893"/>
    </row>
    <row r="25" spans="2:16" ht="5.25" customHeight="1" x14ac:dyDescent="0.25">
      <c r="B25" s="853"/>
      <c r="C25" s="853"/>
      <c r="D25" s="853"/>
      <c r="E25" s="853"/>
      <c r="F25" s="853"/>
      <c r="G25" s="853"/>
      <c r="H25" s="853"/>
      <c r="I25" s="853"/>
      <c r="J25" s="853"/>
      <c r="K25" s="853"/>
      <c r="L25" s="853"/>
      <c r="M25" s="854"/>
      <c r="O25" s="157"/>
    </row>
    <row r="26" spans="2:16" ht="15" customHeight="1" x14ac:dyDescent="0.25">
      <c r="B26" s="30" t="s">
        <v>108</v>
      </c>
      <c r="C26" s="30" t="s">
        <v>109</v>
      </c>
      <c r="D26" s="30" t="s">
        <v>110</v>
      </c>
      <c r="E26" s="30" t="s">
        <v>111</v>
      </c>
      <c r="F26" s="30" t="s">
        <v>112</v>
      </c>
      <c r="G26" s="30" t="s">
        <v>113</v>
      </c>
      <c r="H26" s="817" t="s">
        <v>114</v>
      </c>
      <c r="I26" s="817"/>
      <c r="J26" s="30" t="s">
        <v>115</v>
      </c>
      <c r="K26" s="30" t="s">
        <v>116</v>
      </c>
      <c r="L26" s="30" t="s">
        <v>117</v>
      </c>
      <c r="M26" s="30" t="s">
        <v>118</v>
      </c>
      <c r="N26" s="30" t="s">
        <v>119</v>
      </c>
    </row>
    <row r="27" spans="2:16" ht="30.75" customHeight="1" x14ac:dyDescent="0.25">
      <c r="B27" s="325">
        <f>(9233917.71-9178826.22)/9178826.22</f>
        <v>6.0020190686211963E-3</v>
      </c>
      <c r="C27" s="325">
        <f>(9223462.23-9178826.22)/9178826.22</f>
        <v>4.8629322453824352E-3</v>
      </c>
      <c r="D27" s="325">
        <f>(9322957.5-9178826.22)/9178826.22</f>
        <v>1.5702582938758296E-2</v>
      </c>
      <c r="E27" s="325">
        <v>3.2199999999999999E-2</v>
      </c>
      <c r="F27" s="325">
        <v>2.93E-2</v>
      </c>
      <c r="G27" s="325">
        <v>0</v>
      </c>
      <c r="H27" s="867">
        <v>0</v>
      </c>
      <c r="I27" s="868"/>
      <c r="J27" s="325">
        <v>0</v>
      </c>
      <c r="K27" s="325">
        <v>0</v>
      </c>
      <c r="L27" s="325">
        <v>0</v>
      </c>
      <c r="M27" s="325">
        <v>0</v>
      </c>
      <c r="N27" s="325">
        <v>0</v>
      </c>
    </row>
    <row r="28" spans="2:16" ht="7.5" customHeight="1" x14ac:dyDescent="0.25">
      <c r="B28" s="209"/>
      <c r="C28" s="861"/>
      <c r="D28" s="861"/>
      <c r="E28" s="861"/>
      <c r="F28" s="861"/>
      <c r="G28" s="861"/>
      <c r="H28" s="861"/>
      <c r="I28" s="861"/>
      <c r="J28" s="861"/>
      <c r="K28" s="861"/>
      <c r="L28" s="861"/>
      <c r="M28" s="861"/>
      <c r="N28" s="861"/>
    </row>
    <row r="29" spans="2:16" x14ac:dyDescent="0.25">
      <c r="B29" s="820"/>
      <c r="C29" s="821"/>
      <c r="D29" s="822"/>
      <c r="E29" s="514" t="s">
        <v>40</v>
      </c>
      <c r="F29" s="515"/>
      <c r="G29" s="515"/>
      <c r="H29" s="515"/>
      <c r="I29" s="516"/>
      <c r="J29" s="46">
        <v>44075</v>
      </c>
      <c r="K29" s="523" t="s">
        <v>80</v>
      </c>
      <c r="L29" s="873">
        <f>M30/J30</f>
        <v>0.47407012174131169</v>
      </c>
      <c r="M29" s="874"/>
    </row>
    <row r="30" spans="2:16" ht="15" customHeight="1" x14ac:dyDescent="0.25">
      <c r="B30" s="823"/>
      <c r="C30" s="509"/>
      <c r="D30" s="510"/>
      <c r="E30" s="517"/>
      <c r="F30" s="518"/>
      <c r="G30" s="518"/>
      <c r="H30" s="518"/>
      <c r="I30" s="519"/>
      <c r="J30" s="526">
        <v>1710695.22</v>
      </c>
      <c r="K30" s="523"/>
      <c r="L30" s="24">
        <f>J30+M30</f>
        <v>2521684.7112076799</v>
      </c>
      <c r="M30" s="24">
        <f>(M10*0.43)</f>
        <v>810989.49120767997</v>
      </c>
      <c r="O30" s="157">
        <f>M30/12</f>
        <v>67582.457600640002</v>
      </c>
      <c r="P30" s="324">
        <f>L29/12</f>
        <v>3.9505843478442638E-2</v>
      </c>
    </row>
    <row r="31" spans="2:16" ht="15" customHeight="1" x14ac:dyDescent="0.25">
      <c r="B31" s="823"/>
      <c r="C31" s="509"/>
      <c r="D31" s="510"/>
      <c r="E31" s="517"/>
      <c r="F31" s="518"/>
      <c r="G31" s="518"/>
      <c r="H31" s="518"/>
      <c r="I31" s="519"/>
      <c r="J31" s="526"/>
      <c r="K31" s="524" t="s">
        <v>81</v>
      </c>
      <c r="L31" s="873">
        <f>M32/J30</f>
        <v>0.32155919110360293</v>
      </c>
      <c r="M31" s="874"/>
      <c r="O31" s="157"/>
    </row>
    <row r="32" spans="2:16" ht="15" customHeight="1" x14ac:dyDescent="0.25">
      <c r="B32" s="823"/>
      <c r="C32" s="509"/>
      <c r="D32" s="510"/>
      <c r="E32" s="517"/>
      <c r="F32" s="518"/>
      <c r="G32" s="518"/>
      <c r="H32" s="518"/>
      <c r="I32" s="519"/>
      <c r="J32" s="526"/>
      <c r="K32" s="524"/>
      <c r="L32" s="24">
        <f>J30+M32</f>
        <v>2260784.9911679998</v>
      </c>
      <c r="M32" s="24">
        <f>(M12*0.43)</f>
        <v>550089.77116800006</v>
      </c>
      <c r="O32" s="157">
        <f>M32/12</f>
        <v>45840.814264000008</v>
      </c>
      <c r="P32" s="324">
        <f>L31/12</f>
        <v>2.6796599258633577E-2</v>
      </c>
    </row>
    <row r="33" spans="2:16" ht="15" customHeight="1" x14ac:dyDescent="0.25">
      <c r="B33" s="823"/>
      <c r="C33" s="509"/>
      <c r="D33" s="510"/>
      <c r="E33" s="517"/>
      <c r="F33" s="518"/>
      <c r="G33" s="518"/>
      <c r="H33" s="518"/>
      <c r="I33" s="519"/>
      <c r="J33" s="526"/>
      <c r="K33" s="525" t="s">
        <v>82</v>
      </c>
      <c r="L33" s="873">
        <f>M34/J30</f>
        <v>0.22968513650257352</v>
      </c>
      <c r="M33" s="874"/>
      <c r="O33" s="157"/>
    </row>
    <row r="34" spans="2:16" ht="15" customHeight="1" x14ac:dyDescent="0.25">
      <c r="B34" s="824"/>
      <c r="C34" s="825"/>
      <c r="D34" s="826"/>
      <c r="E34" s="520"/>
      <c r="F34" s="521"/>
      <c r="G34" s="521"/>
      <c r="H34" s="521"/>
      <c r="I34" s="522"/>
      <c r="J34" s="567"/>
      <c r="K34" s="525"/>
      <c r="L34" s="24">
        <f>M34+J30</f>
        <v>2103616.4851199999</v>
      </c>
      <c r="M34" s="24">
        <f>(M14*0.43)</f>
        <v>392921.26512000005</v>
      </c>
      <c r="O34" s="157">
        <f>M34/12</f>
        <v>32743.438760000005</v>
      </c>
      <c r="P34" s="324">
        <f>L33/12</f>
        <v>1.9140428041881128E-2</v>
      </c>
    </row>
    <row r="35" spans="2:16" ht="4.5" customHeight="1" x14ac:dyDescent="0.25">
      <c r="B35" s="853"/>
      <c r="C35" s="853"/>
      <c r="D35" s="853"/>
      <c r="E35" s="853"/>
      <c r="F35" s="853"/>
      <c r="G35" s="853"/>
      <c r="H35" s="853"/>
      <c r="I35" s="853"/>
      <c r="J35" s="853"/>
      <c r="K35" s="853"/>
      <c r="L35" s="853"/>
      <c r="M35" s="854"/>
    </row>
    <row r="36" spans="2:16" ht="15" customHeight="1" x14ac:dyDescent="0.25">
      <c r="B36" s="30" t="s">
        <v>108</v>
      </c>
      <c r="C36" s="30" t="s">
        <v>109</v>
      </c>
      <c r="D36" s="30" t="s">
        <v>110</v>
      </c>
      <c r="E36" s="30" t="s">
        <v>111</v>
      </c>
      <c r="F36" s="30" t="s">
        <v>112</v>
      </c>
      <c r="G36" s="30" t="s">
        <v>113</v>
      </c>
      <c r="H36" s="817" t="s">
        <v>114</v>
      </c>
      <c r="I36" s="817"/>
      <c r="J36" s="30" t="s">
        <v>115</v>
      </c>
      <c r="K36" s="30" t="s">
        <v>116</v>
      </c>
      <c r="L36" s="30" t="s">
        <v>117</v>
      </c>
      <c r="M36" s="30" t="s">
        <v>118</v>
      </c>
      <c r="N36" s="30" t="s">
        <v>119</v>
      </c>
    </row>
    <row r="37" spans="2:16" ht="29.25" customHeight="1" x14ac:dyDescent="0.25">
      <c r="B37" s="326">
        <f>(1832036.68-1872977.87)/1872977.87</f>
        <v>-2.1858875460178381E-2</v>
      </c>
      <c r="C37" s="326">
        <f>(1716488.98-1872977.87)/1872977.87</f>
        <v>-8.3550848361064786E-2</v>
      </c>
      <c r="D37" s="326">
        <f>(1617145.72-1872977.87)/1872977.87</f>
        <v>-0.13659112267033893</v>
      </c>
      <c r="E37" s="326">
        <v>-0.15570000000000001</v>
      </c>
      <c r="F37" s="326">
        <v>-0.16250000000000001</v>
      </c>
      <c r="G37" s="326">
        <v>0</v>
      </c>
      <c r="H37" s="869">
        <v>0</v>
      </c>
      <c r="I37" s="870"/>
      <c r="J37" s="326">
        <v>0</v>
      </c>
      <c r="K37" s="326">
        <v>0</v>
      </c>
      <c r="L37" s="326">
        <v>0</v>
      </c>
      <c r="M37" s="326">
        <v>0</v>
      </c>
      <c r="N37" s="326">
        <v>0</v>
      </c>
    </row>
    <row r="38" spans="2:16" ht="5.25" customHeight="1" x14ac:dyDescent="0.25">
      <c r="B38" s="853"/>
      <c r="C38" s="853"/>
      <c r="D38" s="853"/>
      <c r="E38" s="853"/>
      <c r="F38" s="853"/>
      <c r="G38" s="853"/>
      <c r="H38" s="853"/>
      <c r="I38" s="853"/>
      <c r="J38" s="853"/>
      <c r="K38" s="853"/>
      <c r="L38" s="853"/>
      <c r="M38" s="854"/>
    </row>
    <row r="39" spans="2:16" x14ac:dyDescent="0.25">
      <c r="B39" s="597" t="s">
        <v>32</v>
      </c>
      <c r="C39" s="598"/>
      <c r="D39" s="599"/>
      <c r="E39" s="514" t="s">
        <v>41</v>
      </c>
      <c r="F39" s="515"/>
      <c r="G39" s="515"/>
      <c r="H39" s="515"/>
      <c r="I39" s="516"/>
      <c r="J39" s="210">
        <v>44166</v>
      </c>
      <c r="K39" s="38" t="s">
        <v>80</v>
      </c>
      <c r="L39" s="856">
        <f>(9000000*2.5%+J40)/(J41+M10*2%)</f>
        <v>0.13126792404559073</v>
      </c>
      <c r="M39" s="857"/>
    </row>
    <row r="40" spans="2:16" x14ac:dyDescent="0.25">
      <c r="B40" s="600"/>
      <c r="C40" s="555"/>
      <c r="D40" s="556"/>
      <c r="E40" s="517"/>
      <c r="F40" s="518"/>
      <c r="G40" s="518"/>
      <c r="H40" s="518"/>
      <c r="I40" s="519"/>
      <c r="J40" s="48">
        <v>1282765.1399999999</v>
      </c>
      <c r="K40" s="39" t="s">
        <v>81</v>
      </c>
      <c r="L40" s="856">
        <f>+(L39+L41)/2</f>
        <v>0.12318396202279536</v>
      </c>
      <c r="M40" s="857"/>
      <c r="N40" s="226"/>
    </row>
    <row r="41" spans="2:16" x14ac:dyDescent="0.25">
      <c r="B41" s="601"/>
      <c r="C41" s="602"/>
      <c r="D41" s="603"/>
      <c r="E41" s="549">
        <v>0.11509999999999999</v>
      </c>
      <c r="F41" s="550"/>
      <c r="G41" s="550"/>
      <c r="H41" s="550"/>
      <c r="I41" s="551"/>
      <c r="J41" s="49">
        <v>11448445.359999999</v>
      </c>
      <c r="K41" s="40" t="s">
        <v>82</v>
      </c>
      <c r="L41" s="877">
        <f>+E41</f>
        <v>0.11509999999999999</v>
      </c>
      <c r="M41" s="878"/>
    </row>
    <row r="42" spans="2:16" ht="5.25" customHeight="1" x14ac:dyDescent="0.25">
      <c r="B42" s="214"/>
      <c r="C42" s="215"/>
      <c r="D42" s="220"/>
      <c r="E42" s="220"/>
      <c r="F42" s="220"/>
      <c r="G42" s="220"/>
      <c r="H42" s="220"/>
      <c r="I42" s="220"/>
      <c r="J42" s="220"/>
      <c r="K42" s="220"/>
      <c r="L42" s="220"/>
      <c r="M42" s="222"/>
    </row>
    <row r="43" spans="2:16" ht="15" x14ac:dyDescent="0.25">
      <c r="B43" s="30" t="s">
        <v>108</v>
      </c>
      <c r="C43" s="30" t="s">
        <v>109</v>
      </c>
      <c r="D43" s="30" t="s">
        <v>110</v>
      </c>
      <c r="E43" s="30" t="s">
        <v>111</v>
      </c>
      <c r="F43" s="30" t="s">
        <v>112</v>
      </c>
      <c r="G43" s="30" t="s">
        <v>113</v>
      </c>
      <c r="H43" s="817" t="s">
        <v>114</v>
      </c>
      <c r="I43" s="817"/>
      <c r="J43" s="30" t="s">
        <v>115</v>
      </c>
      <c r="K43" s="30" t="s">
        <v>116</v>
      </c>
      <c r="L43" s="30" t="s">
        <v>117</v>
      </c>
      <c r="M43" s="30" t="s">
        <v>118</v>
      </c>
      <c r="N43" s="30" t="s">
        <v>119</v>
      </c>
    </row>
    <row r="44" spans="2:16" ht="30.75" customHeight="1" x14ac:dyDescent="0.25">
      <c r="B44" s="325">
        <v>0.1205</v>
      </c>
      <c r="C44" s="325">
        <v>0.12280000000000001</v>
      </c>
      <c r="D44" s="325">
        <v>0.12509999999999999</v>
      </c>
      <c r="E44" s="325">
        <v>0.1263</v>
      </c>
      <c r="F44" s="325">
        <v>0.12909999999999999</v>
      </c>
      <c r="G44" s="325">
        <v>0</v>
      </c>
      <c r="H44" s="867">
        <v>0</v>
      </c>
      <c r="I44" s="868"/>
      <c r="J44" s="325">
        <v>0</v>
      </c>
      <c r="K44" s="325">
        <v>0</v>
      </c>
      <c r="L44" s="325">
        <v>0</v>
      </c>
      <c r="M44" s="325">
        <v>0</v>
      </c>
      <c r="N44" s="325">
        <v>0</v>
      </c>
    </row>
    <row r="45" spans="2:16" ht="5.25" customHeight="1" x14ac:dyDescent="0.25">
      <c r="B45" s="216"/>
      <c r="C45" s="217"/>
      <c r="D45" s="223"/>
      <c r="E45" s="223"/>
      <c r="F45" s="223"/>
      <c r="G45" s="223"/>
      <c r="H45" s="223"/>
      <c r="I45" s="223"/>
      <c r="J45" s="223"/>
      <c r="K45" s="223"/>
      <c r="L45" s="223"/>
      <c r="M45" s="224"/>
    </row>
    <row r="46" spans="2:16" ht="15.75" customHeight="1" x14ac:dyDescent="0.25">
      <c r="B46" s="862" t="s">
        <v>33</v>
      </c>
      <c r="C46" s="862"/>
      <c r="D46" s="862"/>
      <c r="E46" s="544" t="s">
        <v>42</v>
      </c>
      <c r="F46" s="485"/>
      <c r="G46" s="485"/>
      <c r="H46" s="485"/>
      <c r="I46" s="545"/>
      <c r="J46" s="212"/>
      <c r="K46" s="211" t="s">
        <v>80</v>
      </c>
      <c r="L46" s="865">
        <v>0.2051</v>
      </c>
      <c r="M46" s="866"/>
    </row>
    <row r="47" spans="2:16" x14ac:dyDescent="0.25">
      <c r="B47" s="862"/>
      <c r="C47" s="862"/>
      <c r="D47" s="862"/>
      <c r="E47" s="544"/>
      <c r="F47" s="485"/>
      <c r="G47" s="485"/>
      <c r="H47" s="485"/>
      <c r="I47" s="545"/>
      <c r="J47" s="212"/>
      <c r="K47" s="39" t="s">
        <v>81</v>
      </c>
      <c r="L47" s="856">
        <v>0.159</v>
      </c>
      <c r="M47" s="857"/>
    </row>
    <row r="48" spans="2:16" x14ac:dyDescent="0.25">
      <c r="B48" s="862"/>
      <c r="C48" s="862"/>
      <c r="D48" s="862"/>
      <c r="E48" s="546"/>
      <c r="F48" s="547"/>
      <c r="G48" s="547"/>
      <c r="H48" s="547"/>
      <c r="I48" s="548"/>
      <c r="J48" s="213"/>
      <c r="K48" s="40" t="s">
        <v>82</v>
      </c>
      <c r="L48" s="856">
        <v>0.1082</v>
      </c>
      <c r="M48" s="857"/>
    </row>
    <row r="49" spans="2:14" ht="6.75" customHeight="1" x14ac:dyDescent="0.25">
      <c r="B49" s="863"/>
      <c r="C49" s="825"/>
      <c r="D49" s="825"/>
      <c r="E49" s="825"/>
      <c r="F49" s="825"/>
      <c r="G49" s="825"/>
      <c r="H49" s="825"/>
      <c r="I49" s="825"/>
      <c r="J49" s="825"/>
      <c r="K49" s="825"/>
      <c r="L49" s="825"/>
      <c r="M49" s="826"/>
    </row>
    <row r="50" spans="2:14" ht="15" x14ac:dyDescent="0.25">
      <c r="B50" s="219" t="s">
        <v>108</v>
      </c>
      <c r="C50" s="219" t="s">
        <v>109</v>
      </c>
      <c r="D50" s="219" t="s">
        <v>110</v>
      </c>
      <c r="E50" s="219" t="s">
        <v>111</v>
      </c>
      <c r="F50" s="219" t="s">
        <v>112</v>
      </c>
      <c r="G50" s="219" t="s">
        <v>113</v>
      </c>
      <c r="H50" s="817" t="s">
        <v>114</v>
      </c>
      <c r="I50" s="817"/>
      <c r="J50" s="219" t="s">
        <v>115</v>
      </c>
      <c r="K50" s="219" t="s">
        <v>116</v>
      </c>
      <c r="L50" s="219" t="s">
        <v>117</v>
      </c>
      <c r="M50" s="219" t="s">
        <v>118</v>
      </c>
      <c r="N50" s="219" t="s">
        <v>119</v>
      </c>
    </row>
    <row r="51" spans="2:14" ht="30.75" customHeight="1" x14ac:dyDescent="0.25">
      <c r="B51" s="225">
        <v>0.14549999999999999</v>
      </c>
      <c r="C51" s="225">
        <v>0.14549999999999999</v>
      </c>
      <c r="D51" s="225">
        <v>0.16</v>
      </c>
      <c r="E51" s="225">
        <v>0.1769</v>
      </c>
      <c r="F51" s="225">
        <v>0.20910000000000001</v>
      </c>
      <c r="G51" s="225">
        <v>0</v>
      </c>
      <c r="H51" s="818">
        <v>0</v>
      </c>
      <c r="I51" s="819"/>
      <c r="J51" s="225">
        <v>0</v>
      </c>
      <c r="K51" s="225">
        <v>0</v>
      </c>
      <c r="L51" s="225">
        <v>0</v>
      </c>
      <c r="M51" s="225">
        <v>0</v>
      </c>
      <c r="N51" s="225">
        <v>0</v>
      </c>
    </row>
    <row r="52" spans="2:14" ht="6" customHeight="1" x14ac:dyDescent="0.25">
      <c r="B52" s="864"/>
      <c r="C52" s="821"/>
      <c r="D52" s="821"/>
      <c r="E52" s="821"/>
      <c r="F52" s="821"/>
      <c r="G52" s="821"/>
      <c r="H52" s="821"/>
      <c r="I52" s="821"/>
      <c r="J52" s="821"/>
      <c r="K52" s="821"/>
      <c r="L52" s="821"/>
      <c r="M52" s="822"/>
    </row>
    <row r="53" spans="2:14" x14ac:dyDescent="0.25">
      <c r="B53" s="820"/>
      <c r="C53" s="821"/>
      <c r="D53" s="822"/>
      <c r="E53" s="541" t="s">
        <v>43</v>
      </c>
      <c r="F53" s="542"/>
      <c r="G53" s="542"/>
      <c r="H53" s="542"/>
      <c r="I53" s="543"/>
      <c r="J53" s="50"/>
      <c r="K53" s="38" t="s">
        <v>80</v>
      </c>
      <c r="L53" s="856">
        <v>0.14499999999999999</v>
      </c>
      <c r="M53" s="857"/>
    </row>
    <row r="54" spans="2:14" x14ac:dyDescent="0.25">
      <c r="B54" s="823"/>
      <c r="C54" s="509"/>
      <c r="D54" s="510"/>
      <c r="E54" s="544"/>
      <c r="F54" s="485"/>
      <c r="G54" s="485"/>
      <c r="H54" s="485"/>
      <c r="I54" s="545"/>
      <c r="J54" s="212"/>
      <c r="K54" s="39" t="s">
        <v>81</v>
      </c>
      <c r="L54" s="856">
        <v>0.12740000000000001</v>
      </c>
      <c r="M54" s="857"/>
    </row>
    <row r="55" spans="2:14" x14ac:dyDescent="0.25">
      <c r="B55" s="824"/>
      <c r="C55" s="825"/>
      <c r="D55" s="826"/>
      <c r="E55" s="546"/>
      <c r="F55" s="547"/>
      <c r="G55" s="547"/>
      <c r="H55" s="547"/>
      <c r="I55" s="548"/>
      <c r="J55" s="213"/>
      <c r="K55" s="40" t="s">
        <v>82</v>
      </c>
      <c r="L55" s="856">
        <v>0.1187</v>
      </c>
      <c r="M55" s="857"/>
    </row>
    <row r="56" spans="2:14" ht="6" customHeight="1" x14ac:dyDescent="0.25">
      <c r="B56" s="853"/>
      <c r="C56" s="853"/>
      <c r="D56" s="853"/>
      <c r="E56" s="853"/>
      <c r="F56" s="853"/>
      <c r="G56" s="853"/>
      <c r="H56" s="853"/>
      <c r="I56" s="853"/>
      <c r="J56" s="853"/>
      <c r="K56" s="853"/>
      <c r="L56" s="853"/>
      <c r="M56" s="854"/>
    </row>
    <row r="57" spans="2:14" ht="15" x14ac:dyDescent="0.25">
      <c r="B57" s="219" t="s">
        <v>108</v>
      </c>
      <c r="C57" s="219" t="s">
        <v>109</v>
      </c>
      <c r="D57" s="219" t="s">
        <v>110</v>
      </c>
      <c r="E57" s="219" t="s">
        <v>111</v>
      </c>
      <c r="F57" s="219" t="s">
        <v>112</v>
      </c>
      <c r="G57" s="219" t="s">
        <v>113</v>
      </c>
      <c r="H57" s="817" t="s">
        <v>114</v>
      </c>
      <c r="I57" s="817"/>
      <c r="J57" s="219" t="s">
        <v>115</v>
      </c>
      <c r="K57" s="219" t="s">
        <v>116</v>
      </c>
      <c r="L57" s="219" t="s">
        <v>117</v>
      </c>
      <c r="M57" s="219" t="s">
        <v>118</v>
      </c>
      <c r="N57" s="219" t="s">
        <v>119</v>
      </c>
    </row>
    <row r="58" spans="2:14" ht="30.75" customHeight="1" x14ac:dyDescent="0.25">
      <c r="B58" s="227">
        <v>0.191</v>
      </c>
      <c r="C58" s="227">
        <v>0.17710000000000001</v>
      </c>
      <c r="D58" s="227">
        <v>0.18229999999999999</v>
      </c>
      <c r="E58" s="225">
        <v>0.188</v>
      </c>
      <c r="F58" s="225">
        <v>0.20419999999999999</v>
      </c>
      <c r="G58" s="225">
        <v>0</v>
      </c>
      <c r="H58" s="818">
        <v>0</v>
      </c>
      <c r="I58" s="819"/>
      <c r="J58" s="225">
        <v>0</v>
      </c>
      <c r="K58" s="225">
        <v>0</v>
      </c>
      <c r="L58" s="225">
        <v>0</v>
      </c>
      <c r="M58" s="225">
        <v>0</v>
      </c>
      <c r="N58" s="225">
        <v>0</v>
      </c>
    </row>
    <row r="59" spans="2:14" ht="5.25" customHeight="1" x14ac:dyDescent="0.25">
      <c r="B59" s="821"/>
      <c r="C59" s="821"/>
      <c r="D59" s="821"/>
      <c r="E59" s="821"/>
      <c r="F59" s="821"/>
      <c r="G59" s="821"/>
      <c r="H59" s="821"/>
      <c r="I59" s="821"/>
      <c r="J59" s="821"/>
      <c r="K59" s="821"/>
      <c r="L59" s="821"/>
      <c r="M59" s="822"/>
    </row>
    <row r="60" spans="2:14" ht="15.75" customHeight="1" x14ac:dyDescent="0.25">
      <c r="B60" s="820" t="s">
        <v>34</v>
      </c>
      <c r="C60" s="821"/>
      <c r="D60" s="822"/>
      <c r="E60" s="541" t="s">
        <v>44</v>
      </c>
      <c r="F60" s="542"/>
      <c r="G60" s="542"/>
      <c r="H60" s="542"/>
      <c r="I60" s="543"/>
      <c r="J60" s="210">
        <v>44075</v>
      </c>
      <c r="K60" s="38" t="s">
        <v>80</v>
      </c>
      <c r="L60" s="856">
        <v>0.04</v>
      </c>
      <c r="M60" s="857"/>
    </row>
    <row r="61" spans="2:14" x14ac:dyDescent="0.25">
      <c r="B61" s="823"/>
      <c r="C61" s="509"/>
      <c r="D61" s="510"/>
      <c r="E61" s="544"/>
      <c r="F61" s="485"/>
      <c r="G61" s="485"/>
      <c r="H61" s="485"/>
      <c r="I61" s="545"/>
      <c r="J61" s="562">
        <v>5.1900000000000002E-2</v>
      </c>
      <c r="K61" s="39" t="s">
        <v>81</v>
      </c>
      <c r="L61" s="856">
        <v>4.4999999999999998E-2</v>
      </c>
      <c r="M61" s="857"/>
    </row>
    <row r="62" spans="2:14" x14ac:dyDescent="0.25">
      <c r="B62" s="824"/>
      <c r="C62" s="825"/>
      <c r="D62" s="826"/>
      <c r="E62" s="546"/>
      <c r="F62" s="547"/>
      <c r="G62" s="547"/>
      <c r="H62" s="547"/>
      <c r="I62" s="548"/>
      <c r="J62" s="563"/>
      <c r="K62" s="40" t="s">
        <v>82</v>
      </c>
      <c r="L62" s="856">
        <v>0.05</v>
      </c>
      <c r="M62" s="857"/>
    </row>
    <row r="63" spans="2:14" ht="5.25" customHeight="1" x14ac:dyDescent="0.25">
      <c r="B63" s="855"/>
      <c r="C63" s="853"/>
      <c r="D63" s="853"/>
      <c r="E63" s="853"/>
      <c r="F63" s="853"/>
      <c r="G63" s="853"/>
      <c r="H63" s="853"/>
      <c r="I63" s="853"/>
      <c r="J63" s="853"/>
      <c r="K63" s="853"/>
      <c r="L63" s="853"/>
      <c r="M63" s="854"/>
    </row>
    <row r="64" spans="2:14" ht="15" x14ac:dyDescent="0.25">
      <c r="B64" s="219" t="s">
        <v>108</v>
      </c>
      <c r="C64" s="219" t="s">
        <v>109</v>
      </c>
      <c r="D64" s="219" t="s">
        <v>110</v>
      </c>
      <c r="E64" s="219" t="s">
        <v>111</v>
      </c>
      <c r="F64" s="219" t="s">
        <v>112</v>
      </c>
      <c r="G64" s="219" t="s">
        <v>113</v>
      </c>
      <c r="H64" s="817" t="s">
        <v>114</v>
      </c>
      <c r="I64" s="817"/>
      <c r="J64" s="219" t="s">
        <v>115</v>
      </c>
      <c r="K64" s="219" t="s">
        <v>116</v>
      </c>
      <c r="L64" s="219" t="s">
        <v>117</v>
      </c>
      <c r="M64" s="219" t="s">
        <v>118</v>
      </c>
      <c r="N64" s="219" t="s">
        <v>119</v>
      </c>
    </row>
    <row r="65" spans="2:14" ht="30.75" customHeight="1" x14ac:dyDescent="0.25">
      <c r="B65" s="227">
        <v>5.3800000000000001E-2</v>
      </c>
      <c r="C65" s="227">
        <v>5.2499999999999998E-2</v>
      </c>
      <c r="D65" s="227">
        <v>5.2499999999999998E-2</v>
      </c>
      <c r="E65" s="227">
        <v>5.1900000000000002E-2</v>
      </c>
      <c r="F65" s="227">
        <v>5.2900000000000003E-2</v>
      </c>
      <c r="G65" s="225">
        <v>0</v>
      </c>
      <c r="H65" s="818">
        <v>0</v>
      </c>
      <c r="I65" s="819"/>
      <c r="J65" s="225">
        <v>0</v>
      </c>
      <c r="K65" s="225">
        <v>0</v>
      </c>
      <c r="L65" s="225">
        <v>0</v>
      </c>
      <c r="M65" s="225">
        <v>0</v>
      </c>
      <c r="N65" s="225">
        <v>0</v>
      </c>
    </row>
    <row r="66" spans="2:14" ht="6" customHeight="1" x14ac:dyDescent="0.25">
      <c r="B66" s="855"/>
      <c r="C66" s="853"/>
      <c r="D66" s="853"/>
      <c r="E66" s="853"/>
      <c r="F66" s="853"/>
      <c r="G66" s="853"/>
      <c r="H66" s="853"/>
      <c r="I66" s="853"/>
      <c r="J66" s="853"/>
      <c r="K66" s="853"/>
      <c r="L66" s="853"/>
      <c r="M66" s="854"/>
    </row>
    <row r="67" spans="2:14" x14ac:dyDescent="0.25">
      <c r="B67" s="820"/>
      <c r="C67" s="821"/>
      <c r="D67" s="822"/>
      <c r="E67" s="514" t="s">
        <v>88</v>
      </c>
      <c r="F67" s="515"/>
      <c r="G67" s="515"/>
      <c r="H67" s="515"/>
      <c r="I67" s="516"/>
      <c r="J67" s="210">
        <v>44075</v>
      </c>
      <c r="K67" s="38" t="s">
        <v>80</v>
      </c>
      <c r="L67" s="856">
        <v>0.99690000000000001</v>
      </c>
      <c r="M67" s="857"/>
    </row>
    <row r="68" spans="2:14" x14ac:dyDescent="0.25">
      <c r="B68" s="823"/>
      <c r="C68" s="509"/>
      <c r="D68" s="510"/>
      <c r="E68" s="517"/>
      <c r="F68" s="518"/>
      <c r="G68" s="518"/>
      <c r="H68" s="518"/>
      <c r="I68" s="519"/>
      <c r="J68" s="562">
        <v>1.0908</v>
      </c>
      <c r="K68" s="39" t="s">
        <v>81</v>
      </c>
      <c r="L68" s="856">
        <v>1</v>
      </c>
      <c r="M68" s="857"/>
    </row>
    <row r="69" spans="2:14" x14ac:dyDescent="0.25">
      <c r="B69" s="824"/>
      <c r="C69" s="825"/>
      <c r="D69" s="826"/>
      <c r="E69" s="520"/>
      <c r="F69" s="521"/>
      <c r="G69" s="521"/>
      <c r="H69" s="521"/>
      <c r="I69" s="522"/>
      <c r="J69" s="563"/>
      <c r="K69" s="40" t="s">
        <v>82</v>
      </c>
      <c r="L69" s="856">
        <v>1.05</v>
      </c>
      <c r="M69" s="857"/>
    </row>
    <row r="70" spans="2:14" ht="6" customHeight="1" x14ac:dyDescent="0.25">
      <c r="B70" s="855"/>
      <c r="C70" s="853"/>
      <c r="D70" s="853"/>
      <c r="E70" s="853"/>
      <c r="F70" s="853"/>
      <c r="G70" s="853"/>
      <c r="H70" s="853"/>
      <c r="I70" s="853"/>
      <c r="J70" s="853"/>
      <c r="K70" s="853"/>
      <c r="L70" s="853"/>
      <c r="M70" s="854"/>
    </row>
    <row r="71" spans="2:14" ht="15" x14ac:dyDescent="0.25">
      <c r="B71" s="219" t="s">
        <v>108</v>
      </c>
      <c r="C71" s="219" t="s">
        <v>109</v>
      </c>
      <c r="D71" s="219" t="s">
        <v>110</v>
      </c>
      <c r="E71" s="219" t="s">
        <v>111</v>
      </c>
      <c r="F71" s="219" t="s">
        <v>112</v>
      </c>
      <c r="G71" s="219" t="s">
        <v>113</v>
      </c>
      <c r="H71" s="817" t="s">
        <v>114</v>
      </c>
      <c r="I71" s="817"/>
      <c r="J71" s="219" t="s">
        <v>115</v>
      </c>
      <c r="K71" s="219" t="s">
        <v>116</v>
      </c>
      <c r="L71" s="219" t="s">
        <v>117</v>
      </c>
      <c r="M71" s="219" t="s">
        <v>118</v>
      </c>
      <c r="N71" s="219" t="s">
        <v>119</v>
      </c>
    </row>
    <row r="72" spans="2:14" ht="30.75" customHeight="1" x14ac:dyDescent="0.25">
      <c r="B72" s="227">
        <v>1.0244</v>
      </c>
      <c r="C72" s="227">
        <v>1.0255000000000001</v>
      </c>
      <c r="D72" s="227">
        <v>1.0239</v>
      </c>
      <c r="E72" s="227">
        <v>1.0266999999999999</v>
      </c>
      <c r="F72" s="227">
        <v>1.0366</v>
      </c>
      <c r="G72" s="227">
        <v>0</v>
      </c>
      <c r="H72" s="851">
        <v>0</v>
      </c>
      <c r="I72" s="852"/>
      <c r="J72" s="227">
        <v>0</v>
      </c>
      <c r="K72" s="225">
        <v>0</v>
      </c>
      <c r="L72" s="225">
        <v>0</v>
      </c>
      <c r="M72" s="225">
        <v>0</v>
      </c>
      <c r="N72" s="225">
        <v>0</v>
      </c>
    </row>
    <row r="73" spans="2:14" ht="7.5" customHeight="1" x14ac:dyDescent="0.25">
      <c r="B73" s="824"/>
      <c r="C73" s="825"/>
      <c r="D73" s="825"/>
      <c r="E73" s="825"/>
      <c r="F73" s="825"/>
      <c r="G73" s="825"/>
      <c r="H73" s="825"/>
      <c r="I73" s="825"/>
      <c r="J73" s="825"/>
      <c r="K73" s="825"/>
      <c r="L73" s="825"/>
      <c r="M73" s="826"/>
    </row>
    <row r="74" spans="2:14" x14ac:dyDescent="0.25">
      <c r="B74" s="820"/>
      <c r="C74" s="821"/>
      <c r="D74" s="822"/>
      <c r="E74" s="541" t="s">
        <v>45</v>
      </c>
      <c r="F74" s="542"/>
      <c r="G74" s="542"/>
      <c r="H74" s="542"/>
      <c r="I74" s="543"/>
      <c r="J74" s="210">
        <v>44075</v>
      </c>
      <c r="K74" s="38" t="s">
        <v>80</v>
      </c>
      <c r="L74" s="856">
        <v>0.12</v>
      </c>
      <c r="M74" s="857"/>
    </row>
    <row r="75" spans="2:14" x14ac:dyDescent="0.25">
      <c r="B75" s="823"/>
      <c r="C75" s="509"/>
      <c r="D75" s="510"/>
      <c r="E75" s="544"/>
      <c r="F75" s="485"/>
      <c r="G75" s="485"/>
      <c r="H75" s="485"/>
      <c r="I75" s="545"/>
      <c r="J75" s="562">
        <v>0.10340000000000001</v>
      </c>
      <c r="K75" s="39" t="s">
        <v>81</v>
      </c>
      <c r="L75" s="856">
        <v>0.1119</v>
      </c>
      <c r="M75" s="857"/>
    </row>
    <row r="76" spans="2:14" x14ac:dyDescent="0.25">
      <c r="B76" s="824"/>
      <c r="C76" s="825"/>
      <c r="D76" s="826"/>
      <c r="E76" s="546"/>
      <c r="F76" s="547"/>
      <c r="G76" s="547"/>
      <c r="H76" s="547"/>
      <c r="I76" s="548"/>
      <c r="J76" s="563"/>
      <c r="K76" s="40" t="s">
        <v>82</v>
      </c>
      <c r="L76" s="856">
        <v>0.10340000000000001</v>
      </c>
      <c r="M76" s="857"/>
    </row>
    <row r="77" spans="2:14" ht="6" customHeight="1" x14ac:dyDescent="0.25">
      <c r="B77" s="853"/>
      <c r="C77" s="853"/>
      <c r="D77" s="853"/>
      <c r="E77" s="853"/>
      <c r="F77" s="853"/>
      <c r="G77" s="853"/>
      <c r="H77" s="853"/>
      <c r="I77" s="853"/>
      <c r="J77" s="853"/>
      <c r="K77" s="853"/>
      <c r="L77" s="853"/>
      <c r="M77" s="854"/>
    </row>
    <row r="78" spans="2:14" ht="15" x14ac:dyDescent="0.25">
      <c r="B78" s="219" t="s">
        <v>108</v>
      </c>
      <c r="C78" s="219" t="s">
        <v>109</v>
      </c>
      <c r="D78" s="219" t="s">
        <v>110</v>
      </c>
      <c r="E78" s="219" t="s">
        <v>111</v>
      </c>
      <c r="F78" s="219" t="s">
        <v>112</v>
      </c>
      <c r="G78" s="219" t="s">
        <v>113</v>
      </c>
      <c r="H78" s="817" t="s">
        <v>114</v>
      </c>
      <c r="I78" s="817"/>
      <c r="J78" s="219" t="s">
        <v>115</v>
      </c>
      <c r="K78" s="219" t="s">
        <v>116</v>
      </c>
      <c r="L78" s="219" t="s">
        <v>117</v>
      </c>
      <c r="M78" s="219" t="s">
        <v>118</v>
      </c>
      <c r="N78" s="219" t="s">
        <v>119</v>
      </c>
    </row>
    <row r="79" spans="2:14" ht="31.5" customHeight="1" x14ac:dyDescent="0.25">
      <c r="B79" s="227">
        <v>0.1017</v>
      </c>
      <c r="C79" s="227">
        <v>9.8000000000000004E-2</v>
      </c>
      <c r="D79" s="227">
        <v>9.9599999999999994E-2</v>
      </c>
      <c r="E79" s="227">
        <v>9.9400000000000002E-2</v>
      </c>
      <c r="F79" s="227">
        <v>9.9400000000000002E-2</v>
      </c>
      <c r="G79" s="225">
        <v>0</v>
      </c>
      <c r="H79" s="818">
        <v>0</v>
      </c>
      <c r="I79" s="819"/>
      <c r="J79" s="225">
        <v>0</v>
      </c>
      <c r="K79" s="225">
        <v>0</v>
      </c>
      <c r="L79" s="225">
        <v>0</v>
      </c>
      <c r="M79" s="225">
        <v>0</v>
      </c>
      <c r="N79" s="225">
        <v>0</v>
      </c>
    </row>
    <row r="80" spans="2:14" ht="6" customHeight="1" x14ac:dyDescent="0.25">
      <c r="B80" s="821"/>
      <c r="C80" s="821"/>
      <c r="D80" s="821"/>
      <c r="E80" s="821"/>
      <c r="F80" s="821"/>
      <c r="G80" s="821"/>
      <c r="H80" s="821"/>
      <c r="I80" s="821"/>
      <c r="J80" s="821"/>
      <c r="K80" s="821"/>
      <c r="L80" s="821"/>
      <c r="M80" s="822"/>
    </row>
    <row r="81" spans="2:14" ht="15.75" customHeight="1" x14ac:dyDescent="0.25">
      <c r="B81" s="820" t="s">
        <v>35</v>
      </c>
      <c r="C81" s="821"/>
      <c r="D81" s="822"/>
      <c r="E81" s="541" t="s">
        <v>46</v>
      </c>
      <c r="F81" s="542"/>
      <c r="G81" s="542"/>
      <c r="H81" s="542"/>
      <c r="I81" s="543"/>
      <c r="J81" s="210">
        <v>44075</v>
      </c>
      <c r="K81" s="38" t="s">
        <v>80</v>
      </c>
      <c r="L81" s="856">
        <v>0.115</v>
      </c>
      <c r="M81" s="857"/>
    </row>
    <row r="82" spans="2:14" x14ac:dyDescent="0.25">
      <c r="B82" s="823"/>
      <c r="C82" s="509"/>
      <c r="D82" s="510"/>
      <c r="E82" s="544"/>
      <c r="F82" s="485"/>
      <c r="G82" s="485"/>
      <c r="H82" s="485"/>
      <c r="I82" s="545"/>
      <c r="J82" s="562">
        <v>0.14779999999999999</v>
      </c>
      <c r="K82" s="39" t="s">
        <v>81</v>
      </c>
      <c r="L82" s="856">
        <f>+L83-1.5%</f>
        <v>0.13</v>
      </c>
      <c r="M82" s="857"/>
    </row>
    <row r="83" spans="2:14" x14ac:dyDescent="0.25">
      <c r="B83" s="824"/>
      <c r="C83" s="825"/>
      <c r="D83" s="826"/>
      <c r="E83" s="546"/>
      <c r="F83" s="547"/>
      <c r="G83" s="547"/>
      <c r="H83" s="547"/>
      <c r="I83" s="548"/>
      <c r="J83" s="563"/>
      <c r="K83" s="40" t="s">
        <v>82</v>
      </c>
      <c r="L83" s="856">
        <v>0.14499999999999999</v>
      </c>
      <c r="M83" s="857"/>
    </row>
    <row r="84" spans="2:14" ht="6" customHeight="1" x14ac:dyDescent="0.25">
      <c r="B84" s="855"/>
      <c r="C84" s="853"/>
      <c r="D84" s="853"/>
      <c r="E84" s="853"/>
      <c r="F84" s="853"/>
      <c r="G84" s="853"/>
      <c r="H84" s="853"/>
      <c r="I84" s="853"/>
      <c r="J84" s="853"/>
      <c r="K84" s="853"/>
      <c r="L84" s="853"/>
      <c r="M84" s="854"/>
    </row>
    <row r="85" spans="2:14" ht="15" x14ac:dyDescent="0.25">
      <c r="B85" s="219" t="s">
        <v>108</v>
      </c>
      <c r="C85" s="219" t="s">
        <v>109</v>
      </c>
      <c r="D85" s="219" t="s">
        <v>110</v>
      </c>
      <c r="E85" s="219" t="s">
        <v>111</v>
      </c>
      <c r="F85" s="219" t="s">
        <v>112</v>
      </c>
      <c r="G85" s="219" t="s">
        <v>113</v>
      </c>
      <c r="H85" s="817" t="s">
        <v>114</v>
      </c>
      <c r="I85" s="817"/>
      <c r="J85" s="219" t="s">
        <v>115</v>
      </c>
      <c r="K85" s="219" t="s">
        <v>116</v>
      </c>
      <c r="L85" s="219" t="s">
        <v>117</v>
      </c>
      <c r="M85" s="219" t="s">
        <v>118</v>
      </c>
      <c r="N85" s="219" t="s">
        <v>119</v>
      </c>
    </row>
    <row r="86" spans="2:14" ht="30.75" customHeight="1" x14ac:dyDescent="0.25">
      <c r="B86" s="227">
        <v>0.1108</v>
      </c>
      <c r="C86" s="227">
        <v>0.1103</v>
      </c>
      <c r="D86" s="227">
        <v>0.1074</v>
      </c>
      <c r="E86" s="227">
        <v>0.1069</v>
      </c>
      <c r="F86" s="227">
        <v>0.1081</v>
      </c>
      <c r="G86" s="225">
        <v>0</v>
      </c>
      <c r="H86" s="818">
        <v>0</v>
      </c>
      <c r="I86" s="819"/>
      <c r="J86" s="225">
        <v>0</v>
      </c>
      <c r="K86" s="225">
        <v>0</v>
      </c>
      <c r="L86" s="225">
        <v>0</v>
      </c>
      <c r="M86" s="225">
        <v>0</v>
      </c>
      <c r="N86" s="225">
        <v>0</v>
      </c>
    </row>
    <row r="87" spans="2:14" ht="6.75" customHeight="1" x14ac:dyDescent="0.25">
      <c r="B87" s="855"/>
      <c r="C87" s="853"/>
      <c r="D87" s="853"/>
      <c r="E87" s="853"/>
      <c r="F87" s="853"/>
      <c r="G87" s="853"/>
      <c r="H87" s="853"/>
      <c r="I87" s="853"/>
      <c r="J87" s="853"/>
      <c r="K87" s="853"/>
      <c r="L87" s="853"/>
      <c r="M87" s="854"/>
    </row>
    <row r="88" spans="2:14" x14ac:dyDescent="0.25">
      <c r="B88" s="820"/>
      <c r="C88" s="821"/>
      <c r="D88" s="822"/>
      <c r="E88" s="541" t="s">
        <v>47</v>
      </c>
      <c r="F88" s="542"/>
      <c r="G88" s="542"/>
      <c r="H88" s="542"/>
      <c r="I88" s="543"/>
      <c r="J88" s="210">
        <v>44075</v>
      </c>
      <c r="K88" s="38" t="s">
        <v>80</v>
      </c>
      <c r="L88" s="856">
        <v>7.7799999999999994E-2</v>
      </c>
      <c r="M88" s="857"/>
    </row>
    <row r="89" spans="2:14" x14ac:dyDescent="0.25">
      <c r="B89" s="823"/>
      <c r="C89" s="509"/>
      <c r="D89" s="510"/>
      <c r="E89" s="544"/>
      <c r="F89" s="485"/>
      <c r="G89" s="485"/>
      <c r="H89" s="485"/>
      <c r="I89" s="545"/>
      <c r="J89" s="562">
        <v>7.4999999999999997E-2</v>
      </c>
      <c r="K89" s="39" t="s">
        <v>81</v>
      </c>
      <c r="L89" s="856">
        <v>8.5000000000000006E-2</v>
      </c>
      <c r="M89" s="857"/>
    </row>
    <row r="90" spans="2:14" x14ac:dyDescent="0.25">
      <c r="B90" s="824"/>
      <c r="C90" s="825"/>
      <c r="D90" s="826"/>
      <c r="E90" s="546"/>
      <c r="F90" s="547"/>
      <c r="G90" s="547"/>
      <c r="H90" s="547"/>
      <c r="I90" s="548"/>
      <c r="J90" s="563"/>
      <c r="K90" s="40" t="s">
        <v>82</v>
      </c>
      <c r="L90" s="856">
        <v>9.5000000000000001E-2</v>
      </c>
      <c r="M90" s="857"/>
    </row>
    <row r="91" spans="2:14" ht="6.75" customHeight="1" x14ac:dyDescent="0.25">
      <c r="B91" s="855"/>
      <c r="C91" s="853"/>
      <c r="D91" s="853"/>
      <c r="E91" s="853"/>
      <c r="F91" s="853"/>
      <c r="G91" s="853"/>
      <c r="H91" s="853"/>
      <c r="I91" s="853"/>
      <c r="J91" s="853"/>
      <c r="K91" s="853"/>
      <c r="L91" s="853"/>
      <c r="M91" s="854"/>
    </row>
    <row r="92" spans="2:14" ht="15" x14ac:dyDescent="0.25">
      <c r="B92" s="219" t="s">
        <v>108</v>
      </c>
      <c r="C92" s="219" t="s">
        <v>109</v>
      </c>
      <c r="D92" s="219" t="s">
        <v>110</v>
      </c>
      <c r="E92" s="219" t="s">
        <v>111</v>
      </c>
      <c r="F92" s="219" t="s">
        <v>112</v>
      </c>
      <c r="G92" s="219" t="s">
        <v>113</v>
      </c>
      <c r="H92" s="817" t="s">
        <v>114</v>
      </c>
      <c r="I92" s="817"/>
      <c r="J92" s="219" t="s">
        <v>115</v>
      </c>
      <c r="K92" s="219" t="s">
        <v>116</v>
      </c>
      <c r="L92" s="219" t="s">
        <v>117</v>
      </c>
      <c r="M92" s="219" t="s">
        <v>118</v>
      </c>
      <c r="N92" s="219" t="s">
        <v>119</v>
      </c>
    </row>
    <row r="93" spans="2:14" ht="30.75" customHeight="1" x14ac:dyDescent="0.25">
      <c r="B93" s="227">
        <v>5.4699999999999999E-2</v>
      </c>
      <c r="C93" s="227">
        <v>5.1499999999999997E-2</v>
      </c>
      <c r="D93" s="227">
        <v>5.2699999999999997E-2</v>
      </c>
      <c r="E93" s="227">
        <v>5.2200000000000003E-2</v>
      </c>
      <c r="F93" s="227">
        <v>5.6000000000000001E-2</v>
      </c>
      <c r="G93" s="227">
        <v>0</v>
      </c>
      <c r="H93" s="851">
        <v>0</v>
      </c>
      <c r="I93" s="852"/>
      <c r="J93" s="225">
        <v>0</v>
      </c>
      <c r="K93" s="225">
        <v>0</v>
      </c>
      <c r="L93" s="225">
        <v>0</v>
      </c>
      <c r="M93" s="225">
        <v>0</v>
      </c>
      <c r="N93" s="225">
        <v>0</v>
      </c>
    </row>
    <row r="94" spans="2:14" ht="6.75" customHeight="1" x14ac:dyDescent="0.25">
      <c r="B94" s="855"/>
      <c r="C94" s="853"/>
      <c r="D94" s="853"/>
      <c r="E94" s="853"/>
      <c r="F94" s="853"/>
      <c r="G94" s="853"/>
      <c r="H94" s="853"/>
      <c r="I94" s="853"/>
      <c r="J94" s="853"/>
      <c r="K94" s="853"/>
      <c r="L94" s="853"/>
      <c r="M94" s="854"/>
    </row>
    <row r="95" spans="2:14" x14ac:dyDescent="0.25">
      <c r="B95" s="820"/>
      <c r="C95" s="821"/>
      <c r="D95" s="822"/>
      <c r="E95" s="514" t="s">
        <v>48</v>
      </c>
      <c r="F95" s="515"/>
      <c r="G95" s="515"/>
      <c r="H95" s="515"/>
      <c r="I95" s="516"/>
      <c r="J95" s="210">
        <v>44075</v>
      </c>
      <c r="K95" s="38" t="s">
        <v>80</v>
      </c>
      <c r="L95" s="879" t="s">
        <v>89</v>
      </c>
      <c r="M95" s="880"/>
    </row>
    <row r="96" spans="2:14" x14ac:dyDescent="0.25">
      <c r="B96" s="823"/>
      <c r="C96" s="509"/>
      <c r="D96" s="510"/>
      <c r="E96" s="517"/>
      <c r="F96" s="518"/>
      <c r="G96" s="518"/>
      <c r="H96" s="518"/>
      <c r="I96" s="519"/>
      <c r="J96" s="562">
        <v>0.60389999999999999</v>
      </c>
      <c r="K96" s="39" t="s">
        <v>81</v>
      </c>
      <c r="L96" s="883">
        <v>1.01</v>
      </c>
      <c r="M96" s="884"/>
    </row>
    <row r="97" spans="2:14" x14ac:dyDescent="0.25">
      <c r="B97" s="824"/>
      <c r="C97" s="825"/>
      <c r="D97" s="826"/>
      <c r="E97" s="520"/>
      <c r="F97" s="521"/>
      <c r="G97" s="521"/>
      <c r="H97" s="521"/>
      <c r="I97" s="522"/>
      <c r="J97" s="563"/>
      <c r="K97" s="40" t="s">
        <v>82</v>
      </c>
      <c r="L97" s="883">
        <v>1</v>
      </c>
      <c r="M97" s="884"/>
    </row>
    <row r="98" spans="2:14" ht="6.75" customHeight="1" x14ac:dyDescent="0.25">
      <c r="B98" s="858"/>
      <c r="C98" s="859"/>
      <c r="D98" s="859"/>
      <c r="E98" s="859"/>
      <c r="F98" s="859"/>
      <c r="G98" s="859"/>
      <c r="H98" s="859"/>
      <c r="I98" s="859"/>
      <c r="J98" s="859"/>
      <c r="K98" s="859"/>
      <c r="L98" s="859"/>
      <c r="M98" s="860"/>
    </row>
    <row r="99" spans="2:14" ht="15" x14ac:dyDescent="0.25">
      <c r="B99" s="219" t="s">
        <v>108</v>
      </c>
      <c r="C99" s="219" t="s">
        <v>109</v>
      </c>
      <c r="D99" s="219" t="s">
        <v>110</v>
      </c>
      <c r="E99" s="219" t="s">
        <v>111</v>
      </c>
      <c r="F99" s="219" t="s">
        <v>112</v>
      </c>
      <c r="G99" s="219" t="s">
        <v>113</v>
      </c>
      <c r="H99" s="817" t="s">
        <v>114</v>
      </c>
      <c r="I99" s="817"/>
      <c r="J99" s="219" t="s">
        <v>115</v>
      </c>
      <c r="K99" s="219" t="s">
        <v>116</v>
      </c>
      <c r="L99" s="219" t="s">
        <v>117</v>
      </c>
      <c r="M99" s="219" t="s">
        <v>118</v>
      </c>
      <c r="N99" s="219" t="s">
        <v>119</v>
      </c>
    </row>
    <row r="100" spans="2:14" ht="30.75" customHeight="1" x14ac:dyDescent="0.25">
      <c r="B100" s="227">
        <v>0.99980000000000002</v>
      </c>
      <c r="C100" s="227">
        <v>1.0088999999999999</v>
      </c>
      <c r="D100" s="227">
        <v>1.0270999999999999</v>
      </c>
      <c r="E100" s="227">
        <v>1.0818000000000001</v>
      </c>
      <c r="F100" s="227">
        <v>1.0184</v>
      </c>
      <c r="G100" s="225">
        <v>0</v>
      </c>
      <c r="H100" s="818">
        <v>0</v>
      </c>
      <c r="I100" s="819"/>
      <c r="J100" s="225">
        <v>0</v>
      </c>
      <c r="K100" s="225">
        <v>0</v>
      </c>
      <c r="L100" s="225">
        <v>0</v>
      </c>
      <c r="M100" s="225">
        <v>0</v>
      </c>
      <c r="N100" s="225">
        <v>0</v>
      </c>
    </row>
    <row r="101" spans="2:14" ht="8.25" customHeight="1" x14ac:dyDescent="0.25">
      <c r="B101" s="855"/>
      <c r="C101" s="853"/>
      <c r="D101" s="853"/>
      <c r="E101" s="853"/>
      <c r="F101" s="853"/>
      <c r="G101" s="853"/>
      <c r="H101" s="853"/>
      <c r="I101" s="853"/>
      <c r="J101" s="853"/>
      <c r="K101" s="853"/>
      <c r="L101" s="853"/>
      <c r="M101" s="854"/>
    </row>
    <row r="102" spans="2:14" x14ac:dyDescent="0.25">
      <c r="B102" s="820"/>
      <c r="C102" s="821"/>
      <c r="D102" s="822"/>
      <c r="E102" s="514" t="s">
        <v>49</v>
      </c>
      <c r="F102" s="515"/>
      <c r="G102" s="515"/>
      <c r="H102" s="515"/>
      <c r="I102" s="516"/>
      <c r="J102" s="210">
        <v>44044</v>
      </c>
      <c r="K102" s="38" t="s">
        <v>80</v>
      </c>
      <c r="L102" s="879">
        <f>+L103-6%</f>
        <v>0.81030000000000002</v>
      </c>
      <c r="M102" s="880"/>
    </row>
    <row r="103" spans="2:14" x14ac:dyDescent="0.25">
      <c r="B103" s="823"/>
      <c r="C103" s="509"/>
      <c r="D103" s="510"/>
      <c r="E103" s="517"/>
      <c r="F103" s="518"/>
      <c r="G103" s="518"/>
      <c r="H103" s="518"/>
      <c r="I103" s="519"/>
      <c r="J103" s="562">
        <v>0.93320000000000003</v>
      </c>
      <c r="K103" s="39" t="s">
        <v>81</v>
      </c>
      <c r="L103" s="879">
        <f>+L104-6%</f>
        <v>0.87030000000000007</v>
      </c>
      <c r="M103" s="880"/>
    </row>
    <row r="104" spans="2:14" x14ac:dyDescent="0.25">
      <c r="B104" s="824"/>
      <c r="C104" s="825"/>
      <c r="D104" s="826"/>
      <c r="E104" s="520"/>
      <c r="F104" s="521"/>
      <c r="G104" s="521"/>
      <c r="H104" s="521"/>
      <c r="I104" s="522"/>
      <c r="J104" s="563"/>
      <c r="K104" s="40" t="s">
        <v>82</v>
      </c>
      <c r="L104" s="856">
        <v>0.93030000000000002</v>
      </c>
      <c r="M104" s="857"/>
    </row>
    <row r="105" spans="2:14" ht="6.75" customHeight="1" x14ac:dyDescent="0.25"/>
    <row r="106" spans="2:14" ht="15" x14ac:dyDescent="0.25">
      <c r="B106" s="219" t="s">
        <v>108</v>
      </c>
      <c r="C106" s="219" t="s">
        <v>109</v>
      </c>
      <c r="D106" s="219" t="s">
        <v>110</v>
      </c>
      <c r="E106" s="219" t="s">
        <v>111</v>
      </c>
      <c r="F106" s="219" t="s">
        <v>112</v>
      </c>
      <c r="G106" s="219" t="s">
        <v>113</v>
      </c>
      <c r="H106" s="817" t="s">
        <v>114</v>
      </c>
      <c r="I106" s="817"/>
      <c r="J106" s="219" t="s">
        <v>115</v>
      </c>
      <c r="K106" s="219" t="s">
        <v>116</v>
      </c>
      <c r="L106" s="219" t="s">
        <v>117</v>
      </c>
      <c r="M106" s="219" t="s">
        <v>118</v>
      </c>
      <c r="N106" s="219" t="s">
        <v>119</v>
      </c>
    </row>
    <row r="107" spans="2:14" ht="30.75" customHeight="1" x14ac:dyDescent="0.25">
      <c r="B107" s="227">
        <v>0.60556083311823272</v>
      </c>
      <c r="C107" s="227">
        <v>0.59194343693900087</v>
      </c>
      <c r="D107" s="227">
        <v>0.57007319987595073</v>
      </c>
      <c r="E107" s="227">
        <v>0.55850943263430486</v>
      </c>
      <c r="F107" s="225">
        <v>0.55832200354489125</v>
      </c>
      <c r="G107" s="225">
        <v>0</v>
      </c>
      <c r="H107" s="818">
        <v>0</v>
      </c>
      <c r="I107" s="819"/>
      <c r="J107" s="225">
        <v>0</v>
      </c>
      <c r="K107" s="225">
        <v>0</v>
      </c>
      <c r="L107" s="225">
        <v>0</v>
      </c>
      <c r="M107" s="225">
        <v>0</v>
      </c>
      <c r="N107" s="225">
        <v>0</v>
      </c>
    </row>
    <row r="109" spans="2:14" ht="24" customHeight="1" x14ac:dyDescent="0.25">
      <c r="B109" s="450" t="s">
        <v>50</v>
      </c>
      <c r="C109" s="450"/>
      <c r="D109" s="450"/>
      <c r="E109" s="504" t="s">
        <v>481</v>
      </c>
      <c r="F109" s="827"/>
      <c r="G109" s="827"/>
      <c r="H109" s="827"/>
      <c r="I109" s="827"/>
      <c r="J109" s="827"/>
      <c r="K109" s="827"/>
      <c r="L109" s="827"/>
      <c r="M109" s="828"/>
    </row>
    <row r="110" spans="2:14" ht="5.25" customHeight="1" x14ac:dyDescent="0.25"/>
    <row r="111" spans="2:14" x14ac:dyDescent="0.25">
      <c r="B111" s="820" t="s">
        <v>51</v>
      </c>
      <c r="C111" s="821"/>
      <c r="D111" s="822"/>
      <c r="E111" s="514" t="s">
        <v>55</v>
      </c>
      <c r="F111" s="515"/>
      <c r="G111" s="515"/>
      <c r="H111" s="515"/>
      <c r="I111" s="516"/>
      <c r="J111" s="68">
        <v>0.61619999999999997</v>
      </c>
      <c r="K111" s="65" t="s">
        <v>80</v>
      </c>
      <c r="L111" s="856">
        <f>+J111+3%</f>
        <v>0.6462</v>
      </c>
      <c r="M111" s="857"/>
    </row>
    <row r="112" spans="2:14" x14ac:dyDescent="0.25">
      <c r="B112" s="823"/>
      <c r="C112" s="509"/>
      <c r="D112" s="510"/>
      <c r="E112" s="517"/>
      <c r="F112" s="518"/>
      <c r="G112" s="518"/>
      <c r="H112" s="518"/>
      <c r="I112" s="519"/>
      <c r="J112" s="68">
        <v>0.35220000000000001</v>
      </c>
      <c r="K112" s="66" t="s">
        <v>81</v>
      </c>
      <c r="L112" s="856">
        <f>+J112-2%</f>
        <v>0.3322</v>
      </c>
      <c r="M112" s="857"/>
    </row>
    <row r="113" spans="2:14" x14ac:dyDescent="0.25">
      <c r="B113" s="824"/>
      <c r="C113" s="825"/>
      <c r="D113" s="826"/>
      <c r="E113" s="520"/>
      <c r="F113" s="521"/>
      <c r="G113" s="521"/>
      <c r="H113" s="521"/>
      <c r="I113" s="522"/>
      <c r="J113" s="68">
        <v>3.1600000000000003E-2</v>
      </c>
      <c r="K113" s="67" t="s">
        <v>82</v>
      </c>
      <c r="L113" s="856">
        <f>+J113-1%</f>
        <v>2.1600000000000001E-2</v>
      </c>
      <c r="M113" s="857"/>
    </row>
    <row r="114" spans="2:14" ht="5.25" customHeight="1" x14ac:dyDescent="0.25">
      <c r="B114" s="858"/>
      <c r="C114" s="859"/>
      <c r="D114" s="859"/>
      <c r="E114" s="859"/>
      <c r="F114" s="859"/>
      <c r="G114" s="859"/>
      <c r="H114" s="859"/>
      <c r="I114" s="859"/>
      <c r="J114" s="859"/>
      <c r="K114" s="859"/>
      <c r="L114" s="859"/>
      <c r="M114" s="860"/>
    </row>
    <row r="115" spans="2:14" ht="15" x14ac:dyDescent="0.25">
      <c r="B115" s="228" t="s">
        <v>108</v>
      </c>
      <c r="C115" s="228" t="s">
        <v>109</v>
      </c>
      <c r="D115" s="228" t="s">
        <v>110</v>
      </c>
      <c r="E115" s="228" t="s">
        <v>111</v>
      </c>
      <c r="F115" s="228" t="s">
        <v>112</v>
      </c>
      <c r="G115" s="228" t="s">
        <v>113</v>
      </c>
      <c r="H115" s="817" t="s">
        <v>114</v>
      </c>
      <c r="I115" s="817"/>
      <c r="J115" s="228" t="s">
        <v>115</v>
      </c>
      <c r="K115" s="228" t="s">
        <v>116</v>
      </c>
      <c r="L115" s="228" t="s">
        <v>117</v>
      </c>
      <c r="M115" s="228" t="s">
        <v>118</v>
      </c>
      <c r="N115" s="228" t="s">
        <v>119</v>
      </c>
    </row>
    <row r="116" spans="2:14" ht="30.75" customHeight="1" x14ac:dyDescent="0.25">
      <c r="B116" s="325">
        <v>0.55710000000000004</v>
      </c>
      <c r="C116" s="325">
        <v>0.55710000000000004</v>
      </c>
      <c r="D116" s="325">
        <v>0.55710000000000004</v>
      </c>
      <c r="E116" s="325">
        <v>0.55710000000000004</v>
      </c>
      <c r="F116" s="325">
        <v>0.55710000000000004</v>
      </c>
      <c r="G116" s="329">
        <v>0</v>
      </c>
      <c r="H116" s="887">
        <v>0</v>
      </c>
      <c r="I116" s="888"/>
      <c r="J116" s="329">
        <v>0</v>
      </c>
      <c r="K116" s="329">
        <v>0</v>
      </c>
      <c r="L116" s="329">
        <v>0</v>
      </c>
      <c r="M116" s="329">
        <v>0</v>
      </c>
      <c r="N116" s="329">
        <v>0</v>
      </c>
    </row>
    <row r="118" spans="2:14" x14ac:dyDescent="0.25">
      <c r="B118" s="820"/>
      <c r="C118" s="821"/>
      <c r="D118" s="822"/>
      <c r="E118" s="514" t="s">
        <v>52</v>
      </c>
      <c r="F118" s="515"/>
      <c r="G118" s="515"/>
      <c r="H118" s="515"/>
      <c r="I118" s="516"/>
      <c r="J118" s="68">
        <v>0.4466</v>
      </c>
      <c r="K118" s="65" t="s">
        <v>80</v>
      </c>
      <c r="L118" s="856">
        <f>+J118+7%</f>
        <v>0.51659999999999995</v>
      </c>
      <c r="M118" s="857"/>
    </row>
    <row r="119" spans="2:14" x14ac:dyDescent="0.25">
      <c r="B119" s="823"/>
      <c r="C119" s="509"/>
      <c r="D119" s="510"/>
      <c r="E119" s="517"/>
      <c r="F119" s="518"/>
      <c r="G119" s="518"/>
      <c r="H119" s="518"/>
      <c r="I119" s="519"/>
      <c r="J119" s="68">
        <v>0.39889999999999998</v>
      </c>
      <c r="K119" s="66" t="s">
        <v>81</v>
      </c>
      <c r="L119" s="856">
        <f>+J119-4%</f>
        <v>0.3589</v>
      </c>
      <c r="M119" s="857"/>
    </row>
    <row r="120" spans="2:14" x14ac:dyDescent="0.25">
      <c r="B120" s="824"/>
      <c r="C120" s="825"/>
      <c r="D120" s="826"/>
      <c r="E120" s="520"/>
      <c r="F120" s="521"/>
      <c r="G120" s="521"/>
      <c r="H120" s="521"/>
      <c r="I120" s="522"/>
      <c r="J120" s="68">
        <v>0.1545</v>
      </c>
      <c r="K120" s="67" t="s">
        <v>82</v>
      </c>
      <c r="L120" s="856">
        <f>+J120-3%</f>
        <v>0.1245</v>
      </c>
      <c r="M120" s="857"/>
    </row>
    <row r="121" spans="2:14" ht="6.75" customHeight="1" x14ac:dyDescent="0.25"/>
    <row r="122" spans="2:14" ht="15" x14ac:dyDescent="0.25">
      <c r="B122" s="228" t="s">
        <v>108</v>
      </c>
      <c r="C122" s="228" t="s">
        <v>109</v>
      </c>
      <c r="D122" s="228" t="s">
        <v>110</v>
      </c>
      <c r="E122" s="228" t="s">
        <v>111</v>
      </c>
      <c r="F122" s="228" t="s">
        <v>112</v>
      </c>
      <c r="G122" s="228" t="s">
        <v>113</v>
      </c>
      <c r="H122" s="817" t="s">
        <v>114</v>
      </c>
      <c r="I122" s="817"/>
      <c r="J122" s="228" t="s">
        <v>115</v>
      </c>
      <c r="K122" s="228" t="s">
        <v>116</v>
      </c>
      <c r="L122" s="228" t="s">
        <v>117</v>
      </c>
      <c r="M122" s="228" t="s">
        <v>118</v>
      </c>
      <c r="N122" s="228" t="s">
        <v>119</v>
      </c>
    </row>
    <row r="123" spans="2:14" ht="30.75" customHeight="1" x14ac:dyDescent="0.25">
      <c r="B123" s="321">
        <v>0.4269</v>
      </c>
      <c r="C123" s="321">
        <v>0.4269</v>
      </c>
      <c r="D123" s="321">
        <v>0.4269</v>
      </c>
      <c r="E123" s="321">
        <v>0.4269</v>
      </c>
      <c r="F123" s="321">
        <v>0.4269</v>
      </c>
      <c r="G123" s="330">
        <v>0</v>
      </c>
      <c r="H123" s="885">
        <v>0</v>
      </c>
      <c r="I123" s="886"/>
      <c r="J123" s="330">
        <v>0</v>
      </c>
      <c r="K123" s="330">
        <v>0</v>
      </c>
      <c r="L123" s="330">
        <v>0</v>
      </c>
      <c r="M123" s="330">
        <v>0</v>
      </c>
      <c r="N123" s="330">
        <v>0</v>
      </c>
    </row>
    <row r="125" spans="2:14" x14ac:dyDescent="0.25">
      <c r="B125" s="820"/>
      <c r="C125" s="821"/>
      <c r="D125" s="822"/>
      <c r="E125" s="514" t="s">
        <v>53</v>
      </c>
      <c r="F125" s="515"/>
      <c r="G125" s="515"/>
      <c r="H125" s="515"/>
      <c r="I125" s="516"/>
      <c r="J125" s="68">
        <v>0.33360000000000001</v>
      </c>
      <c r="K125" s="65" t="s">
        <v>80</v>
      </c>
      <c r="L125" s="879">
        <f>+J125+6%</f>
        <v>0.39360000000000001</v>
      </c>
      <c r="M125" s="880"/>
    </row>
    <row r="126" spans="2:14" x14ac:dyDescent="0.25">
      <c r="B126" s="823"/>
      <c r="C126" s="509"/>
      <c r="D126" s="510"/>
      <c r="E126" s="517"/>
      <c r="F126" s="518"/>
      <c r="G126" s="518"/>
      <c r="H126" s="518"/>
      <c r="I126" s="519"/>
      <c r="J126" s="68">
        <v>0.54179999999999995</v>
      </c>
      <c r="K126" s="66" t="s">
        <v>81</v>
      </c>
      <c r="L126" s="879">
        <f>+J126-4%</f>
        <v>0.50179999999999991</v>
      </c>
      <c r="M126" s="880"/>
    </row>
    <row r="127" spans="2:14" x14ac:dyDescent="0.25">
      <c r="B127" s="824"/>
      <c r="C127" s="825"/>
      <c r="D127" s="826"/>
      <c r="E127" s="520"/>
      <c r="F127" s="521"/>
      <c r="G127" s="521"/>
      <c r="H127" s="521"/>
      <c r="I127" s="522"/>
      <c r="J127" s="68">
        <v>0.1246</v>
      </c>
      <c r="K127" s="67" t="s">
        <v>82</v>
      </c>
      <c r="L127" s="879">
        <f>+J127-2%</f>
        <v>0.1046</v>
      </c>
      <c r="M127" s="880"/>
    </row>
    <row r="128" spans="2:14" ht="6.75" customHeight="1" x14ac:dyDescent="0.25"/>
    <row r="129" spans="2:14" ht="15" x14ac:dyDescent="0.25">
      <c r="B129" s="228" t="s">
        <v>108</v>
      </c>
      <c r="C129" s="228" t="s">
        <v>109</v>
      </c>
      <c r="D129" s="228" t="s">
        <v>110</v>
      </c>
      <c r="E129" s="228" t="s">
        <v>111</v>
      </c>
      <c r="F129" s="228" t="s">
        <v>112</v>
      </c>
      <c r="G129" s="228" t="s">
        <v>113</v>
      </c>
      <c r="H129" s="817" t="s">
        <v>114</v>
      </c>
      <c r="I129" s="817"/>
      <c r="J129" s="228" t="s">
        <v>115</v>
      </c>
      <c r="K129" s="228" t="s">
        <v>116</v>
      </c>
      <c r="L129" s="228" t="s">
        <v>117</v>
      </c>
      <c r="M129" s="228" t="s">
        <v>118</v>
      </c>
      <c r="N129" s="228" t="s">
        <v>119</v>
      </c>
    </row>
    <row r="130" spans="2:14" ht="30.75" customHeight="1" x14ac:dyDescent="0.25">
      <c r="B130" s="325">
        <v>0.33250000000000002</v>
      </c>
      <c r="C130" s="325">
        <v>0.33250000000000002</v>
      </c>
      <c r="D130" s="325">
        <v>0.33250000000000002</v>
      </c>
      <c r="E130" s="325">
        <v>0.33250000000000002</v>
      </c>
      <c r="F130" s="325">
        <v>0.33250000000000002</v>
      </c>
      <c r="G130" s="329">
        <v>0</v>
      </c>
      <c r="H130" s="887">
        <v>0</v>
      </c>
      <c r="I130" s="888"/>
      <c r="J130" s="329">
        <v>0</v>
      </c>
      <c r="K130" s="329">
        <v>0</v>
      </c>
      <c r="L130" s="329">
        <v>0</v>
      </c>
      <c r="M130" s="329">
        <v>0</v>
      </c>
      <c r="N130" s="329">
        <v>0</v>
      </c>
    </row>
    <row r="132" spans="2:14" x14ac:dyDescent="0.25">
      <c r="B132" s="820"/>
      <c r="C132" s="821"/>
      <c r="D132" s="822"/>
      <c r="E132" s="514" t="s">
        <v>54</v>
      </c>
      <c r="F132" s="515"/>
      <c r="G132" s="515"/>
      <c r="H132" s="515"/>
      <c r="I132" s="516"/>
      <c r="J132" s="68">
        <v>0.33360000000000001</v>
      </c>
      <c r="K132" s="65" t="s">
        <v>80</v>
      </c>
      <c r="L132" s="879">
        <f>+J132+6%</f>
        <v>0.39360000000000001</v>
      </c>
      <c r="M132" s="880"/>
    </row>
    <row r="133" spans="2:14" x14ac:dyDescent="0.25">
      <c r="B133" s="823"/>
      <c r="C133" s="509"/>
      <c r="D133" s="510"/>
      <c r="E133" s="517"/>
      <c r="F133" s="518"/>
      <c r="G133" s="518"/>
      <c r="H133" s="518"/>
      <c r="I133" s="519"/>
      <c r="J133" s="68">
        <v>0.54179999999999995</v>
      </c>
      <c r="K133" s="66" t="s">
        <v>81</v>
      </c>
      <c r="L133" s="879">
        <f>+J133-4%</f>
        <v>0.50179999999999991</v>
      </c>
      <c r="M133" s="880"/>
    </row>
    <row r="134" spans="2:14" x14ac:dyDescent="0.25">
      <c r="B134" s="824"/>
      <c r="C134" s="825"/>
      <c r="D134" s="826"/>
      <c r="E134" s="520"/>
      <c r="F134" s="521"/>
      <c r="G134" s="521"/>
      <c r="H134" s="521"/>
      <c r="I134" s="522"/>
      <c r="J134" s="68">
        <v>0.1246</v>
      </c>
      <c r="K134" s="67" t="s">
        <v>82</v>
      </c>
      <c r="L134" s="856">
        <f>+J134-2%</f>
        <v>0.1046</v>
      </c>
      <c r="M134" s="857"/>
    </row>
    <row r="135" spans="2:14" ht="6.75" customHeight="1" x14ac:dyDescent="0.25"/>
    <row r="136" spans="2:14" ht="15" x14ac:dyDescent="0.25">
      <c r="B136" s="232" t="s">
        <v>108</v>
      </c>
      <c r="C136" s="232" t="s">
        <v>109</v>
      </c>
      <c r="D136" s="232" t="s">
        <v>110</v>
      </c>
      <c r="E136" s="232" t="s">
        <v>111</v>
      </c>
      <c r="F136" s="232" t="s">
        <v>112</v>
      </c>
      <c r="G136" s="232" t="s">
        <v>113</v>
      </c>
      <c r="H136" s="817" t="s">
        <v>114</v>
      </c>
      <c r="I136" s="817"/>
      <c r="J136" s="232" t="s">
        <v>115</v>
      </c>
      <c r="K136" s="232" t="s">
        <v>116</v>
      </c>
      <c r="L136" s="232" t="s">
        <v>117</v>
      </c>
      <c r="M136" s="232" t="s">
        <v>118</v>
      </c>
      <c r="N136" s="232" t="s">
        <v>119</v>
      </c>
    </row>
    <row r="137" spans="2:14" ht="30.75" customHeight="1" x14ac:dyDescent="0.25">
      <c r="B137" s="325">
        <v>0.8679</v>
      </c>
      <c r="C137" s="325">
        <v>0.8679</v>
      </c>
      <c r="D137" s="325">
        <v>0.8679</v>
      </c>
      <c r="E137" s="325">
        <v>0.8679</v>
      </c>
      <c r="F137" s="325">
        <v>0.8679</v>
      </c>
      <c r="G137" s="329">
        <v>0</v>
      </c>
      <c r="H137" s="887">
        <v>0</v>
      </c>
      <c r="I137" s="888"/>
      <c r="J137" s="329">
        <v>0</v>
      </c>
      <c r="K137" s="329">
        <v>0</v>
      </c>
      <c r="L137" s="329">
        <v>0</v>
      </c>
      <c r="M137" s="329">
        <v>0</v>
      </c>
      <c r="N137" s="329">
        <v>0</v>
      </c>
    </row>
    <row r="139" spans="2:14" x14ac:dyDescent="0.25">
      <c r="B139" s="820" t="s">
        <v>56</v>
      </c>
      <c r="C139" s="821"/>
      <c r="D139" s="822"/>
      <c r="E139" s="514" t="s">
        <v>57</v>
      </c>
      <c r="F139" s="515"/>
      <c r="G139" s="515"/>
      <c r="H139" s="515"/>
      <c r="I139" s="516"/>
      <c r="J139" s="238">
        <v>44075</v>
      </c>
      <c r="K139" s="65" t="s">
        <v>80</v>
      </c>
      <c r="L139" s="889">
        <f>+L140+1.5%</f>
        <v>0.48170000000000002</v>
      </c>
      <c r="M139" s="890"/>
    </row>
    <row r="140" spans="2:14" x14ac:dyDescent="0.25">
      <c r="B140" s="823"/>
      <c r="C140" s="509"/>
      <c r="D140" s="510"/>
      <c r="E140" s="517"/>
      <c r="F140" s="518"/>
      <c r="G140" s="518"/>
      <c r="H140" s="518"/>
      <c r="I140" s="519"/>
      <c r="J140" s="562">
        <v>0.45169999999999999</v>
      </c>
      <c r="K140" s="66" t="s">
        <v>81</v>
      </c>
      <c r="L140" s="889">
        <f>+L141+1.5%</f>
        <v>0.4667</v>
      </c>
      <c r="M140" s="890"/>
    </row>
    <row r="141" spans="2:14" x14ac:dyDescent="0.25">
      <c r="B141" s="824"/>
      <c r="C141" s="825"/>
      <c r="D141" s="826"/>
      <c r="E141" s="520"/>
      <c r="F141" s="521"/>
      <c r="G141" s="521"/>
      <c r="H141" s="521"/>
      <c r="I141" s="522"/>
      <c r="J141" s="563"/>
      <c r="K141" s="67" t="s">
        <v>82</v>
      </c>
      <c r="L141" s="841">
        <f>+J140</f>
        <v>0.45169999999999999</v>
      </c>
      <c r="M141" s="842"/>
    </row>
    <row r="142" spans="2:14" ht="8.25" customHeight="1" x14ac:dyDescent="0.25"/>
    <row r="143" spans="2:14" ht="15" x14ac:dyDescent="0.25">
      <c r="B143" s="239" t="s">
        <v>108</v>
      </c>
      <c r="C143" s="239" t="s">
        <v>109</v>
      </c>
      <c r="D143" s="239" t="s">
        <v>110</v>
      </c>
      <c r="E143" s="239" t="s">
        <v>111</v>
      </c>
      <c r="F143" s="239" t="s">
        <v>112</v>
      </c>
      <c r="G143" s="239" t="s">
        <v>113</v>
      </c>
      <c r="H143" s="817" t="s">
        <v>114</v>
      </c>
      <c r="I143" s="817"/>
      <c r="J143" s="239" t="s">
        <v>115</v>
      </c>
      <c r="K143" s="239" t="s">
        <v>116</v>
      </c>
      <c r="L143" s="239" t="s">
        <v>117</v>
      </c>
      <c r="M143" s="239" t="s">
        <v>118</v>
      </c>
      <c r="N143" s="239" t="s">
        <v>119</v>
      </c>
    </row>
    <row r="144" spans="2:14" ht="30" customHeight="1" x14ac:dyDescent="0.25">
      <c r="B144" s="328">
        <v>0.61150000000000004</v>
      </c>
      <c r="C144" s="325">
        <v>0.60950000000000004</v>
      </c>
      <c r="D144" s="325">
        <v>0.60809999999999997</v>
      </c>
      <c r="E144" s="325">
        <v>0.60809999999999997</v>
      </c>
      <c r="F144" s="325">
        <v>0.60809999999999997</v>
      </c>
      <c r="G144" s="329">
        <v>0</v>
      </c>
      <c r="H144" s="887">
        <v>0</v>
      </c>
      <c r="I144" s="888"/>
      <c r="J144" s="329">
        <v>0</v>
      </c>
      <c r="K144" s="329">
        <v>0</v>
      </c>
      <c r="L144" s="329">
        <v>0</v>
      </c>
      <c r="M144" s="329">
        <v>0</v>
      </c>
      <c r="N144" s="329">
        <v>0</v>
      </c>
    </row>
    <row r="146" spans="2:14" x14ac:dyDescent="0.25">
      <c r="B146" s="820"/>
      <c r="C146" s="821"/>
      <c r="D146" s="822"/>
      <c r="E146" s="514" t="s">
        <v>58</v>
      </c>
      <c r="F146" s="515"/>
      <c r="G146" s="515"/>
      <c r="H146" s="515"/>
      <c r="I146" s="516"/>
      <c r="J146" s="238">
        <v>44075</v>
      </c>
      <c r="K146" s="65" t="s">
        <v>80</v>
      </c>
      <c r="L146" s="896">
        <f>+J147+10</f>
        <v>130.98000000000002</v>
      </c>
      <c r="M146" s="897"/>
    </row>
    <row r="147" spans="2:14" x14ac:dyDescent="0.25">
      <c r="B147" s="823"/>
      <c r="C147" s="509"/>
      <c r="D147" s="510"/>
      <c r="E147" s="517"/>
      <c r="F147" s="518"/>
      <c r="G147" s="518"/>
      <c r="H147" s="518"/>
      <c r="I147" s="519"/>
      <c r="J147" s="565">
        <v>120.98</v>
      </c>
      <c r="K147" s="66" t="s">
        <v>81</v>
      </c>
      <c r="L147" s="896">
        <f>+J147+5</f>
        <v>125.98</v>
      </c>
      <c r="M147" s="897"/>
    </row>
    <row r="148" spans="2:14" x14ac:dyDescent="0.25">
      <c r="B148" s="824"/>
      <c r="C148" s="825"/>
      <c r="D148" s="826"/>
      <c r="E148" s="520"/>
      <c r="F148" s="521"/>
      <c r="G148" s="521"/>
      <c r="H148" s="521"/>
      <c r="I148" s="522"/>
      <c r="J148" s="566"/>
      <c r="K148" s="67" t="s">
        <v>82</v>
      </c>
      <c r="L148" s="896">
        <f>+J147+3</f>
        <v>123.98</v>
      </c>
      <c r="M148" s="897"/>
    </row>
    <row r="149" spans="2:14" ht="7.5" customHeight="1" x14ac:dyDescent="0.25"/>
    <row r="150" spans="2:14" ht="15" x14ac:dyDescent="0.25">
      <c r="B150" s="239" t="s">
        <v>108</v>
      </c>
      <c r="C150" s="239" t="s">
        <v>109</v>
      </c>
      <c r="D150" s="239" t="s">
        <v>110</v>
      </c>
      <c r="E150" s="239" t="s">
        <v>111</v>
      </c>
      <c r="F150" s="239" t="s">
        <v>112</v>
      </c>
      <c r="G150" s="239" t="s">
        <v>113</v>
      </c>
      <c r="H150" s="817" t="s">
        <v>114</v>
      </c>
      <c r="I150" s="817"/>
      <c r="J150" s="239" t="s">
        <v>115</v>
      </c>
      <c r="K150" s="239" t="s">
        <v>116</v>
      </c>
      <c r="L150" s="239" t="s">
        <v>117</v>
      </c>
      <c r="M150" s="239" t="s">
        <v>118</v>
      </c>
      <c r="N150" s="239" t="s">
        <v>119</v>
      </c>
    </row>
    <row r="151" spans="2:14" ht="30" customHeight="1" x14ac:dyDescent="0.25">
      <c r="B151" s="327">
        <v>149.08000000000001</v>
      </c>
      <c r="C151" s="327">
        <v>148.58000000000001</v>
      </c>
      <c r="D151" s="327">
        <v>151</v>
      </c>
      <c r="E151" s="327">
        <v>114.53</v>
      </c>
      <c r="F151" s="327">
        <v>102.39</v>
      </c>
      <c r="G151" s="327">
        <v>0</v>
      </c>
      <c r="H151" s="898">
        <v>0</v>
      </c>
      <c r="I151" s="899"/>
      <c r="J151" s="327">
        <v>0</v>
      </c>
      <c r="K151" s="327">
        <v>0</v>
      </c>
      <c r="L151" s="327">
        <v>0</v>
      </c>
      <c r="M151" s="327">
        <v>0</v>
      </c>
      <c r="N151" s="327">
        <v>0</v>
      </c>
    </row>
    <row r="153" spans="2:14" x14ac:dyDescent="0.25">
      <c r="B153" s="820" t="s">
        <v>59</v>
      </c>
      <c r="C153" s="821"/>
      <c r="D153" s="822"/>
      <c r="E153" s="514" t="s">
        <v>524</v>
      </c>
      <c r="F153" s="515"/>
      <c r="G153" s="515"/>
      <c r="H153" s="515"/>
      <c r="I153" s="516"/>
      <c r="J153" s="238">
        <v>44075</v>
      </c>
      <c r="K153" s="65" t="s">
        <v>80</v>
      </c>
      <c r="L153" s="845">
        <v>4285</v>
      </c>
      <c r="M153" s="846"/>
    </row>
    <row r="154" spans="2:14" x14ac:dyDescent="0.25">
      <c r="B154" s="823"/>
      <c r="C154" s="509"/>
      <c r="D154" s="510"/>
      <c r="E154" s="517"/>
      <c r="F154" s="518"/>
      <c r="G154" s="518"/>
      <c r="H154" s="518"/>
      <c r="I154" s="519"/>
      <c r="J154" s="839">
        <v>3817</v>
      </c>
      <c r="K154" s="66" t="s">
        <v>81</v>
      </c>
      <c r="L154" s="847">
        <v>4217</v>
      </c>
      <c r="M154" s="848"/>
    </row>
    <row r="155" spans="2:14" x14ac:dyDescent="0.25">
      <c r="B155" s="824"/>
      <c r="C155" s="825"/>
      <c r="D155" s="826"/>
      <c r="E155" s="520"/>
      <c r="F155" s="521"/>
      <c r="G155" s="521"/>
      <c r="H155" s="521"/>
      <c r="I155" s="522"/>
      <c r="J155" s="840"/>
      <c r="K155" s="67" t="s">
        <v>82</v>
      </c>
      <c r="L155" s="845">
        <v>4133</v>
      </c>
      <c r="M155" s="846"/>
    </row>
    <row r="157" spans="2:14" ht="15" x14ac:dyDescent="0.25">
      <c r="B157" s="239" t="s">
        <v>108</v>
      </c>
      <c r="C157" s="239" t="s">
        <v>109</v>
      </c>
      <c r="D157" s="239" t="s">
        <v>110</v>
      </c>
      <c r="E157" s="239" t="s">
        <v>111</v>
      </c>
      <c r="F157" s="239" t="s">
        <v>112</v>
      </c>
      <c r="G157" s="239" t="s">
        <v>113</v>
      </c>
      <c r="H157" s="817" t="s">
        <v>114</v>
      </c>
      <c r="I157" s="817"/>
      <c r="J157" s="239" t="s">
        <v>115</v>
      </c>
      <c r="K157" s="239" t="s">
        <v>116</v>
      </c>
      <c r="L157" s="239" t="s">
        <v>117</v>
      </c>
      <c r="M157" s="239" t="s">
        <v>118</v>
      </c>
      <c r="N157" s="239" t="s">
        <v>119</v>
      </c>
    </row>
    <row r="158" spans="2:14" ht="30" customHeight="1" x14ac:dyDescent="0.25">
      <c r="B158" s="256">
        <v>3811</v>
      </c>
      <c r="C158" s="256">
        <v>3799</v>
      </c>
      <c r="D158" s="256">
        <v>3787</v>
      </c>
      <c r="E158" s="256">
        <v>3825</v>
      </c>
      <c r="F158" s="256">
        <v>3807</v>
      </c>
      <c r="G158" s="256">
        <v>0</v>
      </c>
      <c r="H158" s="843">
        <v>0</v>
      </c>
      <c r="I158" s="844"/>
      <c r="J158" s="256">
        <v>0</v>
      </c>
      <c r="K158" s="256">
        <v>0</v>
      </c>
      <c r="L158" s="256">
        <v>0</v>
      </c>
      <c r="M158" s="256">
        <v>0</v>
      </c>
      <c r="N158" s="256">
        <v>0</v>
      </c>
    </row>
    <row r="160" spans="2:14" x14ac:dyDescent="0.25">
      <c r="B160" s="820"/>
      <c r="C160" s="821"/>
      <c r="D160" s="822"/>
      <c r="E160" s="514" t="s">
        <v>193</v>
      </c>
      <c r="F160" s="515"/>
      <c r="G160" s="515"/>
      <c r="H160" s="515"/>
      <c r="I160" s="516"/>
      <c r="J160" s="238">
        <v>44075</v>
      </c>
      <c r="K160" s="65" t="s">
        <v>80</v>
      </c>
      <c r="L160" s="849">
        <v>651</v>
      </c>
      <c r="M160" s="850"/>
    </row>
    <row r="161" spans="2:14" x14ac:dyDescent="0.25">
      <c r="B161" s="823"/>
      <c r="C161" s="509"/>
      <c r="D161" s="510"/>
      <c r="E161" s="517"/>
      <c r="F161" s="518"/>
      <c r="G161" s="518"/>
      <c r="H161" s="518"/>
      <c r="I161" s="519"/>
      <c r="J161" s="839">
        <v>531</v>
      </c>
      <c r="K161" s="66" t="s">
        <v>81</v>
      </c>
      <c r="L161" s="849">
        <v>631</v>
      </c>
      <c r="M161" s="850"/>
    </row>
    <row r="162" spans="2:14" x14ac:dyDescent="0.25">
      <c r="B162" s="824"/>
      <c r="C162" s="825"/>
      <c r="D162" s="826"/>
      <c r="E162" s="520"/>
      <c r="F162" s="521"/>
      <c r="G162" s="521"/>
      <c r="H162" s="521"/>
      <c r="I162" s="522"/>
      <c r="J162" s="840"/>
      <c r="K162" s="67" t="s">
        <v>82</v>
      </c>
      <c r="L162" s="849">
        <v>611</v>
      </c>
      <c r="M162" s="850"/>
    </row>
    <row r="164" spans="2:14" ht="15" x14ac:dyDescent="0.25">
      <c r="B164" s="239" t="s">
        <v>108</v>
      </c>
      <c r="C164" s="239" t="s">
        <v>109</v>
      </c>
      <c r="D164" s="239" t="s">
        <v>110</v>
      </c>
      <c r="E164" s="239" t="s">
        <v>111</v>
      </c>
      <c r="F164" s="239" t="s">
        <v>112</v>
      </c>
      <c r="G164" s="239" t="s">
        <v>113</v>
      </c>
      <c r="H164" s="817" t="s">
        <v>114</v>
      </c>
      <c r="I164" s="817"/>
      <c r="J164" s="239" t="s">
        <v>115</v>
      </c>
      <c r="K164" s="239" t="s">
        <v>116</v>
      </c>
      <c r="L164" s="239" t="s">
        <v>117</v>
      </c>
      <c r="M164" s="239" t="s">
        <v>118</v>
      </c>
      <c r="N164" s="239" t="s">
        <v>119</v>
      </c>
    </row>
    <row r="165" spans="2:14" ht="30" customHeight="1" x14ac:dyDescent="0.25">
      <c r="B165" s="256">
        <v>656</v>
      </c>
      <c r="C165" s="256">
        <v>663</v>
      </c>
      <c r="D165" s="256">
        <v>669</v>
      </c>
      <c r="E165" s="256">
        <v>681</v>
      </c>
      <c r="F165" s="256">
        <v>669</v>
      </c>
      <c r="G165" s="256">
        <v>0</v>
      </c>
      <c r="H165" s="843">
        <v>0</v>
      </c>
      <c r="I165" s="844"/>
      <c r="J165" s="256">
        <v>0</v>
      </c>
      <c r="K165" s="256">
        <v>0</v>
      </c>
      <c r="L165" s="256">
        <v>0</v>
      </c>
      <c r="M165" s="256">
        <v>0</v>
      </c>
      <c r="N165" s="256">
        <v>0</v>
      </c>
    </row>
    <row r="167" spans="2:14" x14ac:dyDescent="0.25">
      <c r="B167" s="820"/>
      <c r="C167" s="821"/>
      <c r="D167" s="822"/>
      <c r="E167" s="514" t="s">
        <v>216</v>
      </c>
      <c r="F167" s="515"/>
      <c r="G167" s="515"/>
      <c r="H167" s="515"/>
      <c r="I167" s="516"/>
      <c r="J167" s="238">
        <v>44075</v>
      </c>
      <c r="K167" s="65" t="s">
        <v>80</v>
      </c>
      <c r="L167" s="891">
        <v>2842638.6315000001</v>
      </c>
      <c r="M167" s="892"/>
    </row>
    <row r="168" spans="2:14" x14ac:dyDescent="0.25">
      <c r="B168" s="823"/>
      <c r="C168" s="509"/>
      <c r="D168" s="510"/>
      <c r="E168" s="517"/>
      <c r="F168" s="518"/>
      <c r="G168" s="518"/>
      <c r="H168" s="518"/>
      <c r="I168" s="519"/>
      <c r="J168" s="565">
        <v>2607925.35</v>
      </c>
      <c r="K168" s="66" t="s">
        <v>81</v>
      </c>
      <c r="L168" s="891">
        <v>2790480.1244999999</v>
      </c>
      <c r="M168" s="892"/>
    </row>
    <row r="169" spans="2:14" x14ac:dyDescent="0.25">
      <c r="B169" s="824"/>
      <c r="C169" s="825"/>
      <c r="D169" s="826"/>
      <c r="E169" s="520"/>
      <c r="F169" s="521"/>
      <c r="G169" s="521"/>
      <c r="H169" s="521"/>
      <c r="I169" s="522"/>
      <c r="J169" s="566"/>
      <c r="K169" s="67" t="s">
        <v>82</v>
      </c>
      <c r="L169" s="891">
        <v>2738321.6175000002</v>
      </c>
      <c r="M169" s="892"/>
    </row>
    <row r="170" spans="2:14" ht="6.75" customHeight="1" x14ac:dyDescent="0.25"/>
    <row r="171" spans="2:14" ht="15" x14ac:dyDescent="0.25">
      <c r="B171" s="239" t="s">
        <v>108</v>
      </c>
      <c r="C171" s="239" t="s">
        <v>109</v>
      </c>
      <c r="D171" s="239" t="s">
        <v>110</v>
      </c>
      <c r="E171" s="239" t="s">
        <v>111</v>
      </c>
      <c r="F171" s="239" t="s">
        <v>112</v>
      </c>
      <c r="G171" s="239" t="s">
        <v>113</v>
      </c>
      <c r="H171" s="817" t="s">
        <v>114</v>
      </c>
      <c r="I171" s="817"/>
      <c r="J171" s="239" t="s">
        <v>115</v>
      </c>
      <c r="K171" s="239" t="s">
        <v>116</v>
      </c>
      <c r="L171" s="239" t="s">
        <v>117</v>
      </c>
      <c r="M171" s="239" t="s">
        <v>118</v>
      </c>
      <c r="N171" s="239" t="s">
        <v>119</v>
      </c>
    </row>
    <row r="172" spans="2:14" ht="30" customHeight="1" x14ac:dyDescent="0.25">
      <c r="B172" s="327">
        <v>2696370.02</v>
      </c>
      <c r="C172" s="327">
        <v>2698218.34</v>
      </c>
      <c r="D172" s="327">
        <v>2718482.99</v>
      </c>
      <c r="E172" s="257">
        <v>2768303.9</v>
      </c>
      <c r="F172" s="257">
        <v>2798746.68</v>
      </c>
      <c r="G172" s="257">
        <v>0</v>
      </c>
      <c r="H172" s="894">
        <v>0</v>
      </c>
      <c r="I172" s="895"/>
      <c r="J172" s="257">
        <v>0</v>
      </c>
      <c r="K172" s="257">
        <v>0</v>
      </c>
      <c r="L172" s="257">
        <v>0</v>
      </c>
      <c r="M172" s="257">
        <v>0</v>
      </c>
      <c r="N172" s="257">
        <v>0</v>
      </c>
    </row>
    <row r="174" spans="2:14" x14ac:dyDescent="0.25">
      <c r="B174" s="820" t="s">
        <v>60</v>
      </c>
      <c r="C174" s="821"/>
      <c r="D174" s="822"/>
      <c r="E174" s="514" t="s">
        <v>61</v>
      </c>
      <c r="F174" s="515"/>
      <c r="G174" s="515"/>
      <c r="H174" s="515"/>
      <c r="I174" s="516"/>
      <c r="J174" s="78">
        <v>0.73970000000000002</v>
      </c>
      <c r="K174" s="65" t="s">
        <v>80</v>
      </c>
      <c r="L174" s="841">
        <f>+J174+4%</f>
        <v>0.77970000000000006</v>
      </c>
      <c r="M174" s="842"/>
    </row>
    <row r="175" spans="2:14" x14ac:dyDescent="0.25">
      <c r="B175" s="823"/>
      <c r="C175" s="509"/>
      <c r="D175" s="510"/>
      <c r="E175" s="517"/>
      <c r="F175" s="518"/>
      <c r="G175" s="518"/>
      <c r="H175" s="518"/>
      <c r="I175" s="519"/>
      <c r="J175" s="236">
        <v>0.16439999999999999</v>
      </c>
      <c r="K175" s="66" t="s">
        <v>81</v>
      </c>
      <c r="L175" s="841">
        <f>+J175-2%</f>
        <v>0.1444</v>
      </c>
      <c r="M175" s="842"/>
    </row>
    <row r="176" spans="2:14" x14ac:dyDescent="0.25">
      <c r="B176" s="824"/>
      <c r="C176" s="825"/>
      <c r="D176" s="826"/>
      <c r="E176" s="520"/>
      <c r="F176" s="521"/>
      <c r="G176" s="521"/>
      <c r="H176" s="521"/>
      <c r="I176" s="522"/>
      <c r="J176" s="237">
        <v>9.5899999999999999E-2</v>
      </c>
      <c r="K176" s="67" t="s">
        <v>82</v>
      </c>
      <c r="L176" s="841">
        <f>+J176-2%</f>
        <v>7.5899999999999995E-2</v>
      </c>
      <c r="M176" s="842"/>
    </row>
    <row r="177" spans="2:14" ht="6.75" customHeight="1" x14ac:dyDescent="0.25"/>
    <row r="178" spans="2:14" ht="15" x14ac:dyDescent="0.25">
      <c r="B178" s="239" t="s">
        <v>108</v>
      </c>
      <c r="C178" s="239" t="s">
        <v>109</v>
      </c>
      <c r="D178" s="239" t="s">
        <v>110</v>
      </c>
      <c r="E178" s="239" t="s">
        <v>111</v>
      </c>
      <c r="F178" s="239" t="s">
        <v>112</v>
      </c>
      <c r="G178" s="239" t="s">
        <v>113</v>
      </c>
      <c r="H178" s="817" t="s">
        <v>114</v>
      </c>
      <c r="I178" s="817"/>
      <c r="J178" s="239" t="s">
        <v>115</v>
      </c>
      <c r="K178" s="239" t="s">
        <v>116</v>
      </c>
      <c r="L178" s="239" t="s">
        <v>117</v>
      </c>
      <c r="M178" s="239" t="s">
        <v>118</v>
      </c>
      <c r="N178" s="239" t="s">
        <v>119</v>
      </c>
    </row>
    <row r="179" spans="2:14" ht="30.75" customHeight="1" x14ac:dyDescent="0.25">
      <c r="B179" s="338">
        <v>0.73</v>
      </c>
      <c r="C179" s="338">
        <v>0.73</v>
      </c>
      <c r="D179" s="338">
        <v>0.73</v>
      </c>
      <c r="E179" s="338">
        <v>0.73</v>
      </c>
      <c r="F179" s="338">
        <v>0.73</v>
      </c>
      <c r="G179" s="338">
        <v>0.73</v>
      </c>
      <c r="H179" s="818">
        <v>0</v>
      </c>
      <c r="I179" s="819"/>
      <c r="J179" s="225">
        <v>0</v>
      </c>
      <c r="K179" s="225">
        <v>0</v>
      </c>
      <c r="L179" s="225">
        <v>0</v>
      </c>
      <c r="M179" s="225">
        <v>0</v>
      </c>
      <c r="N179" s="225">
        <v>0</v>
      </c>
    </row>
    <row r="181" spans="2:14" ht="18.75" x14ac:dyDescent="0.25">
      <c r="B181" s="450" t="s">
        <v>77</v>
      </c>
      <c r="C181" s="450"/>
      <c r="D181" s="838"/>
      <c r="E181" s="504" t="s">
        <v>70</v>
      </c>
      <c r="F181" s="827"/>
      <c r="G181" s="827"/>
      <c r="H181" s="827"/>
      <c r="I181" s="827"/>
      <c r="J181" s="827"/>
      <c r="K181" s="827"/>
      <c r="L181" s="827"/>
      <c r="M181" s="828"/>
    </row>
    <row r="183" spans="2:14" ht="31.5" x14ac:dyDescent="0.25">
      <c r="B183" s="820" t="s">
        <v>62</v>
      </c>
      <c r="C183" s="821"/>
      <c r="D183" s="822"/>
      <c r="E183" s="514" t="s">
        <v>63</v>
      </c>
      <c r="F183" s="515"/>
      <c r="G183" s="515"/>
      <c r="H183" s="515"/>
      <c r="I183" s="516"/>
      <c r="J183" s="79" t="s">
        <v>97</v>
      </c>
      <c r="K183" s="81">
        <v>0.68</v>
      </c>
      <c r="L183" s="836">
        <v>0.75</v>
      </c>
      <c r="M183" s="837"/>
    </row>
    <row r="184" spans="2:14" ht="31.5" x14ac:dyDescent="0.25">
      <c r="B184" s="823"/>
      <c r="C184" s="509"/>
      <c r="D184" s="510"/>
      <c r="E184" s="517"/>
      <c r="F184" s="518"/>
      <c r="G184" s="518"/>
      <c r="H184" s="518"/>
      <c r="I184" s="519"/>
      <c r="J184" s="79" t="s">
        <v>98</v>
      </c>
      <c r="K184" s="81">
        <v>0.49</v>
      </c>
      <c r="L184" s="836">
        <v>0.745</v>
      </c>
      <c r="M184" s="837"/>
      <c r="N184" s="296">
        <f>AVERAGE(L183:M185)</f>
        <v>0.78166666666666673</v>
      </c>
    </row>
    <row r="185" spans="2:14" ht="31.5" x14ac:dyDescent="0.25">
      <c r="B185" s="824"/>
      <c r="C185" s="825"/>
      <c r="D185" s="826"/>
      <c r="E185" s="520"/>
      <c r="F185" s="521"/>
      <c r="G185" s="521"/>
      <c r="H185" s="521"/>
      <c r="I185" s="522"/>
      <c r="J185" s="81" t="s">
        <v>99</v>
      </c>
      <c r="K185" s="81">
        <v>0.83</v>
      </c>
      <c r="L185" s="834">
        <v>0.85</v>
      </c>
      <c r="M185" s="835"/>
    </row>
    <row r="186" spans="2:14" ht="6.75" customHeight="1" x14ac:dyDescent="0.25"/>
    <row r="187" spans="2:14" ht="15" x14ac:dyDescent="0.25">
      <c r="B187" s="232" t="s">
        <v>108</v>
      </c>
      <c r="C187" s="232" t="s">
        <v>109</v>
      </c>
      <c r="D187" s="232" t="s">
        <v>110</v>
      </c>
      <c r="E187" s="232" t="s">
        <v>111</v>
      </c>
      <c r="F187" s="232" t="s">
        <v>112</v>
      </c>
      <c r="G187" s="232" t="s">
        <v>113</v>
      </c>
      <c r="H187" s="817" t="s">
        <v>114</v>
      </c>
      <c r="I187" s="817"/>
      <c r="J187" s="232" t="s">
        <v>115</v>
      </c>
      <c r="K187" s="232" t="s">
        <v>116</v>
      </c>
      <c r="L187" s="232" t="s">
        <v>117</v>
      </c>
      <c r="M187" s="232" t="s">
        <v>118</v>
      </c>
      <c r="N187" s="232" t="s">
        <v>119</v>
      </c>
    </row>
    <row r="188" spans="2:14" ht="30.75" customHeight="1" x14ac:dyDescent="0.25">
      <c r="B188" s="225">
        <v>0</v>
      </c>
      <c r="C188" s="225">
        <v>0</v>
      </c>
      <c r="D188" s="225">
        <v>0</v>
      </c>
      <c r="E188" s="225">
        <v>0</v>
      </c>
      <c r="F188" s="225">
        <v>0</v>
      </c>
      <c r="G188" s="225">
        <v>0</v>
      </c>
      <c r="H188" s="818">
        <v>0</v>
      </c>
      <c r="I188" s="819"/>
      <c r="J188" s="225">
        <v>0</v>
      </c>
      <c r="K188" s="225">
        <v>0</v>
      </c>
      <c r="L188" s="225">
        <v>0</v>
      </c>
      <c r="M188" s="225">
        <v>0</v>
      </c>
      <c r="N188" s="225">
        <v>0</v>
      </c>
    </row>
    <row r="189" spans="2:14" ht="5.25" customHeight="1" x14ac:dyDescent="0.25">
      <c r="B189" s="318">
        <f>+AVERAGE(B188,B191,B194)</f>
        <v>0</v>
      </c>
      <c r="C189" s="318">
        <f t="shared" ref="C189:N189" si="0">+AVERAGE(C188,C191,C194)</f>
        <v>0</v>
      </c>
      <c r="D189" s="318">
        <f t="shared" si="0"/>
        <v>0</v>
      </c>
      <c r="E189" s="318">
        <f t="shared" si="0"/>
        <v>0</v>
      </c>
      <c r="F189" s="318">
        <f t="shared" si="0"/>
        <v>0</v>
      </c>
      <c r="G189" s="318">
        <f t="shared" si="0"/>
        <v>0</v>
      </c>
      <c r="H189" s="811">
        <f t="shared" si="0"/>
        <v>0</v>
      </c>
      <c r="I189" s="811"/>
      <c r="J189" s="318">
        <f t="shared" si="0"/>
        <v>0</v>
      </c>
      <c r="K189" s="318">
        <f t="shared" si="0"/>
        <v>0</v>
      </c>
      <c r="L189" s="318">
        <f t="shared" si="0"/>
        <v>0</v>
      </c>
      <c r="M189" s="318">
        <f t="shared" si="0"/>
        <v>0</v>
      </c>
      <c r="N189" s="318">
        <f t="shared" si="0"/>
        <v>0</v>
      </c>
    </row>
    <row r="190" spans="2:14" ht="15" x14ac:dyDescent="0.25">
      <c r="B190" s="232" t="s">
        <v>108</v>
      </c>
      <c r="C190" s="232" t="s">
        <v>109</v>
      </c>
      <c r="D190" s="232" t="s">
        <v>110</v>
      </c>
      <c r="E190" s="232" t="s">
        <v>111</v>
      </c>
      <c r="F190" s="232" t="s">
        <v>112</v>
      </c>
      <c r="G190" s="232" t="s">
        <v>113</v>
      </c>
      <c r="H190" s="817" t="s">
        <v>114</v>
      </c>
      <c r="I190" s="817"/>
      <c r="J190" s="232" t="s">
        <v>115</v>
      </c>
      <c r="K190" s="232" t="s">
        <v>116</v>
      </c>
      <c r="L190" s="232" t="s">
        <v>117</v>
      </c>
      <c r="M190" s="232" t="s">
        <v>118</v>
      </c>
      <c r="N190" s="232" t="s">
        <v>119</v>
      </c>
    </row>
    <row r="191" spans="2:14" ht="30.75" customHeight="1" x14ac:dyDescent="0.25">
      <c r="B191" s="225">
        <v>0</v>
      </c>
      <c r="C191" s="225">
        <v>0</v>
      </c>
      <c r="D191" s="225">
        <v>0</v>
      </c>
      <c r="E191" s="225">
        <v>0</v>
      </c>
      <c r="F191" s="225">
        <v>0</v>
      </c>
      <c r="G191" s="225">
        <v>0</v>
      </c>
      <c r="H191" s="818">
        <v>0</v>
      </c>
      <c r="I191" s="819"/>
      <c r="J191" s="225">
        <v>0</v>
      </c>
      <c r="K191" s="225">
        <v>0</v>
      </c>
      <c r="L191" s="225">
        <v>0</v>
      </c>
      <c r="M191" s="225">
        <v>0</v>
      </c>
      <c r="N191" s="225">
        <v>0</v>
      </c>
    </row>
    <row r="192" spans="2:14" ht="5.25" customHeight="1" x14ac:dyDescent="0.25"/>
    <row r="193" spans="2:14" ht="15" x14ac:dyDescent="0.25">
      <c r="B193" s="232" t="s">
        <v>108</v>
      </c>
      <c r="C193" s="232" t="s">
        <v>109</v>
      </c>
      <c r="D193" s="232" t="s">
        <v>110</v>
      </c>
      <c r="E193" s="232" t="s">
        <v>111</v>
      </c>
      <c r="F193" s="232" t="s">
        <v>112</v>
      </c>
      <c r="G193" s="232" t="s">
        <v>113</v>
      </c>
      <c r="H193" s="817" t="s">
        <v>114</v>
      </c>
      <c r="I193" s="817"/>
      <c r="J193" s="232" t="s">
        <v>115</v>
      </c>
      <c r="K193" s="232" t="s">
        <v>116</v>
      </c>
      <c r="L193" s="232" t="s">
        <v>117</v>
      </c>
      <c r="M193" s="232" t="s">
        <v>118</v>
      </c>
      <c r="N193" s="232" t="s">
        <v>119</v>
      </c>
    </row>
    <row r="194" spans="2:14" ht="30.75" customHeight="1" x14ac:dyDescent="0.25">
      <c r="B194" s="225">
        <v>0</v>
      </c>
      <c r="C194" s="225">
        <v>0</v>
      </c>
      <c r="D194" s="225">
        <v>0</v>
      </c>
      <c r="E194" s="225">
        <v>0</v>
      </c>
      <c r="F194" s="225">
        <v>0</v>
      </c>
      <c r="G194" s="225">
        <v>0</v>
      </c>
      <c r="H194" s="818">
        <v>0</v>
      </c>
      <c r="I194" s="819"/>
      <c r="J194" s="225">
        <v>0</v>
      </c>
      <c r="K194" s="225">
        <v>0</v>
      </c>
      <c r="L194" s="225">
        <v>0</v>
      </c>
      <c r="M194" s="225">
        <v>0</v>
      </c>
      <c r="N194" s="225">
        <v>0</v>
      </c>
    </row>
    <row r="196" spans="2:14" ht="31.5" x14ac:dyDescent="0.25">
      <c r="B196" s="820"/>
      <c r="C196" s="821"/>
      <c r="D196" s="822"/>
      <c r="E196" s="514" t="s">
        <v>64</v>
      </c>
      <c r="F196" s="515"/>
      <c r="G196" s="515"/>
      <c r="H196" s="515"/>
      <c r="I196" s="516"/>
      <c r="J196" s="79" t="s">
        <v>101</v>
      </c>
      <c r="K196" s="81">
        <v>0.5</v>
      </c>
      <c r="L196" s="834">
        <v>0.75</v>
      </c>
      <c r="M196" s="835"/>
      <c r="N196" s="809">
        <f>AVERAGE(L196,L197)</f>
        <v>0.625</v>
      </c>
    </row>
    <row r="197" spans="2:14" ht="31.5" x14ac:dyDescent="0.25">
      <c r="B197" s="824"/>
      <c r="C197" s="825"/>
      <c r="D197" s="826"/>
      <c r="E197" s="520"/>
      <c r="F197" s="521"/>
      <c r="G197" s="521"/>
      <c r="H197" s="521"/>
      <c r="I197" s="522"/>
      <c r="J197" s="231" t="s">
        <v>100</v>
      </c>
      <c r="K197" s="81">
        <v>0.25</v>
      </c>
      <c r="L197" s="834">
        <v>0.5</v>
      </c>
      <c r="M197" s="835"/>
      <c r="N197" s="810"/>
    </row>
    <row r="198" spans="2:14" ht="5.25" customHeight="1" x14ac:dyDescent="0.25">
      <c r="J198" s="233"/>
    </row>
    <row r="199" spans="2:14" ht="15" x14ac:dyDescent="0.25">
      <c r="B199" s="232" t="s">
        <v>108</v>
      </c>
      <c r="C199" s="232" t="s">
        <v>109</v>
      </c>
      <c r="D199" s="232" t="s">
        <v>110</v>
      </c>
      <c r="E199" s="232" t="s">
        <v>111</v>
      </c>
      <c r="F199" s="232" t="s">
        <v>112</v>
      </c>
      <c r="G199" s="232" t="s">
        <v>113</v>
      </c>
      <c r="H199" s="817" t="s">
        <v>114</v>
      </c>
      <c r="I199" s="817"/>
      <c r="J199" s="232" t="s">
        <v>115</v>
      </c>
      <c r="K199" s="232" t="s">
        <v>116</v>
      </c>
      <c r="L199" s="232" t="s">
        <v>117</v>
      </c>
      <c r="M199" s="232" t="s">
        <v>118</v>
      </c>
      <c r="N199" s="232" t="s">
        <v>119</v>
      </c>
    </row>
    <row r="200" spans="2:14" ht="30.75" customHeight="1" x14ac:dyDescent="0.25">
      <c r="B200" s="225">
        <v>0.1</v>
      </c>
      <c r="C200" s="225">
        <v>0.2</v>
      </c>
      <c r="D200" s="225">
        <v>0.35</v>
      </c>
      <c r="E200" s="225">
        <v>0</v>
      </c>
      <c r="F200" s="225">
        <v>0</v>
      </c>
      <c r="G200" s="225">
        <v>0</v>
      </c>
      <c r="H200" s="818">
        <v>0</v>
      </c>
      <c r="I200" s="819"/>
      <c r="J200" s="225">
        <v>0</v>
      </c>
      <c r="K200" s="225">
        <v>0</v>
      </c>
      <c r="L200" s="225">
        <v>0</v>
      </c>
      <c r="M200" s="225">
        <v>0</v>
      </c>
      <c r="N200" s="225">
        <v>0</v>
      </c>
    </row>
    <row r="201" spans="2:14" ht="6.75" customHeight="1" x14ac:dyDescent="0.25">
      <c r="B201" s="318">
        <f t="shared" ref="B201:G201" si="1">+AVERAGE(B200,B203)</f>
        <v>0.05</v>
      </c>
      <c r="C201" s="318">
        <f t="shared" si="1"/>
        <v>0.1</v>
      </c>
      <c r="D201" s="318">
        <f t="shared" si="1"/>
        <v>0.17499999999999999</v>
      </c>
      <c r="E201" s="318">
        <f t="shared" si="1"/>
        <v>0</v>
      </c>
      <c r="F201" s="318">
        <f t="shared" si="1"/>
        <v>0</v>
      </c>
      <c r="G201" s="318">
        <f t="shared" si="1"/>
        <v>0</v>
      </c>
      <c r="H201" s="811">
        <f>AVERAGE(H200,H203)</f>
        <v>0</v>
      </c>
      <c r="I201" s="812"/>
      <c r="J201" s="319">
        <f>AVERAGE(J200,J203)</f>
        <v>0</v>
      </c>
      <c r="K201" s="319">
        <f>AVERAGE(K200,K203)</f>
        <v>0</v>
      </c>
      <c r="L201" s="319">
        <f>AVERAGE(L200,L203)</f>
        <v>0</v>
      </c>
      <c r="M201" s="319">
        <f>AVERAGE(M200,M203)</f>
        <v>0</v>
      </c>
      <c r="N201" s="319">
        <f>AVERAGE(N200,N203)</f>
        <v>0</v>
      </c>
    </row>
    <row r="202" spans="2:14" ht="15" x14ac:dyDescent="0.25">
      <c r="B202" s="232" t="s">
        <v>108</v>
      </c>
      <c r="C202" s="232" t="s">
        <v>109</v>
      </c>
      <c r="D202" s="232" t="s">
        <v>110</v>
      </c>
      <c r="E202" s="232" t="s">
        <v>111</v>
      </c>
      <c r="F202" s="232" t="s">
        <v>112</v>
      </c>
      <c r="G202" s="232" t="s">
        <v>113</v>
      </c>
      <c r="H202" s="817" t="s">
        <v>114</v>
      </c>
      <c r="I202" s="817"/>
      <c r="J202" s="232" t="s">
        <v>115</v>
      </c>
      <c r="K202" s="232" t="s">
        <v>116</v>
      </c>
      <c r="L202" s="232" t="s">
        <v>117</v>
      </c>
      <c r="M202" s="232" t="s">
        <v>118</v>
      </c>
      <c r="N202" s="232" t="s">
        <v>119</v>
      </c>
    </row>
    <row r="203" spans="2:14" ht="30.75" customHeight="1" x14ac:dyDescent="0.25">
      <c r="B203" s="225">
        <v>0</v>
      </c>
      <c r="C203" s="225">
        <v>0</v>
      </c>
      <c r="D203" s="225">
        <v>0</v>
      </c>
      <c r="E203" s="225">
        <v>0</v>
      </c>
      <c r="F203" s="225">
        <v>0</v>
      </c>
      <c r="G203" s="225">
        <v>0</v>
      </c>
      <c r="H203" s="818">
        <v>0</v>
      </c>
      <c r="I203" s="819"/>
      <c r="J203" s="225">
        <v>0</v>
      </c>
      <c r="K203" s="225">
        <v>0</v>
      </c>
      <c r="L203" s="225">
        <v>0</v>
      </c>
      <c r="M203" s="225">
        <v>0</v>
      </c>
      <c r="N203" s="225">
        <v>0</v>
      </c>
    </row>
    <row r="204" spans="2:14" ht="15" customHeight="1" x14ac:dyDescent="0.25"/>
    <row r="205" spans="2:14" ht="31.5" x14ac:dyDescent="0.25">
      <c r="B205" s="820"/>
      <c r="C205" s="821"/>
      <c r="D205" s="822"/>
      <c r="E205" s="514" t="s">
        <v>482</v>
      </c>
      <c r="F205" s="515"/>
      <c r="G205" s="515"/>
      <c r="H205" s="515"/>
      <c r="I205" s="516"/>
      <c r="J205" s="79" t="s">
        <v>101</v>
      </c>
      <c r="K205" s="81">
        <v>0.9</v>
      </c>
      <c r="L205" s="834">
        <v>1</v>
      </c>
      <c r="M205" s="835"/>
      <c r="N205" s="809">
        <f>AVERAGE(L205,L206)</f>
        <v>0.75</v>
      </c>
    </row>
    <row r="206" spans="2:14" ht="31.5" x14ac:dyDescent="0.25">
      <c r="B206" s="824"/>
      <c r="C206" s="825"/>
      <c r="D206" s="826"/>
      <c r="E206" s="520"/>
      <c r="F206" s="521"/>
      <c r="G206" s="521"/>
      <c r="H206" s="521"/>
      <c r="I206" s="522"/>
      <c r="J206" s="231" t="s">
        <v>100</v>
      </c>
      <c r="K206" s="81">
        <v>0.05</v>
      </c>
      <c r="L206" s="834">
        <v>0.5</v>
      </c>
      <c r="M206" s="835"/>
      <c r="N206" s="810"/>
    </row>
    <row r="207" spans="2:14" ht="6" customHeight="1" x14ac:dyDescent="0.25">
      <c r="J207" s="233"/>
    </row>
    <row r="208" spans="2:14" ht="15" x14ac:dyDescent="0.25">
      <c r="B208" s="232" t="s">
        <v>108</v>
      </c>
      <c r="C208" s="232" t="s">
        <v>109</v>
      </c>
      <c r="D208" s="232" t="s">
        <v>110</v>
      </c>
      <c r="E208" s="232" t="s">
        <v>111</v>
      </c>
      <c r="F208" s="232" t="s">
        <v>112</v>
      </c>
      <c r="G208" s="232" t="s">
        <v>113</v>
      </c>
      <c r="H208" s="817" t="s">
        <v>114</v>
      </c>
      <c r="I208" s="817"/>
      <c r="J208" s="232" t="s">
        <v>115</v>
      </c>
      <c r="K208" s="232" t="s">
        <v>116</v>
      </c>
      <c r="L208" s="232" t="s">
        <v>117</v>
      </c>
      <c r="M208" s="232" t="s">
        <v>118</v>
      </c>
      <c r="N208" s="232" t="s">
        <v>119</v>
      </c>
    </row>
    <row r="209" spans="2:14" ht="30" customHeight="1" x14ac:dyDescent="0.25">
      <c r="B209" s="225">
        <v>0.2</v>
      </c>
      <c r="C209" s="225">
        <v>0.6</v>
      </c>
      <c r="D209" s="225">
        <v>0.9</v>
      </c>
      <c r="E209" s="225">
        <v>0</v>
      </c>
      <c r="F209" s="225">
        <v>0</v>
      </c>
      <c r="G209" s="225">
        <v>0</v>
      </c>
      <c r="H209" s="818">
        <v>0</v>
      </c>
      <c r="I209" s="819"/>
      <c r="J209" s="225">
        <v>0</v>
      </c>
      <c r="K209" s="225">
        <v>0</v>
      </c>
      <c r="L209" s="225">
        <v>0</v>
      </c>
      <c r="M209" s="225">
        <v>0</v>
      </c>
      <c r="N209" s="225">
        <v>0</v>
      </c>
    </row>
    <row r="210" spans="2:14" ht="4.5" customHeight="1" x14ac:dyDescent="0.25">
      <c r="B210" s="318">
        <f t="shared" ref="B210:H210" si="2">AVERAGE(B209,B212)</f>
        <v>0.115</v>
      </c>
      <c r="C210" s="318">
        <f t="shared" si="2"/>
        <v>0.315</v>
      </c>
      <c r="D210" s="318">
        <f t="shared" si="2"/>
        <v>0.47500000000000003</v>
      </c>
      <c r="E210" s="318">
        <f t="shared" si="2"/>
        <v>0</v>
      </c>
      <c r="F210" s="318">
        <f t="shared" si="2"/>
        <v>0</v>
      </c>
      <c r="G210" s="318">
        <f t="shared" si="2"/>
        <v>0</v>
      </c>
      <c r="H210" s="811">
        <f t="shared" si="2"/>
        <v>0</v>
      </c>
      <c r="I210" s="812"/>
      <c r="J210" s="319">
        <f>AVERAGE(J209,J212)</f>
        <v>0</v>
      </c>
      <c r="K210" s="319">
        <f>AVERAGE(K209,K212)</f>
        <v>0</v>
      </c>
      <c r="L210" s="319">
        <f>AVERAGE(L209,L212)</f>
        <v>0</v>
      </c>
      <c r="M210" s="319">
        <f>AVERAGE(M209,M212)</f>
        <v>0</v>
      </c>
      <c r="N210" s="319">
        <f>AVERAGE(N209,N212)</f>
        <v>0</v>
      </c>
    </row>
    <row r="211" spans="2:14" ht="15" x14ac:dyDescent="0.25">
      <c r="B211" s="232" t="s">
        <v>108</v>
      </c>
      <c r="C211" s="232" t="s">
        <v>109</v>
      </c>
      <c r="D211" s="232" t="s">
        <v>110</v>
      </c>
      <c r="E211" s="232" t="s">
        <v>111</v>
      </c>
      <c r="F211" s="232" t="s">
        <v>112</v>
      </c>
      <c r="G211" s="232" t="s">
        <v>113</v>
      </c>
      <c r="H211" s="817" t="s">
        <v>114</v>
      </c>
      <c r="I211" s="817"/>
      <c r="J211" s="232" t="s">
        <v>115</v>
      </c>
      <c r="K211" s="232" t="s">
        <v>116</v>
      </c>
      <c r="L211" s="232" t="s">
        <v>117</v>
      </c>
      <c r="M211" s="232" t="s">
        <v>118</v>
      </c>
      <c r="N211" s="232" t="s">
        <v>119</v>
      </c>
    </row>
    <row r="212" spans="2:14" ht="30" customHeight="1" x14ac:dyDescent="0.25">
      <c r="B212" s="225">
        <v>0.03</v>
      </c>
      <c r="C212" s="225">
        <v>0.03</v>
      </c>
      <c r="D212" s="225">
        <v>0.05</v>
      </c>
      <c r="E212" s="225">
        <v>0</v>
      </c>
      <c r="F212" s="225">
        <v>0</v>
      </c>
      <c r="G212" s="225">
        <v>0</v>
      </c>
      <c r="H212" s="818">
        <v>0</v>
      </c>
      <c r="I212" s="819"/>
      <c r="J212" s="225">
        <v>0</v>
      </c>
      <c r="K212" s="225">
        <v>0</v>
      </c>
      <c r="L212" s="225">
        <v>0</v>
      </c>
      <c r="M212" s="225">
        <v>0</v>
      </c>
      <c r="N212" s="225">
        <v>0</v>
      </c>
    </row>
    <row r="214" spans="2:14" x14ac:dyDescent="0.25">
      <c r="B214" s="820" t="s">
        <v>66</v>
      </c>
      <c r="C214" s="821"/>
      <c r="D214" s="822"/>
      <c r="E214" s="514" t="s">
        <v>65</v>
      </c>
      <c r="F214" s="515"/>
      <c r="G214" s="515"/>
      <c r="H214" s="515"/>
      <c r="I214" s="516"/>
      <c r="J214" s="831"/>
      <c r="K214" s="85" t="s">
        <v>80</v>
      </c>
      <c r="L214" s="829">
        <v>0.6</v>
      </c>
      <c r="M214" s="830"/>
    </row>
    <row r="215" spans="2:14" x14ac:dyDescent="0.25">
      <c r="B215" s="823"/>
      <c r="C215" s="509"/>
      <c r="D215" s="510"/>
      <c r="E215" s="517"/>
      <c r="F215" s="518"/>
      <c r="G215" s="518"/>
      <c r="H215" s="518"/>
      <c r="I215" s="519"/>
      <c r="J215" s="832"/>
      <c r="K215" s="86" t="s">
        <v>102</v>
      </c>
      <c r="L215" s="829">
        <v>0.5</v>
      </c>
      <c r="M215" s="830"/>
    </row>
    <row r="216" spans="2:14" x14ac:dyDescent="0.25">
      <c r="B216" s="824"/>
      <c r="C216" s="825"/>
      <c r="D216" s="826"/>
      <c r="E216" s="520"/>
      <c r="F216" s="521"/>
      <c r="G216" s="521"/>
      <c r="H216" s="521"/>
      <c r="I216" s="522"/>
      <c r="J216" s="833"/>
      <c r="K216" s="87" t="s">
        <v>82</v>
      </c>
      <c r="L216" s="829">
        <v>0.4</v>
      </c>
      <c r="M216" s="830"/>
    </row>
    <row r="217" spans="2:14" ht="5.25" customHeight="1" x14ac:dyDescent="0.25">
      <c r="J217" s="233"/>
    </row>
    <row r="218" spans="2:14" ht="15" x14ac:dyDescent="0.25">
      <c r="B218" s="232" t="s">
        <v>108</v>
      </c>
      <c r="C218" s="232" t="s">
        <v>109</v>
      </c>
      <c r="D218" s="232" t="s">
        <v>110</v>
      </c>
      <c r="E218" s="232" t="s">
        <v>111</v>
      </c>
      <c r="F218" s="232" t="s">
        <v>112</v>
      </c>
      <c r="G218" s="232" t="s">
        <v>113</v>
      </c>
      <c r="H218" s="817" t="s">
        <v>114</v>
      </c>
      <c r="I218" s="817"/>
      <c r="J218" s="232" t="s">
        <v>115</v>
      </c>
      <c r="K218" s="232" t="s">
        <v>116</v>
      </c>
      <c r="L218" s="232" t="s">
        <v>117</v>
      </c>
      <c r="M218" s="232" t="s">
        <v>118</v>
      </c>
      <c r="N218" s="232" t="s">
        <v>119</v>
      </c>
    </row>
    <row r="219" spans="2:14" ht="30" customHeight="1" x14ac:dyDescent="0.25">
      <c r="B219" s="225">
        <v>0.75</v>
      </c>
      <c r="C219" s="225">
        <v>0.75</v>
      </c>
      <c r="D219" s="225">
        <v>0.75</v>
      </c>
      <c r="E219" s="225">
        <v>0.75</v>
      </c>
      <c r="F219" s="225">
        <v>0.75</v>
      </c>
      <c r="G219" s="225">
        <v>0.8</v>
      </c>
      <c r="H219" s="818">
        <v>0</v>
      </c>
      <c r="I219" s="819"/>
      <c r="J219" s="225">
        <v>0</v>
      </c>
      <c r="K219" s="225">
        <v>0</v>
      </c>
      <c r="L219" s="225">
        <v>0</v>
      </c>
      <c r="M219" s="225">
        <v>0</v>
      </c>
      <c r="N219" s="225">
        <v>0</v>
      </c>
    </row>
    <row r="220" spans="2:14" ht="6" customHeight="1" x14ac:dyDescent="0.25"/>
    <row r="221" spans="2:14" x14ac:dyDescent="0.25">
      <c r="B221" s="820" t="s">
        <v>67</v>
      </c>
      <c r="C221" s="821"/>
      <c r="D221" s="822"/>
      <c r="E221" s="514" t="s">
        <v>68</v>
      </c>
      <c r="F221" s="515"/>
      <c r="G221" s="515"/>
      <c r="H221" s="515"/>
      <c r="I221" s="516"/>
      <c r="J221" s="89">
        <v>44075</v>
      </c>
      <c r="K221" s="65" t="s">
        <v>80</v>
      </c>
      <c r="L221" s="815">
        <v>0.89</v>
      </c>
      <c r="M221" s="816"/>
    </row>
    <row r="222" spans="2:14" x14ac:dyDescent="0.25">
      <c r="B222" s="823"/>
      <c r="C222" s="509"/>
      <c r="D222" s="510"/>
      <c r="E222" s="517"/>
      <c r="F222" s="518"/>
      <c r="G222" s="518"/>
      <c r="H222" s="518"/>
      <c r="I222" s="519"/>
      <c r="J222" s="604">
        <v>0.83</v>
      </c>
      <c r="K222" s="66" t="s">
        <v>81</v>
      </c>
      <c r="L222" s="815">
        <v>0.85</v>
      </c>
      <c r="M222" s="816"/>
    </row>
    <row r="223" spans="2:14" x14ac:dyDescent="0.25">
      <c r="B223" s="824"/>
      <c r="C223" s="825"/>
      <c r="D223" s="826"/>
      <c r="E223" s="520"/>
      <c r="F223" s="521"/>
      <c r="G223" s="521"/>
      <c r="H223" s="521"/>
      <c r="I223" s="522"/>
      <c r="J223" s="605"/>
      <c r="K223" s="67" t="s">
        <v>82</v>
      </c>
      <c r="L223" s="815">
        <f>+J222</f>
        <v>0.83</v>
      </c>
      <c r="M223" s="816"/>
    </row>
    <row r="224" spans="2:14" ht="7.5" customHeight="1" x14ac:dyDescent="0.25">
      <c r="J224" s="233"/>
    </row>
    <row r="225" spans="2:14" ht="15" x14ac:dyDescent="0.25">
      <c r="B225" s="232" t="s">
        <v>108</v>
      </c>
      <c r="C225" s="232" t="s">
        <v>109</v>
      </c>
      <c r="D225" s="232" t="s">
        <v>110</v>
      </c>
      <c r="E225" s="232" t="s">
        <v>111</v>
      </c>
      <c r="F225" s="232" t="s">
        <v>112</v>
      </c>
      <c r="G225" s="232" t="s">
        <v>113</v>
      </c>
      <c r="H225" s="817" t="s">
        <v>114</v>
      </c>
      <c r="I225" s="817"/>
      <c r="J225" s="232" t="s">
        <v>115</v>
      </c>
      <c r="K225" s="232" t="s">
        <v>116</v>
      </c>
      <c r="L225" s="232" t="s">
        <v>117</v>
      </c>
      <c r="M225" s="232" t="s">
        <v>118</v>
      </c>
      <c r="N225" s="232" t="s">
        <v>119</v>
      </c>
    </row>
    <row r="226" spans="2:14" ht="30" customHeight="1" x14ac:dyDescent="0.25">
      <c r="B226" s="225">
        <v>1.24</v>
      </c>
      <c r="C226" s="225">
        <v>1.6</v>
      </c>
      <c r="D226" s="225">
        <v>0.88</v>
      </c>
      <c r="E226" s="225">
        <v>0.65</v>
      </c>
      <c r="F226" s="225">
        <v>0.6</v>
      </c>
      <c r="G226" s="225">
        <v>0.9</v>
      </c>
      <c r="H226" s="818">
        <v>0</v>
      </c>
      <c r="I226" s="819"/>
      <c r="J226" s="225">
        <v>0</v>
      </c>
      <c r="K226" s="225">
        <v>0</v>
      </c>
      <c r="L226" s="225">
        <v>0</v>
      </c>
      <c r="M226" s="225">
        <v>0</v>
      </c>
      <c r="N226" s="225">
        <v>0</v>
      </c>
    </row>
    <row r="227" spans="2:14" ht="8.25" customHeight="1" x14ac:dyDescent="0.25"/>
    <row r="228" spans="2:14" x14ac:dyDescent="0.25">
      <c r="B228" s="820"/>
      <c r="C228" s="821"/>
      <c r="D228" s="822"/>
      <c r="E228" s="514" t="s">
        <v>69</v>
      </c>
      <c r="F228" s="515"/>
      <c r="G228" s="515"/>
      <c r="H228" s="515"/>
      <c r="I228" s="516"/>
      <c r="J228" s="606"/>
      <c r="K228" s="65" t="s">
        <v>80</v>
      </c>
      <c r="L228" s="815">
        <v>0.89</v>
      </c>
      <c r="M228" s="816"/>
    </row>
    <row r="229" spans="2:14" x14ac:dyDescent="0.25">
      <c r="B229" s="823"/>
      <c r="C229" s="509"/>
      <c r="D229" s="510"/>
      <c r="E229" s="517"/>
      <c r="F229" s="518"/>
      <c r="G229" s="518"/>
      <c r="H229" s="518"/>
      <c r="I229" s="519"/>
      <c r="J229" s="607"/>
      <c r="K229" s="66" t="s">
        <v>81</v>
      </c>
      <c r="L229" s="815">
        <v>0.85</v>
      </c>
      <c r="M229" s="816"/>
    </row>
    <row r="230" spans="2:14" x14ac:dyDescent="0.25">
      <c r="B230" s="824"/>
      <c r="C230" s="825"/>
      <c r="D230" s="826"/>
      <c r="E230" s="520"/>
      <c r="F230" s="521"/>
      <c r="G230" s="521"/>
      <c r="H230" s="521"/>
      <c r="I230" s="522"/>
      <c r="J230" s="608"/>
      <c r="K230" s="67" t="s">
        <v>82</v>
      </c>
      <c r="L230" s="815">
        <f>+J226</f>
        <v>0</v>
      </c>
      <c r="M230" s="816"/>
    </row>
    <row r="231" spans="2:14" ht="6" customHeight="1" x14ac:dyDescent="0.25">
      <c r="J231" s="233"/>
    </row>
    <row r="232" spans="2:14" ht="15" x14ac:dyDescent="0.25">
      <c r="B232" s="232" t="s">
        <v>108</v>
      </c>
      <c r="C232" s="232" t="s">
        <v>109</v>
      </c>
      <c r="D232" s="232" t="s">
        <v>110</v>
      </c>
      <c r="E232" s="232" t="s">
        <v>111</v>
      </c>
      <c r="F232" s="232" t="s">
        <v>112</v>
      </c>
      <c r="G232" s="232" t="s">
        <v>113</v>
      </c>
      <c r="H232" s="817" t="s">
        <v>114</v>
      </c>
      <c r="I232" s="817"/>
      <c r="J232" s="232" t="s">
        <v>115</v>
      </c>
      <c r="K232" s="232" t="s">
        <v>116</v>
      </c>
      <c r="L232" s="232" t="s">
        <v>117</v>
      </c>
      <c r="M232" s="232" t="s">
        <v>118</v>
      </c>
      <c r="N232" s="232" t="s">
        <v>119</v>
      </c>
    </row>
    <row r="233" spans="2:14" ht="30" customHeight="1" x14ac:dyDescent="0.25">
      <c r="B233" s="225">
        <v>1.24</v>
      </c>
      <c r="C233" s="225">
        <v>1.6</v>
      </c>
      <c r="D233" s="225">
        <v>0.88</v>
      </c>
      <c r="E233" s="225">
        <v>0</v>
      </c>
      <c r="F233" s="225">
        <v>0</v>
      </c>
      <c r="G233" s="225">
        <v>0</v>
      </c>
      <c r="H233" s="818">
        <v>0</v>
      </c>
      <c r="I233" s="819"/>
      <c r="J233" s="225">
        <v>0</v>
      </c>
      <c r="K233" s="225">
        <v>0</v>
      </c>
      <c r="L233" s="225">
        <v>0</v>
      </c>
      <c r="M233" s="225">
        <v>0</v>
      </c>
      <c r="N233" s="225">
        <v>0</v>
      </c>
    </row>
    <row r="235" spans="2:14" ht="18.75" x14ac:dyDescent="0.25">
      <c r="B235" s="450" t="s">
        <v>103</v>
      </c>
      <c r="C235" s="450"/>
      <c r="D235" s="450"/>
      <c r="E235" s="504" t="s">
        <v>104</v>
      </c>
      <c r="F235" s="827"/>
      <c r="G235" s="827"/>
      <c r="H235" s="827"/>
      <c r="I235" s="827"/>
      <c r="J235" s="827"/>
      <c r="K235" s="827"/>
      <c r="L235" s="827"/>
      <c r="M235" s="828"/>
    </row>
    <row r="236" spans="2:14" ht="7.5" customHeight="1" x14ac:dyDescent="0.25"/>
    <row r="237" spans="2:14" x14ac:dyDescent="0.25">
      <c r="B237" s="820" t="s">
        <v>105</v>
      </c>
      <c r="C237" s="821"/>
      <c r="D237" s="822"/>
      <c r="E237" s="514" t="s">
        <v>72</v>
      </c>
      <c r="F237" s="515"/>
      <c r="G237" s="515"/>
      <c r="H237" s="515"/>
      <c r="I237" s="516"/>
      <c r="J237" s="621">
        <v>0</v>
      </c>
      <c r="K237" s="85" t="s">
        <v>80</v>
      </c>
      <c r="L237" s="829">
        <v>0.3</v>
      </c>
      <c r="M237" s="830"/>
    </row>
    <row r="238" spans="2:14" x14ac:dyDescent="0.25">
      <c r="B238" s="823"/>
      <c r="C238" s="509"/>
      <c r="D238" s="510"/>
      <c r="E238" s="517"/>
      <c r="F238" s="518"/>
      <c r="G238" s="518"/>
      <c r="H238" s="518"/>
      <c r="I238" s="519"/>
      <c r="J238" s="622"/>
      <c r="K238" s="86" t="s">
        <v>102</v>
      </c>
      <c r="L238" s="829">
        <v>0.25</v>
      </c>
      <c r="M238" s="830"/>
    </row>
    <row r="239" spans="2:14" x14ac:dyDescent="0.25">
      <c r="B239" s="824"/>
      <c r="C239" s="825"/>
      <c r="D239" s="826"/>
      <c r="E239" s="520"/>
      <c r="F239" s="521"/>
      <c r="G239" s="521"/>
      <c r="H239" s="521"/>
      <c r="I239" s="522"/>
      <c r="J239" s="623"/>
      <c r="K239" s="87" t="s">
        <v>82</v>
      </c>
      <c r="L239" s="829">
        <v>0.2</v>
      </c>
      <c r="M239" s="830"/>
    </row>
    <row r="240" spans="2:14" ht="4.5" customHeight="1" x14ac:dyDescent="0.25">
      <c r="J240" s="233"/>
    </row>
    <row r="241" spans="2:14" ht="15" x14ac:dyDescent="0.25">
      <c r="B241" s="232" t="s">
        <v>108</v>
      </c>
      <c r="C241" s="232" t="s">
        <v>109</v>
      </c>
      <c r="D241" s="232" t="s">
        <v>110</v>
      </c>
      <c r="E241" s="232" t="s">
        <v>111</v>
      </c>
      <c r="F241" s="232" t="s">
        <v>112</v>
      </c>
      <c r="G241" s="232" t="s">
        <v>113</v>
      </c>
      <c r="H241" s="817" t="s">
        <v>114</v>
      </c>
      <c r="I241" s="817"/>
      <c r="J241" s="232" t="s">
        <v>115</v>
      </c>
      <c r="K241" s="232" t="s">
        <v>116</v>
      </c>
      <c r="L241" s="232" t="s">
        <v>117</v>
      </c>
      <c r="M241" s="232" t="s">
        <v>118</v>
      </c>
      <c r="N241" s="232" t="s">
        <v>119</v>
      </c>
    </row>
    <row r="242" spans="2:14" ht="30" customHeight="1" x14ac:dyDescent="0.25">
      <c r="B242" s="225">
        <v>0.02</v>
      </c>
      <c r="C242" s="225">
        <v>0.04</v>
      </c>
      <c r="D242" s="225">
        <v>0.06</v>
      </c>
      <c r="E242" s="225">
        <v>0</v>
      </c>
      <c r="F242" s="225">
        <v>0</v>
      </c>
      <c r="G242" s="225">
        <v>0</v>
      </c>
      <c r="H242" s="818">
        <v>0</v>
      </c>
      <c r="I242" s="819"/>
      <c r="J242" s="225">
        <v>0</v>
      </c>
      <c r="K242" s="225">
        <v>0</v>
      </c>
      <c r="L242" s="225">
        <v>0</v>
      </c>
      <c r="M242" s="225">
        <v>0</v>
      </c>
      <c r="N242" s="225">
        <v>0</v>
      </c>
    </row>
    <row r="244" spans="2:14" x14ac:dyDescent="0.25">
      <c r="B244" s="820" t="s">
        <v>75</v>
      </c>
      <c r="C244" s="821"/>
      <c r="D244" s="822"/>
      <c r="E244" s="514" t="s">
        <v>73</v>
      </c>
      <c r="F244" s="515"/>
      <c r="G244" s="515"/>
      <c r="H244" s="515"/>
      <c r="I244" s="516"/>
      <c r="J244" s="89">
        <v>43739</v>
      </c>
      <c r="K244" s="65" t="s">
        <v>80</v>
      </c>
      <c r="L244" s="815">
        <v>0.8</v>
      </c>
      <c r="M244" s="816"/>
    </row>
    <row r="245" spans="2:14" x14ac:dyDescent="0.25">
      <c r="B245" s="823"/>
      <c r="C245" s="509"/>
      <c r="D245" s="510"/>
      <c r="E245" s="517"/>
      <c r="F245" s="518"/>
      <c r="G245" s="518"/>
      <c r="H245" s="518"/>
      <c r="I245" s="519"/>
      <c r="J245" s="604">
        <v>0.7</v>
      </c>
      <c r="K245" s="66" t="s">
        <v>81</v>
      </c>
      <c r="L245" s="815">
        <v>0.75</v>
      </c>
      <c r="M245" s="816"/>
    </row>
    <row r="246" spans="2:14" x14ac:dyDescent="0.25">
      <c r="B246" s="824"/>
      <c r="C246" s="825"/>
      <c r="D246" s="826"/>
      <c r="E246" s="520"/>
      <c r="F246" s="521"/>
      <c r="G246" s="521"/>
      <c r="H246" s="521"/>
      <c r="I246" s="522"/>
      <c r="J246" s="605"/>
      <c r="K246" s="67" t="s">
        <v>82</v>
      </c>
      <c r="L246" s="815">
        <v>0.7</v>
      </c>
      <c r="M246" s="816"/>
    </row>
    <row r="247" spans="2:14" ht="6.75" customHeight="1" x14ac:dyDescent="0.25">
      <c r="J247" s="233"/>
    </row>
    <row r="248" spans="2:14" ht="15" x14ac:dyDescent="0.25">
      <c r="B248" s="232" t="s">
        <v>108</v>
      </c>
      <c r="C248" s="232" t="s">
        <v>109</v>
      </c>
      <c r="D248" s="232" t="s">
        <v>110</v>
      </c>
      <c r="E248" s="232" t="s">
        <v>111</v>
      </c>
      <c r="F248" s="232" t="s">
        <v>112</v>
      </c>
      <c r="G248" s="232" t="s">
        <v>113</v>
      </c>
      <c r="H248" s="817" t="s">
        <v>114</v>
      </c>
      <c r="I248" s="817"/>
      <c r="J248" s="232" t="s">
        <v>115</v>
      </c>
      <c r="K248" s="232" t="s">
        <v>116</v>
      </c>
      <c r="L248" s="232" t="s">
        <v>117</v>
      </c>
      <c r="M248" s="232" t="s">
        <v>118</v>
      </c>
      <c r="N248" s="232" t="s">
        <v>119</v>
      </c>
    </row>
    <row r="249" spans="2:14" ht="30" customHeight="1" x14ac:dyDescent="0.25">
      <c r="B249" s="305">
        <v>0.78</v>
      </c>
      <c r="C249" s="227">
        <v>0.78</v>
      </c>
      <c r="D249" s="227">
        <v>0.78</v>
      </c>
      <c r="E249" s="227">
        <v>0.78</v>
      </c>
      <c r="F249" s="227">
        <v>0.78</v>
      </c>
      <c r="G249" s="225">
        <v>0</v>
      </c>
      <c r="H249" s="818">
        <v>0</v>
      </c>
      <c r="I249" s="819"/>
      <c r="J249" s="225">
        <v>0</v>
      </c>
      <c r="K249" s="225">
        <v>0</v>
      </c>
      <c r="L249" s="225">
        <v>0</v>
      </c>
      <c r="M249" s="225">
        <v>0</v>
      </c>
      <c r="N249" s="225">
        <v>0</v>
      </c>
    </row>
    <row r="251" spans="2:14" x14ac:dyDescent="0.25">
      <c r="B251" s="820" t="s">
        <v>76</v>
      </c>
      <c r="C251" s="821"/>
      <c r="D251" s="822"/>
      <c r="E251" s="514" t="s">
        <v>74</v>
      </c>
      <c r="F251" s="515"/>
      <c r="G251" s="515"/>
      <c r="H251" s="515"/>
      <c r="I251" s="516"/>
      <c r="J251" s="89">
        <v>44013</v>
      </c>
      <c r="K251" s="65" t="s">
        <v>80</v>
      </c>
      <c r="L251" s="813">
        <v>0.9</v>
      </c>
      <c r="M251" s="814"/>
    </row>
    <row r="252" spans="2:14" x14ac:dyDescent="0.25">
      <c r="B252" s="823"/>
      <c r="C252" s="509"/>
      <c r="D252" s="510"/>
      <c r="E252" s="517"/>
      <c r="F252" s="518"/>
      <c r="G252" s="518"/>
      <c r="H252" s="518"/>
      <c r="I252" s="519"/>
      <c r="J252" s="229">
        <v>0.83930000000000005</v>
      </c>
      <c r="K252" s="66" t="s">
        <v>81</v>
      </c>
      <c r="L252" s="815">
        <v>0.85</v>
      </c>
      <c r="M252" s="816"/>
    </row>
    <row r="253" spans="2:14" x14ac:dyDescent="0.25">
      <c r="B253" s="824"/>
      <c r="C253" s="825"/>
      <c r="D253" s="826"/>
      <c r="E253" s="520"/>
      <c r="F253" s="521"/>
      <c r="G253" s="521"/>
      <c r="H253" s="521"/>
      <c r="I253" s="522"/>
      <c r="J253" s="230">
        <v>0.80269999999999997</v>
      </c>
      <c r="K253" s="67" t="s">
        <v>82</v>
      </c>
      <c r="L253" s="815">
        <v>0.7</v>
      </c>
      <c r="M253" s="816"/>
    </row>
    <row r="254" spans="2:14" ht="6" customHeight="1" x14ac:dyDescent="0.25">
      <c r="J254" s="233"/>
    </row>
    <row r="255" spans="2:14" ht="15" x14ac:dyDescent="0.25">
      <c r="B255" s="232" t="s">
        <v>108</v>
      </c>
      <c r="C255" s="232" t="s">
        <v>109</v>
      </c>
      <c r="D255" s="232" t="s">
        <v>110</v>
      </c>
      <c r="E255" s="232" t="s">
        <v>111</v>
      </c>
      <c r="F255" s="232" t="s">
        <v>112</v>
      </c>
      <c r="G255" s="232" t="s">
        <v>113</v>
      </c>
      <c r="H255" s="817" t="s">
        <v>114</v>
      </c>
      <c r="I255" s="817"/>
      <c r="J255" s="232" t="s">
        <v>115</v>
      </c>
      <c r="K255" s="232" t="s">
        <v>116</v>
      </c>
      <c r="L255" s="232" t="s">
        <v>117</v>
      </c>
      <c r="M255" s="232" t="s">
        <v>118</v>
      </c>
      <c r="N255" s="232" t="s">
        <v>119</v>
      </c>
    </row>
    <row r="256" spans="2:14" ht="30" customHeight="1" x14ac:dyDescent="0.25">
      <c r="B256" s="227">
        <v>0.9294</v>
      </c>
      <c r="C256" s="227">
        <v>0.9294</v>
      </c>
      <c r="D256" s="227">
        <v>0.94110000000000005</v>
      </c>
      <c r="E256" s="227">
        <v>0.94110000000000005</v>
      </c>
      <c r="F256" s="227">
        <v>0.94110000000000005</v>
      </c>
      <c r="G256" s="225">
        <v>0</v>
      </c>
      <c r="H256" s="818">
        <v>0</v>
      </c>
      <c r="I256" s="819"/>
      <c r="J256" s="225">
        <v>0</v>
      </c>
      <c r="K256" s="225">
        <v>0</v>
      </c>
      <c r="L256" s="225">
        <v>0</v>
      </c>
      <c r="M256" s="225">
        <v>0</v>
      </c>
      <c r="N256" s="225">
        <v>0</v>
      </c>
    </row>
  </sheetData>
  <mergeCells count="308">
    <mergeCell ref="P19:P20"/>
    <mergeCell ref="P21:P22"/>
    <mergeCell ref="P23:P24"/>
    <mergeCell ref="H178:I178"/>
    <mergeCell ref="H179:I179"/>
    <mergeCell ref="P13:P14"/>
    <mergeCell ref="P9:P10"/>
    <mergeCell ref="P11:P12"/>
    <mergeCell ref="H171:I171"/>
    <mergeCell ref="H172:I172"/>
    <mergeCell ref="L146:M146"/>
    <mergeCell ref="L147:M147"/>
    <mergeCell ref="L148:M148"/>
    <mergeCell ref="H151:I151"/>
    <mergeCell ref="H115:I115"/>
    <mergeCell ref="H116:I116"/>
    <mergeCell ref="H107:I107"/>
    <mergeCell ref="L97:M97"/>
    <mergeCell ref="L102:M102"/>
    <mergeCell ref="L103:M103"/>
    <mergeCell ref="L104:M104"/>
    <mergeCell ref="L81:M81"/>
    <mergeCell ref="L82:M82"/>
    <mergeCell ref="L83:M83"/>
    <mergeCell ref="E167:I169"/>
    <mergeCell ref="L167:M167"/>
    <mergeCell ref="J168:J169"/>
    <mergeCell ref="L168:M168"/>
    <mergeCell ref="L169:M169"/>
    <mergeCell ref="H157:I157"/>
    <mergeCell ref="H158:I158"/>
    <mergeCell ref="B160:D162"/>
    <mergeCell ref="E160:I162"/>
    <mergeCell ref="J161:J162"/>
    <mergeCell ref="H164:I164"/>
    <mergeCell ref="H136:I136"/>
    <mergeCell ref="H137:I137"/>
    <mergeCell ref="B139:D141"/>
    <mergeCell ref="E139:I141"/>
    <mergeCell ref="L139:M139"/>
    <mergeCell ref="L140:M140"/>
    <mergeCell ref="L141:M141"/>
    <mergeCell ref="H143:I143"/>
    <mergeCell ref="H144:I144"/>
    <mergeCell ref="J140:J141"/>
    <mergeCell ref="B125:D127"/>
    <mergeCell ref="E125:I127"/>
    <mergeCell ref="L125:M125"/>
    <mergeCell ref="L126:M126"/>
    <mergeCell ref="L127:M127"/>
    <mergeCell ref="H129:I129"/>
    <mergeCell ref="H130:I130"/>
    <mergeCell ref="B132:D134"/>
    <mergeCell ref="E132:I134"/>
    <mergeCell ref="L132:M132"/>
    <mergeCell ref="L133:M133"/>
    <mergeCell ref="L134:M134"/>
    <mergeCell ref="B118:D120"/>
    <mergeCell ref="E118:I120"/>
    <mergeCell ref="L118:M118"/>
    <mergeCell ref="L119:M119"/>
    <mergeCell ref="L120:M120"/>
    <mergeCell ref="H122:I122"/>
    <mergeCell ref="H123:I123"/>
    <mergeCell ref="B109:D109"/>
    <mergeCell ref="E109:M109"/>
    <mergeCell ref="B111:D113"/>
    <mergeCell ref="E111:I113"/>
    <mergeCell ref="L111:M111"/>
    <mergeCell ref="L112:M112"/>
    <mergeCell ref="L113:M113"/>
    <mergeCell ref="B114:M114"/>
    <mergeCell ref="L89:M89"/>
    <mergeCell ref="L90:M90"/>
    <mergeCell ref="B101:M101"/>
    <mergeCell ref="J82:J83"/>
    <mergeCell ref="E88:I90"/>
    <mergeCell ref="J89:J90"/>
    <mergeCell ref="J96:J97"/>
    <mergeCell ref="E102:I104"/>
    <mergeCell ref="J103:J104"/>
    <mergeCell ref="L95:M95"/>
    <mergeCell ref="L96:M96"/>
    <mergeCell ref="B94:M94"/>
    <mergeCell ref="H99:I99"/>
    <mergeCell ref="B67:D69"/>
    <mergeCell ref="H64:I64"/>
    <mergeCell ref="H65:I65"/>
    <mergeCell ref="B63:M63"/>
    <mergeCell ref="E53:I55"/>
    <mergeCell ref="H71:I71"/>
    <mergeCell ref="B70:M70"/>
    <mergeCell ref="B73:M73"/>
    <mergeCell ref="L88:M88"/>
    <mergeCell ref="L54:M54"/>
    <mergeCell ref="L55:M55"/>
    <mergeCell ref="L60:M60"/>
    <mergeCell ref="L61:M61"/>
    <mergeCell ref="L62:M62"/>
    <mergeCell ref="B56:M56"/>
    <mergeCell ref="B59:M59"/>
    <mergeCell ref="H58:I58"/>
    <mergeCell ref="B60:D62"/>
    <mergeCell ref="E81:I83"/>
    <mergeCell ref="L67:M67"/>
    <mergeCell ref="L68:M68"/>
    <mergeCell ref="L69:M69"/>
    <mergeCell ref="L74:M74"/>
    <mergeCell ref="L75:M75"/>
    <mergeCell ref="L9:M9"/>
    <mergeCell ref="L11:M11"/>
    <mergeCell ref="L8:M8"/>
    <mergeCell ref="L33:M33"/>
    <mergeCell ref="L31:M31"/>
    <mergeCell ref="L29:M29"/>
    <mergeCell ref="L23:M23"/>
    <mergeCell ref="J61:J62"/>
    <mergeCell ref="E67:I69"/>
    <mergeCell ref="J68:J69"/>
    <mergeCell ref="K11:K12"/>
    <mergeCell ref="K13:K14"/>
    <mergeCell ref="E19:I24"/>
    <mergeCell ref="K19:K20"/>
    <mergeCell ref="J20:J24"/>
    <mergeCell ref="K21:K22"/>
    <mergeCell ref="K23:K24"/>
    <mergeCell ref="B66:M66"/>
    <mergeCell ref="B35:M35"/>
    <mergeCell ref="H27:I27"/>
    <mergeCell ref="H17:I17"/>
    <mergeCell ref="B18:M18"/>
    <mergeCell ref="H26:I26"/>
    <mergeCell ref="B19:D24"/>
    <mergeCell ref="L13:M13"/>
    <mergeCell ref="B25:M25"/>
    <mergeCell ref="B15:M15"/>
    <mergeCell ref="H16:I16"/>
    <mergeCell ref="L21:M21"/>
    <mergeCell ref="L19:M19"/>
    <mergeCell ref="L39:M39"/>
    <mergeCell ref="L40:M40"/>
    <mergeCell ref="L41:M41"/>
    <mergeCell ref="L46:M46"/>
    <mergeCell ref="L47:M47"/>
    <mergeCell ref="L48:M48"/>
    <mergeCell ref="H43:I43"/>
    <mergeCell ref="H44:I44"/>
    <mergeCell ref="H37:I37"/>
    <mergeCell ref="B38:M38"/>
    <mergeCell ref="K31:K32"/>
    <mergeCell ref="K33:K34"/>
    <mergeCell ref="B39:D41"/>
    <mergeCell ref="E39:I40"/>
    <mergeCell ref="E41:I41"/>
    <mergeCell ref="E46:I48"/>
    <mergeCell ref="B29:D34"/>
    <mergeCell ref="E29:I34"/>
    <mergeCell ref="K29:K30"/>
    <mergeCell ref="L76:M76"/>
    <mergeCell ref="L53:M53"/>
    <mergeCell ref="B98:M98"/>
    <mergeCell ref="B5:D5"/>
    <mergeCell ref="B7:D8"/>
    <mergeCell ref="E7:I8"/>
    <mergeCell ref="J7:J8"/>
    <mergeCell ref="K7:K8"/>
    <mergeCell ref="E5:M5"/>
    <mergeCell ref="E95:I97"/>
    <mergeCell ref="E60:I62"/>
    <mergeCell ref="H36:I36"/>
    <mergeCell ref="J30:J34"/>
    <mergeCell ref="C28:N28"/>
    <mergeCell ref="B9:D14"/>
    <mergeCell ref="E9:I14"/>
    <mergeCell ref="J10:J14"/>
    <mergeCell ref="K9:K10"/>
    <mergeCell ref="L7:M7"/>
    <mergeCell ref="B46:D48"/>
    <mergeCell ref="H50:I50"/>
    <mergeCell ref="H51:I51"/>
    <mergeCell ref="B49:M49"/>
    <mergeCell ref="B52:M52"/>
    <mergeCell ref="H57:I57"/>
    <mergeCell ref="B53:D55"/>
    <mergeCell ref="H150:I150"/>
    <mergeCell ref="H72:I72"/>
    <mergeCell ref="H78:I78"/>
    <mergeCell ref="B77:M77"/>
    <mergeCell ref="B80:M80"/>
    <mergeCell ref="H79:I79"/>
    <mergeCell ref="B74:D76"/>
    <mergeCell ref="E74:I76"/>
    <mergeCell ref="J75:J76"/>
    <mergeCell ref="H106:I106"/>
    <mergeCell ref="B102:D104"/>
    <mergeCell ref="B95:D97"/>
    <mergeCell ref="B88:D90"/>
    <mergeCell ref="B84:M84"/>
    <mergeCell ref="H93:I93"/>
    <mergeCell ref="H100:I100"/>
    <mergeCell ref="B81:D83"/>
    <mergeCell ref="H85:I85"/>
    <mergeCell ref="B87:M87"/>
    <mergeCell ref="H86:I86"/>
    <mergeCell ref="H92:I92"/>
    <mergeCell ref="B91:M91"/>
    <mergeCell ref="B146:D148"/>
    <mergeCell ref="E146:I148"/>
    <mergeCell ref="J147:J148"/>
    <mergeCell ref="H187:I187"/>
    <mergeCell ref="H188:I188"/>
    <mergeCell ref="B181:D181"/>
    <mergeCell ref="E181:M181"/>
    <mergeCell ref="H190:I190"/>
    <mergeCell ref="B153:D155"/>
    <mergeCell ref="E153:I155"/>
    <mergeCell ref="J154:J155"/>
    <mergeCell ref="B174:D176"/>
    <mergeCell ref="E174:I176"/>
    <mergeCell ref="L174:M174"/>
    <mergeCell ref="L175:M175"/>
    <mergeCell ref="L176:M176"/>
    <mergeCell ref="H165:I165"/>
    <mergeCell ref="L153:M153"/>
    <mergeCell ref="L154:M154"/>
    <mergeCell ref="L155:M155"/>
    <mergeCell ref="L160:M160"/>
    <mergeCell ref="L161:M161"/>
    <mergeCell ref="L162:M162"/>
    <mergeCell ref="B167:D169"/>
    <mergeCell ref="H191:I191"/>
    <mergeCell ref="H193:I193"/>
    <mergeCell ref="H194:I194"/>
    <mergeCell ref="B196:D197"/>
    <mergeCell ref="E196:I197"/>
    <mergeCell ref="L196:M196"/>
    <mergeCell ref="L197:M197"/>
    <mergeCell ref="H189:I189"/>
    <mergeCell ref="B183:D185"/>
    <mergeCell ref="E183:I185"/>
    <mergeCell ref="L183:M183"/>
    <mergeCell ref="L184:M184"/>
    <mergeCell ref="L185:M185"/>
    <mergeCell ref="B214:D216"/>
    <mergeCell ref="E214:I216"/>
    <mergeCell ref="L214:M214"/>
    <mergeCell ref="L216:M216"/>
    <mergeCell ref="H218:I218"/>
    <mergeCell ref="H219:I219"/>
    <mergeCell ref="J214:J216"/>
    <mergeCell ref="L215:M215"/>
    <mergeCell ref="H199:I199"/>
    <mergeCell ref="H200:I200"/>
    <mergeCell ref="H202:I202"/>
    <mergeCell ref="H203:I203"/>
    <mergeCell ref="B205:D206"/>
    <mergeCell ref="E205:I206"/>
    <mergeCell ref="L205:M205"/>
    <mergeCell ref="L206:M206"/>
    <mergeCell ref="H208:I208"/>
    <mergeCell ref="B221:D223"/>
    <mergeCell ref="E221:I223"/>
    <mergeCell ref="L221:M221"/>
    <mergeCell ref="L222:M222"/>
    <mergeCell ref="L223:M223"/>
    <mergeCell ref="H225:I225"/>
    <mergeCell ref="H226:I226"/>
    <mergeCell ref="B228:D230"/>
    <mergeCell ref="E228:I230"/>
    <mergeCell ref="J228:J230"/>
    <mergeCell ref="L228:M228"/>
    <mergeCell ref="L229:M229"/>
    <mergeCell ref="L230:M230"/>
    <mergeCell ref="B251:D253"/>
    <mergeCell ref="E251:I253"/>
    <mergeCell ref="H255:I255"/>
    <mergeCell ref="H256:I256"/>
    <mergeCell ref="B244:D246"/>
    <mergeCell ref="E244:I246"/>
    <mergeCell ref="H232:I232"/>
    <mergeCell ref="H233:I233"/>
    <mergeCell ref="H248:I248"/>
    <mergeCell ref="H249:I249"/>
    <mergeCell ref="B235:D235"/>
    <mergeCell ref="E235:M235"/>
    <mergeCell ref="B237:D239"/>
    <mergeCell ref="E237:I239"/>
    <mergeCell ref="J237:J239"/>
    <mergeCell ref="L237:M237"/>
    <mergeCell ref="L238:M238"/>
    <mergeCell ref="L239:M239"/>
    <mergeCell ref="N196:N197"/>
    <mergeCell ref="H201:I201"/>
    <mergeCell ref="N205:N206"/>
    <mergeCell ref="H210:I210"/>
    <mergeCell ref="J245:J246"/>
    <mergeCell ref="L251:M251"/>
    <mergeCell ref="L252:M252"/>
    <mergeCell ref="L253:M253"/>
    <mergeCell ref="L244:M244"/>
    <mergeCell ref="L245:M245"/>
    <mergeCell ref="L246:M246"/>
    <mergeCell ref="H241:I241"/>
    <mergeCell ref="H242:I242"/>
    <mergeCell ref="J222:J223"/>
    <mergeCell ref="H209:I209"/>
    <mergeCell ref="H211:I211"/>
    <mergeCell ref="H212:I212"/>
  </mergeCells>
  <conditionalFormatting sqref="B44:H44">
    <cfRule type="cellIs" dxfId="123" priority="275" operator="greaterThan">
      <formula>$L$39</formula>
    </cfRule>
    <cfRule type="cellIs" dxfId="122" priority="276" operator="between">
      <formula>$L$40</formula>
      <formula>$L$39</formula>
    </cfRule>
    <cfRule type="cellIs" dxfId="121" priority="277" operator="lessThan">
      <formula>$L$40</formula>
    </cfRule>
  </conditionalFormatting>
  <conditionalFormatting sqref="J44:N44">
    <cfRule type="cellIs" dxfId="120" priority="272" operator="greaterThan">
      <formula>$L$39</formula>
    </cfRule>
    <cfRule type="cellIs" dxfId="119" priority="273" operator="between">
      <formula>$L$40</formula>
      <formula>$L$39</formula>
    </cfRule>
    <cfRule type="cellIs" dxfId="118" priority="274" operator="lessThan">
      <formula>$L$40</formula>
    </cfRule>
  </conditionalFormatting>
  <conditionalFormatting sqref="B17:H17 J17:N17">
    <cfRule type="cellIs" dxfId="117" priority="311" operator="lessThan">
      <formula>$P$11</formula>
    </cfRule>
    <cfRule type="cellIs" dxfId="116" priority="312" operator="between">
      <formula>$P$11</formula>
      <formula>$P$9</formula>
    </cfRule>
    <cfRule type="cellIs" dxfId="115" priority="313" operator="greaterThan">
      <formula>$P$9</formula>
    </cfRule>
  </conditionalFormatting>
  <conditionalFormatting sqref="B27:H27 J27:N27">
    <cfRule type="cellIs" dxfId="114" priority="281" operator="lessThan">
      <formula>$P$21</formula>
    </cfRule>
    <cfRule type="cellIs" dxfId="113" priority="282" operator="between">
      <formula>$P$21</formula>
      <formula>$P$19</formula>
    </cfRule>
    <cfRule type="cellIs" dxfId="112" priority="283" operator="greaterThan">
      <formula>$P$19</formula>
    </cfRule>
  </conditionalFormatting>
  <conditionalFormatting sqref="B37:H37 J37:N37">
    <cfRule type="cellIs" dxfId="111" priority="293" operator="greaterThan">
      <formula>$P$30</formula>
    </cfRule>
    <cfRule type="cellIs" dxfId="110" priority="294" operator="between">
      <formula>$P$32</formula>
      <formula>$P$30</formula>
    </cfRule>
    <cfRule type="cellIs" dxfId="109" priority="295" operator="lessThan">
      <formula>$P$32</formula>
    </cfRule>
  </conditionalFormatting>
  <conditionalFormatting sqref="B51:H51 J51:N51">
    <cfRule type="cellIs" dxfId="108" priority="108" operator="lessThan">
      <formula>$L$47</formula>
    </cfRule>
    <cfRule type="cellIs" dxfId="107" priority="109" operator="between">
      <formula>$L$47</formula>
      <formula>$L$46</formula>
    </cfRule>
    <cfRule type="cellIs" dxfId="106" priority="110" operator="greaterThan">
      <formula>$L$46</formula>
    </cfRule>
  </conditionalFormatting>
  <conditionalFormatting sqref="B58:N58">
    <cfRule type="cellIs" dxfId="105" priority="103" operator="lessThan">
      <formula>$L$54</formula>
    </cfRule>
    <cfRule type="cellIs" dxfId="104" priority="104" operator="between">
      <formula>$L$54</formula>
      <formula>$L$53</formula>
    </cfRule>
    <cfRule type="cellIs" dxfId="103" priority="105" operator="greaterThan">
      <formula>$L$53</formula>
    </cfRule>
  </conditionalFormatting>
  <conditionalFormatting sqref="B65:N65">
    <cfRule type="cellIs" dxfId="102" priority="100" operator="lessThan">
      <formula>$L$60</formula>
    </cfRule>
    <cfRule type="cellIs" dxfId="101" priority="101" operator="between">
      <formula>$L$61</formula>
      <formula>$L$62</formula>
    </cfRule>
    <cfRule type="cellIs" dxfId="100" priority="102" operator="greaterThan">
      <formula>$L$62</formula>
    </cfRule>
  </conditionalFormatting>
  <conditionalFormatting sqref="B72:N72">
    <cfRule type="cellIs" dxfId="99" priority="97" operator="lessThan">
      <formula>$L$68</formula>
    </cfRule>
    <cfRule type="cellIs" dxfId="98" priority="98" operator="between">
      <formula>$L$68</formula>
      <formula>$L$69</formula>
    </cfRule>
    <cfRule type="cellIs" dxfId="97" priority="99" operator="greaterThan">
      <formula>$L$69</formula>
    </cfRule>
  </conditionalFormatting>
  <conditionalFormatting sqref="B79:N79">
    <cfRule type="cellIs" dxfId="96" priority="94" operator="lessThan">
      <formula>$L$75</formula>
    </cfRule>
    <cfRule type="cellIs" dxfId="95" priority="95" operator="between">
      <formula>$L$75</formula>
      <formula>$L$74</formula>
    </cfRule>
    <cfRule type="cellIs" dxfId="94" priority="96" operator="greaterThan">
      <formula>$L$74</formula>
    </cfRule>
  </conditionalFormatting>
  <conditionalFormatting sqref="B86:N86">
    <cfRule type="cellIs" dxfId="93" priority="91" operator="greaterThan">
      <formula>$L$82</formula>
    </cfRule>
    <cfRule type="cellIs" dxfId="92" priority="92" operator="between">
      <formula>$L$82</formula>
      <formula>$L$83</formula>
    </cfRule>
    <cfRule type="cellIs" dxfId="91" priority="93" operator="lessThan">
      <formula>$L$82</formula>
    </cfRule>
  </conditionalFormatting>
  <conditionalFormatting sqref="B93:N93">
    <cfRule type="cellIs" dxfId="90" priority="88" operator="greaterThan">
      <formula>$L$90</formula>
    </cfRule>
    <cfRule type="cellIs" dxfId="89" priority="89" operator="between">
      <formula>$L$89</formula>
      <formula>$L$90</formula>
    </cfRule>
    <cfRule type="cellIs" dxfId="88" priority="90" operator="lessThan">
      <formula>$L$88</formula>
    </cfRule>
  </conditionalFormatting>
  <conditionalFormatting sqref="B100:N100">
    <cfRule type="cellIs" dxfId="87" priority="85" operator="lessThan">
      <formula>$L$97</formula>
    </cfRule>
    <cfRule type="cellIs" dxfId="86" priority="86" operator="between">
      <formula>$L$97</formula>
      <formula>$L$96</formula>
    </cfRule>
    <cfRule type="cellIs" dxfId="85" priority="87" operator="greaterThan">
      <formula>$L$96</formula>
    </cfRule>
  </conditionalFormatting>
  <conditionalFormatting sqref="B107:N107">
    <cfRule type="cellIs" dxfId="84" priority="82" operator="greaterThan">
      <formula>$L$104</formula>
    </cfRule>
    <cfRule type="cellIs" dxfId="83" priority="83" operator="lessThan">
      <formula>$L$102</formula>
    </cfRule>
    <cfRule type="cellIs" dxfId="82" priority="84" operator="between">
      <formula>$L$102</formula>
      <formula>$L$104</formula>
    </cfRule>
  </conditionalFormatting>
  <conditionalFormatting sqref="B116:N116">
    <cfRule type="cellIs" dxfId="81" priority="79" operator="lessThan">
      <formula>$L$112</formula>
    </cfRule>
    <cfRule type="cellIs" dxfId="80" priority="80" operator="between">
      <formula>$L$112</formula>
      <formula>$L$111</formula>
    </cfRule>
    <cfRule type="cellIs" dxfId="79" priority="81" operator="greaterThan">
      <formula>$L$111</formula>
    </cfRule>
  </conditionalFormatting>
  <conditionalFormatting sqref="B123:N123">
    <cfRule type="cellIs" dxfId="78" priority="76" operator="lessThan">
      <formula>$L$119</formula>
    </cfRule>
    <cfRule type="cellIs" dxfId="77" priority="77" operator="between">
      <formula>$L$119</formula>
      <formula>$L$118</formula>
    </cfRule>
    <cfRule type="cellIs" dxfId="76" priority="78" operator="greaterThan">
      <formula>$L$118</formula>
    </cfRule>
  </conditionalFormatting>
  <conditionalFormatting sqref="B130:N130">
    <cfRule type="cellIs" dxfId="75" priority="73" operator="lessThan">
      <formula>$L$127</formula>
    </cfRule>
    <cfRule type="cellIs" dxfId="74" priority="74" operator="between">
      <formula>$L$127</formula>
      <formula>$L$125</formula>
    </cfRule>
    <cfRule type="cellIs" dxfId="73" priority="75" operator="greaterThan">
      <formula>$L$125</formula>
    </cfRule>
  </conditionalFormatting>
  <conditionalFormatting sqref="B137:N137">
    <cfRule type="cellIs" dxfId="72" priority="70" operator="lessThan">
      <formula>$L$134</formula>
    </cfRule>
    <cfRule type="cellIs" dxfId="71" priority="71" operator="between">
      <formula>$L$134</formula>
      <formula>$L$132</formula>
    </cfRule>
    <cfRule type="cellIs" dxfId="70" priority="72" operator="greaterThan">
      <formula>$L$132</formula>
    </cfRule>
  </conditionalFormatting>
  <conditionalFormatting sqref="B144:N144">
    <cfRule type="cellIs" dxfId="69" priority="67" operator="lessThan">
      <formula>$L$141</formula>
    </cfRule>
    <cfRule type="cellIs" dxfId="68" priority="68" operator="between">
      <formula>$L$139</formula>
      <formula>$L$141</formula>
    </cfRule>
    <cfRule type="cellIs" dxfId="67" priority="69" operator="greaterThan">
      <formula>$L$139</formula>
    </cfRule>
  </conditionalFormatting>
  <conditionalFormatting sqref="B151:N151">
    <cfRule type="cellIs" dxfId="66" priority="64" operator="lessThan">
      <formula>$L$148</formula>
    </cfRule>
    <cfRule type="cellIs" dxfId="65" priority="65" operator="between">
      <formula>$L$146</formula>
      <formula>$L$148</formula>
    </cfRule>
    <cfRule type="cellIs" dxfId="64" priority="66" operator="greaterThan">
      <formula>$L$146</formula>
    </cfRule>
  </conditionalFormatting>
  <conditionalFormatting sqref="B158:N158">
    <cfRule type="cellIs" dxfId="63" priority="61" operator="lessThan">
      <formula>$L$155</formula>
    </cfRule>
    <cfRule type="cellIs" dxfId="62" priority="62" operator="between">
      <formula>$L$155</formula>
      <formula>$L$153</formula>
    </cfRule>
    <cfRule type="cellIs" dxfId="61" priority="63" operator="greaterThan">
      <formula>$L$153</formula>
    </cfRule>
  </conditionalFormatting>
  <conditionalFormatting sqref="B165:N165">
    <cfRule type="cellIs" dxfId="60" priority="58" operator="lessThan">
      <formula>$L$162</formula>
    </cfRule>
    <cfRule type="cellIs" dxfId="59" priority="59" operator="between">
      <formula>$L$162</formula>
      <formula>$L$160</formula>
    </cfRule>
    <cfRule type="cellIs" dxfId="58" priority="60" operator="greaterThan">
      <formula>$L$160</formula>
    </cfRule>
  </conditionalFormatting>
  <conditionalFormatting sqref="B172:N172">
    <cfRule type="cellIs" dxfId="57" priority="55" operator="lessThan">
      <formula>$L$169</formula>
    </cfRule>
    <cfRule type="cellIs" dxfId="56" priority="56" operator="between">
      <formula>$L$167</formula>
      <formula>$L$169</formula>
    </cfRule>
    <cfRule type="cellIs" dxfId="55" priority="57" operator="greaterThan">
      <formula>$L$167</formula>
    </cfRule>
  </conditionalFormatting>
  <conditionalFormatting sqref="B179:N179">
    <cfRule type="cellIs" dxfId="54" priority="52" operator="between">
      <formula>$J$174</formula>
      <formula>$L$174</formula>
    </cfRule>
    <cfRule type="cellIs" dxfId="53" priority="53" operator="lessThan">
      <formula>$J$174</formula>
    </cfRule>
    <cfRule type="cellIs" dxfId="52" priority="54" operator="greaterThan">
      <formula>$L$174</formula>
    </cfRule>
  </conditionalFormatting>
  <conditionalFormatting sqref="B188:N188">
    <cfRule type="cellIs" dxfId="51" priority="49" operator="lessThan">
      <formula>$K$183</formula>
    </cfRule>
    <cfRule type="cellIs" dxfId="50" priority="50" operator="between">
      <formula>$K$183</formula>
      <formula>$L$183</formula>
    </cfRule>
    <cfRule type="cellIs" dxfId="49" priority="51" operator="greaterThan">
      <formula>$L$183</formula>
    </cfRule>
  </conditionalFormatting>
  <conditionalFormatting sqref="B191:N191">
    <cfRule type="cellIs" dxfId="48" priority="46" operator="lessThan">
      <formula>$K$184</formula>
    </cfRule>
    <cfRule type="cellIs" dxfId="47" priority="47" operator="between">
      <formula>$K$184</formula>
      <formula>$L$184</formula>
    </cfRule>
    <cfRule type="cellIs" dxfId="46" priority="48" operator="greaterThan">
      <formula>$L$184</formula>
    </cfRule>
  </conditionalFormatting>
  <conditionalFormatting sqref="B194:N194">
    <cfRule type="cellIs" dxfId="45" priority="43" operator="lessThan">
      <formula>$K$185</formula>
    </cfRule>
    <cfRule type="cellIs" dxfId="44" priority="44" operator="between">
      <formula>$K$185</formula>
      <formula>$L$185</formula>
    </cfRule>
    <cfRule type="cellIs" dxfId="43" priority="45" operator="greaterThan">
      <formula>$L$185</formula>
    </cfRule>
  </conditionalFormatting>
  <conditionalFormatting sqref="B200:N200">
    <cfRule type="cellIs" dxfId="42" priority="40" operator="lessThan">
      <formula>$K$196</formula>
    </cfRule>
    <cfRule type="cellIs" dxfId="41" priority="41" operator="between">
      <formula>$K$196</formula>
      <formula>$L$196</formula>
    </cfRule>
    <cfRule type="cellIs" dxfId="40" priority="42" operator="greaterThan">
      <formula>$L$196</formula>
    </cfRule>
  </conditionalFormatting>
  <conditionalFormatting sqref="B203:N203">
    <cfRule type="cellIs" dxfId="39" priority="37" operator="lessThan">
      <formula>$K$197</formula>
    </cfRule>
    <cfRule type="cellIs" dxfId="38" priority="38" operator="between">
      <formula>$K$197</formula>
      <formula>$L$197</formula>
    </cfRule>
    <cfRule type="cellIs" dxfId="37" priority="39" operator="greaterThan">
      <formula>$L$197</formula>
    </cfRule>
  </conditionalFormatting>
  <conditionalFormatting sqref="E209:N209">
    <cfRule type="cellIs" dxfId="36" priority="34" operator="lessThan">
      <formula>$K$205</formula>
    </cfRule>
    <cfRule type="cellIs" dxfId="35" priority="35" operator="between">
      <formula>$K$205</formula>
      <formula>$L$205</formula>
    </cfRule>
    <cfRule type="cellIs" dxfId="34" priority="36" operator="greaterThan">
      <formula>$L$205</formula>
    </cfRule>
  </conditionalFormatting>
  <conditionalFormatting sqref="E212:N212">
    <cfRule type="cellIs" dxfId="33" priority="31" operator="lessThan">
      <formula>$K$206</formula>
    </cfRule>
    <cfRule type="cellIs" dxfId="32" priority="32" operator="between">
      <formula>$K$206</formula>
      <formula>$L$206</formula>
    </cfRule>
    <cfRule type="cellIs" dxfId="31" priority="33" operator="greaterThan">
      <formula>$L$206</formula>
    </cfRule>
  </conditionalFormatting>
  <conditionalFormatting sqref="B219:N219">
    <cfRule type="cellIs" dxfId="30" priority="28" operator="lessThan">
      <formula>$L$215</formula>
    </cfRule>
    <cfRule type="cellIs" dxfId="29" priority="29" operator="between">
      <formula>$L$214</formula>
      <formula>$L$215</formula>
    </cfRule>
    <cfRule type="cellIs" dxfId="28" priority="30" operator="greaterThan">
      <formula>$L$215</formula>
    </cfRule>
  </conditionalFormatting>
  <conditionalFormatting sqref="E226:N226">
    <cfRule type="cellIs" dxfId="27" priority="25" operator="lessThan">
      <formula>$L$222</formula>
    </cfRule>
    <cfRule type="cellIs" dxfId="26" priority="26" operator="between">
      <formula>$L$221</formula>
      <formula>$L$222</formula>
    </cfRule>
    <cfRule type="cellIs" dxfId="25" priority="27" operator="greaterThan">
      <formula>$L$221</formula>
    </cfRule>
  </conditionalFormatting>
  <conditionalFormatting sqref="E233:N233">
    <cfRule type="cellIs" dxfId="24" priority="22" operator="lessThan">
      <formula>$L$229</formula>
    </cfRule>
    <cfRule type="cellIs" dxfId="23" priority="23" operator="between">
      <formula>$L$228</formula>
      <formula>$L$229</formula>
    </cfRule>
    <cfRule type="cellIs" dxfId="22" priority="24" operator="greaterThan">
      <formula>$L$228</formula>
    </cfRule>
  </conditionalFormatting>
  <conditionalFormatting sqref="B242:N242">
    <cfRule type="cellIs" dxfId="21" priority="19" operator="lessThan">
      <formula>$L$238</formula>
    </cfRule>
    <cfRule type="cellIs" dxfId="20" priority="20" operator="between">
      <formula>$L$237</formula>
      <formula>$L$238</formula>
    </cfRule>
    <cfRule type="cellIs" dxfId="19" priority="21" operator="greaterThan">
      <formula>$L$237</formula>
    </cfRule>
  </conditionalFormatting>
  <conditionalFormatting sqref="B249:N249">
    <cfRule type="cellIs" dxfId="18" priority="16" operator="lessThan">
      <formula>$L$245</formula>
    </cfRule>
    <cfRule type="cellIs" dxfId="17" priority="17" operator="between">
      <formula>$L$244</formula>
      <formula>$L$245</formula>
    </cfRule>
    <cfRule type="cellIs" dxfId="16" priority="18" operator="greaterThan">
      <formula>$L$244</formula>
    </cfRule>
  </conditionalFormatting>
  <conditionalFormatting sqref="B256:N256">
    <cfRule type="cellIs" dxfId="15" priority="13" operator="lessThan">
      <formula>$L$229</formula>
    </cfRule>
    <cfRule type="cellIs" dxfId="14" priority="14" operator="between">
      <formula>$L$228</formula>
      <formula>$L$229</formula>
    </cfRule>
    <cfRule type="cellIs" dxfId="13" priority="15" operator="greaterThan">
      <formula>$L$228</formula>
    </cfRule>
  </conditionalFormatting>
  <conditionalFormatting sqref="B209:D209">
    <cfRule type="cellIs" dxfId="12" priority="10" operator="lessThan">
      <formula>$K$205</formula>
    </cfRule>
    <cfRule type="cellIs" dxfId="11" priority="11" operator="between">
      <formula>$K$205</formula>
      <formula>$L$205</formula>
    </cfRule>
    <cfRule type="cellIs" dxfId="10" priority="12" operator="greaterThan">
      <formula>$L$205</formula>
    </cfRule>
  </conditionalFormatting>
  <conditionalFormatting sqref="B212:D212">
    <cfRule type="cellIs" dxfId="9" priority="7" operator="lessThan">
      <formula>$K$206</formula>
    </cfRule>
    <cfRule type="cellIs" dxfId="8" priority="8" operator="between">
      <formula>$K$206</formula>
      <formula>$L$206</formula>
    </cfRule>
    <cfRule type="cellIs" dxfId="7" priority="9" operator="greaterThan">
      <formula>$L$206</formula>
    </cfRule>
  </conditionalFormatting>
  <conditionalFormatting sqref="B226:D226">
    <cfRule type="cellIs" dxfId="6" priority="4" operator="lessThan">
      <formula>$L$222</formula>
    </cfRule>
    <cfRule type="cellIs" dxfId="5" priority="5" operator="between">
      <formula>$L$221</formula>
      <formula>$L$222</formula>
    </cfRule>
    <cfRule type="cellIs" dxfId="4" priority="6" operator="greaterThan">
      <formula>$L$221</formula>
    </cfRule>
  </conditionalFormatting>
  <conditionalFormatting sqref="B233:D233">
    <cfRule type="cellIs" dxfId="3" priority="1" operator="lessThan">
      <formula>$L$229</formula>
    </cfRule>
    <cfRule type="cellIs" dxfId="2" priority="2" operator="between">
      <formula>$L$228</formula>
      <formula>$L$229</formula>
    </cfRule>
    <cfRule type="cellIs" dxfId="1" priority="3" operator="greaterThan">
      <formula>$L$228</formula>
    </cfRule>
  </conditionalFormatting>
  <pageMargins left="0.7" right="0.7" top="0.75" bottom="0.75" header="0.3" footer="0.3"/>
  <pageSetup paperSize="9" orientation="portrait" r:id="rId1"/>
  <drawing r:id="rId2"/>
  <legacy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
  <sheetViews>
    <sheetView showGridLines="0" topLeftCell="A70" zoomScale="90" zoomScaleNormal="90" workbookViewId="0">
      <selection activeCell="Q34" sqref="Q34:Q36"/>
    </sheetView>
  </sheetViews>
  <sheetFormatPr baseColWidth="10" defaultRowHeight="15" x14ac:dyDescent="0.25"/>
  <cols>
    <col min="1" max="1" width="2.7109375" style="240" customWidth="1"/>
    <col min="2" max="2" width="13.28515625" style="240" customWidth="1"/>
    <col min="3" max="3" width="11.85546875" style="240" customWidth="1"/>
    <col min="4" max="4" width="14.140625" style="240" customWidth="1"/>
    <col min="5" max="7" width="11.42578125" style="240"/>
    <col min="8" max="8" width="5.42578125" style="240" customWidth="1"/>
    <col min="9" max="9" width="11.42578125" style="240"/>
    <col min="10" max="10" width="16.42578125" style="240" customWidth="1"/>
    <col min="11" max="11" width="23.42578125" style="240" customWidth="1"/>
    <col min="12" max="13" width="11.42578125" style="240"/>
    <col min="14" max="14" width="10.28515625" style="240" customWidth="1"/>
    <col min="15" max="15" width="9.42578125" style="240" customWidth="1"/>
    <col min="16" max="16" width="9.140625" style="240" customWidth="1"/>
    <col min="17" max="16384" width="11.42578125" style="240"/>
  </cols>
  <sheetData>
    <row r="1" spans="1:18" ht="39" customHeight="1" x14ac:dyDescent="0.25">
      <c r="A1" s="10"/>
      <c r="B1" s="2"/>
      <c r="C1" s="2"/>
      <c r="D1" s="2"/>
      <c r="E1" s="2"/>
      <c r="F1" s="2"/>
      <c r="G1" s="2"/>
      <c r="H1" s="2"/>
      <c r="I1" s="2"/>
      <c r="J1" s="42"/>
      <c r="K1" s="2"/>
      <c r="L1" s="42"/>
      <c r="M1" s="57"/>
    </row>
    <row r="2" spans="1:18" ht="30.75" customHeight="1" x14ac:dyDescent="0.25">
      <c r="A2" s="1"/>
      <c r="B2" s="1"/>
      <c r="C2" s="1"/>
      <c r="D2" s="1"/>
      <c r="E2" s="1"/>
      <c r="F2" s="1"/>
      <c r="G2" s="1"/>
      <c r="H2" s="1"/>
      <c r="I2" s="1"/>
      <c r="J2" s="43"/>
      <c r="K2" s="1"/>
      <c r="L2" s="43"/>
      <c r="M2" s="58"/>
    </row>
    <row r="9" spans="1:18" x14ac:dyDescent="0.25">
      <c r="Q9" s="900"/>
      <c r="R9" s="900"/>
    </row>
    <row r="10" spans="1:18" x14ac:dyDescent="0.25">
      <c r="Q10" s="900"/>
      <c r="R10" s="900"/>
    </row>
    <row r="11" spans="1:18" x14ac:dyDescent="0.25">
      <c r="Q11" s="900"/>
      <c r="R11" s="900"/>
    </row>
    <row r="12" spans="1:18" x14ac:dyDescent="0.25">
      <c r="Q12" s="900"/>
      <c r="R12" s="900"/>
    </row>
    <row r="13" spans="1:18" x14ac:dyDescent="0.25">
      <c r="Q13" s="900"/>
      <c r="R13" s="900"/>
    </row>
    <row r="14" spans="1:18" x14ac:dyDescent="0.25">
      <c r="Q14" s="900"/>
      <c r="R14" s="900"/>
    </row>
    <row r="15" spans="1:18" x14ac:dyDescent="0.25">
      <c r="Q15" s="900"/>
      <c r="R15" s="900"/>
    </row>
    <row r="16" spans="1:18" x14ac:dyDescent="0.25">
      <c r="Q16" s="900"/>
      <c r="R16" s="900"/>
    </row>
    <row r="17" spans="17:18" x14ac:dyDescent="0.25">
      <c r="Q17" s="900"/>
      <c r="R17" s="900"/>
    </row>
    <row r="18" spans="17:18" x14ac:dyDescent="0.25">
      <c r="Q18" s="900"/>
      <c r="R18" s="900"/>
    </row>
    <row r="19" spans="17:18" x14ac:dyDescent="0.25">
      <c r="Q19" s="900"/>
      <c r="R19" s="900"/>
    </row>
    <row r="20" spans="17:18" x14ac:dyDescent="0.25">
      <c r="Q20" s="900"/>
      <c r="R20" s="900"/>
    </row>
  </sheetData>
  <mergeCells count="1">
    <mergeCell ref="Q9:R20"/>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
  <sheetViews>
    <sheetView zoomScaleNormal="100" workbookViewId="0">
      <selection activeCell="A3" sqref="A3"/>
    </sheetView>
  </sheetViews>
  <sheetFormatPr baseColWidth="10" defaultRowHeight="15" x14ac:dyDescent="0.25"/>
  <cols>
    <col min="1" max="1" width="22.28515625" customWidth="1"/>
    <col min="2" max="2" width="14.140625" bestFit="1" customWidth="1"/>
    <col min="3" max="3" width="23.5703125" bestFit="1" customWidth="1"/>
    <col min="4" max="4" width="19.5703125" bestFit="1" customWidth="1"/>
  </cols>
  <sheetData>
    <row r="3" spans="1:4" x14ac:dyDescent="0.25">
      <c r="A3" s="234" t="s">
        <v>491</v>
      </c>
      <c r="B3" t="s">
        <v>493</v>
      </c>
      <c r="C3" t="s">
        <v>494</v>
      </c>
      <c r="D3" t="s">
        <v>495</v>
      </c>
    </row>
    <row r="4" spans="1:4" x14ac:dyDescent="0.25">
      <c r="A4" s="105" t="s">
        <v>111</v>
      </c>
      <c r="B4" s="323">
        <v>1</v>
      </c>
      <c r="C4" s="323">
        <v>0</v>
      </c>
      <c r="D4" s="323">
        <v>-1</v>
      </c>
    </row>
    <row r="5" spans="1:4" x14ac:dyDescent="0.25">
      <c r="A5" s="118" t="s">
        <v>484</v>
      </c>
      <c r="B5" s="323">
        <v>1</v>
      </c>
      <c r="C5" s="323">
        <v>0</v>
      </c>
      <c r="D5" s="323">
        <v>-1</v>
      </c>
    </row>
    <row r="6" spans="1:4" x14ac:dyDescent="0.25">
      <c r="A6" s="105" t="s">
        <v>492</v>
      </c>
      <c r="B6" s="323">
        <v>1</v>
      </c>
      <c r="C6" s="323">
        <v>0</v>
      </c>
      <c r="D6" s="323">
        <v>-1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
  <sheetViews>
    <sheetView workbookViewId="0">
      <selection activeCell="C3" sqref="C3"/>
    </sheetView>
  </sheetViews>
  <sheetFormatPr baseColWidth="10" defaultRowHeight="15" x14ac:dyDescent="0.25"/>
  <cols>
    <col min="1" max="1" width="22.85546875" bestFit="1" customWidth="1"/>
    <col min="2" max="2" width="14.140625" bestFit="1" customWidth="1"/>
    <col min="3" max="3" width="23.5703125" bestFit="1" customWidth="1"/>
    <col min="4" max="4" width="19.5703125" bestFit="1" customWidth="1"/>
  </cols>
  <sheetData>
    <row r="3" spans="1:4" x14ac:dyDescent="0.25">
      <c r="A3" s="234" t="s">
        <v>491</v>
      </c>
      <c r="B3" t="s">
        <v>493</v>
      </c>
      <c r="C3" t="s">
        <v>494</v>
      </c>
      <c r="D3" t="s">
        <v>495</v>
      </c>
    </row>
    <row r="4" spans="1:4" x14ac:dyDescent="0.25">
      <c r="A4" s="105" t="s">
        <v>112</v>
      </c>
      <c r="B4" s="235">
        <v>0.3589</v>
      </c>
      <c r="C4" s="235">
        <v>0</v>
      </c>
      <c r="D4" s="235">
        <v>-0.3589</v>
      </c>
    </row>
    <row r="5" spans="1:4" x14ac:dyDescent="0.25">
      <c r="A5" s="118" t="s">
        <v>52</v>
      </c>
      <c r="B5" s="235">
        <v>0.3589</v>
      </c>
      <c r="C5" s="235">
        <v>0</v>
      </c>
      <c r="D5" s="235">
        <v>-0.3589</v>
      </c>
    </row>
    <row r="6" spans="1:4" x14ac:dyDescent="0.25">
      <c r="A6" s="105" t="s">
        <v>492</v>
      </c>
      <c r="B6" s="235">
        <v>0.3589</v>
      </c>
      <c r="C6" s="235">
        <v>0</v>
      </c>
      <c r="D6" s="235">
        <v>-0.3589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
  <sheetViews>
    <sheetView topLeftCell="A3" workbookViewId="0">
      <selection activeCell="C3" sqref="C3"/>
    </sheetView>
  </sheetViews>
  <sheetFormatPr baseColWidth="10" defaultRowHeight="15" x14ac:dyDescent="0.25"/>
  <cols>
    <col min="1" max="1" width="48.140625" bestFit="1" customWidth="1"/>
    <col min="2" max="2" width="14.140625" bestFit="1" customWidth="1"/>
    <col min="3" max="3" width="23.5703125" bestFit="1" customWidth="1"/>
    <col min="4" max="4" width="19.5703125" bestFit="1" customWidth="1"/>
  </cols>
  <sheetData>
    <row r="3" spans="1:4" x14ac:dyDescent="0.25">
      <c r="A3" s="234" t="s">
        <v>491</v>
      </c>
      <c r="B3" t="s">
        <v>493</v>
      </c>
      <c r="C3" t="s">
        <v>494</v>
      </c>
      <c r="D3" t="s">
        <v>495</v>
      </c>
    </row>
    <row r="4" spans="1:4" x14ac:dyDescent="0.25">
      <c r="A4" s="105" t="s">
        <v>111</v>
      </c>
      <c r="B4" s="235">
        <v>0.85</v>
      </c>
      <c r="C4" s="235">
        <v>0</v>
      </c>
      <c r="D4" s="235">
        <v>-0.85</v>
      </c>
    </row>
    <row r="5" spans="1:4" x14ac:dyDescent="0.25">
      <c r="A5" s="118" t="s">
        <v>69</v>
      </c>
      <c r="B5" s="235">
        <v>0.85</v>
      </c>
      <c r="C5" s="235">
        <v>0</v>
      </c>
      <c r="D5" s="235">
        <v>-0.85</v>
      </c>
    </row>
    <row r="6" spans="1:4" x14ac:dyDescent="0.25">
      <c r="A6" s="105" t="s">
        <v>492</v>
      </c>
      <c r="B6" s="235">
        <v>0.85</v>
      </c>
      <c r="C6" s="235">
        <v>0</v>
      </c>
      <c r="D6" s="235">
        <v>-0.85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
  <sheetViews>
    <sheetView workbookViewId="0">
      <selection activeCell="D3" sqref="D3"/>
    </sheetView>
  </sheetViews>
  <sheetFormatPr baseColWidth="10" defaultRowHeight="15" x14ac:dyDescent="0.25"/>
  <cols>
    <col min="1" max="1" width="27" customWidth="1"/>
    <col min="2" max="2" width="14.140625" bestFit="1" customWidth="1"/>
    <col min="3" max="3" width="23.5703125" bestFit="1" customWidth="1"/>
    <col min="4" max="4" width="19.5703125" bestFit="1" customWidth="1"/>
  </cols>
  <sheetData>
    <row r="3" spans="1:4" x14ac:dyDescent="0.25">
      <c r="A3" s="234" t="s">
        <v>491</v>
      </c>
      <c r="B3" t="s">
        <v>493</v>
      </c>
      <c r="C3" t="s">
        <v>494</v>
      </c>
      <c r="D3" t="s">
        <v>495</v>
      </c>
    </row>
    <row r="4" spans="1:4" x14ac:dyDescent="0.25">
      <c r="A4" s="105" t="s">
        <v>110</v>
      </c>
      <c r="B4" s="235">
        <v>0.85</v>
      </c>
      <c r="C4" s="235">
        <v>0.94110000000000005</v>
      </c>
      <c r="D4" s="235">
        <v>9.110000000000007E-2</v>
      </c>
    </row>
    <row r="5" spans="1:4" x14ac:dyDescent="0.25">
      <c r="A5" s="118" t="s">
        <v>74</v>
      </c>
      <c r="B5" s="235">
        <v>0.85</v>
      </c>
      <c r="C5" s="235">
        <v>0.94110000000000005</v>
      </c>
      <c r="D5" s="235">
        <v>9.110000000000007E-2</v>
      </c>
    </row>
    <row r="6" spans="1:4" x14ac:dyDescent="0.25">
      <c r="A6" s="105" t="s">
        <v>492</v>
      </c>
      <c r="B6" s="235">
        <v>0.85</v>
      </c>
      <c r="C6" s="235">
        <v>0.94110000000000005</v>
      </c>
      <c r="D6" s="235">
        <v>9.110000000000007E-2</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158"/>
  <sheetViews>
    <sheetView zoomScaleNormal="100" workbookViewId="0">
      <selection activeCell="D5" sqref="D5"/>
    </sheetView>
  </sheetViews>
  <sheetFormatPr baseColWidth="10" defaultRowHeight="15" x14ac:dyDescent="0.25"/>
  <cols>
    <col min="2" max="2" width="8.28515625" customWidth="1"/>
    <col min="3" max="3" width="67" customWidth="1"/>
    <col min="4" max="4" width="12" bestFit="1" customWidth="1"/>
    <col min="5" max="5" width="15.28515625" bestFit="1" customWidth="1"/>
    <col min="6" max="6" width="13.85546875" bestFit="1" customWidth="1"/>
    <col min="9" max="9" width="58.85546875" customWidth="1"/>
    <col min="10" max="10" width="14.140625" bestFit="1" customWidth="1"/>
    <col min="11" max="11" width="15.28515625" bestFit="1" customWidth="1"/>
    <col min="12" max="12" width="14.85546875" style="16" bestFit="1" customWidth="1"/>
    <col min="15" max="15" width="44.7109375" bestFit="1" customWidth="1"/>
    <col min="17" max="17" width="15.28515625" bestFit="1" customWidth="1"/>
    <col min="20" max="20" width="11.7109375" bestFit="1" customWidth="1"/>
    <col min="21" max="21" width="25.42578125" bestFit="1" customWidth="1"/>
    <col min="23" max="23" width="15.28515625" bestFit="1" customWidth="1"/>
  </cols>
  <sheetData>
    <row r="1" spans="2:24" ht="27.75" customHeight="1" x14ac:dyDescent="0.25">
      <c r="B1" s="902" t="s">
        <v>498</v>
      </c>
      <c r="C1" s="902"/>
      <c r="D1" s="902"/>
      <c r="E1" s="902"/>
      <c r="F1" s="902"/>
      <c r="H1" s="901" t="s">
        <v>497</v>
      </c>
      <c r="I1" s="901"/>
      <c r="J1" s="901"/>
      <c r="K1" s="901"/>
      <c r="L1" s="901"/>
      <c r="N1" s="901" t="s">
        <v>499</v>
      </c>
      <c r="O1" s="901"/>
      <c r="P1" s="901"/>
      <c r="Q1" s="901"/>
      <c r="R1" s="901"/>
      <c r="T1" s="901" t="s">
        <v>505</v>
      </c>
      <c r="U1" s="901"/>
      <c r="V1" s="901"/>
      <c r="W1" s="901"/>
      <c r="X1" s="901"/>
    </row>
    <row r="2" spans="2:24" x14ac:dyDescent="0.25">
      <c r="B2" s="241" t="s">
        <v>489</v>
      </c>
      <c r="C2" s="241" t="s">
        <v>37</v>
      </c>
      <c r="D2" s="241" t="s">
        <v>86</v>
      </c>
      <c r="E2" s="241" t="s">
        <v>179</v>
      </c>
      <c r="F2" s="241" t="s">
        <v>490</v>
      </c>
      <c r="H2" s="241" t="s">
        <v>489</v>
      </c>
      <c r="I2" s="241" t="s">
        <v>37</v>
      </c>
      <c r="J2" s="241" t="s">
        <v>86</v>
      </c>
      <c r="K2" s="241" t="s">
        <v>179</v>
      </c>
      <c r="L2" s="272" t="s">
        <v>490</v>
      </c>
      <c r="N2" s="295" t="s">
        <v>489</v>
      </c>
      <c r="O2" s="295" t="s">
        <v>37</v>
      </c>
      <c r="P2" s="241" t="s">
        <v>86</v>
      </c>
      <c r="Q2" s="241" t="s">
        <v>179</v>
      </c>
      <c r="R2" s="272" t="s">
        <v>490</v>
      </c>
      <c r="T2" s="241" t="s">
        <v>489</v>
      </c>
      <c r="U2" s="241" t="s">
        <v>37</v>
      </c>
      <c r="V2" s="241" t="s">
        <v>86</v>
      </c>
      <c r="W2" s="241" t="s">
        <v>179</v>
      </c>
      <c r="X2" s="272" t="s">
        <v>490</v>
      </c>
    </row>
    <row r="3" spans="2:24" ht="15.75" customHeight="1" x14ac:dyDescent="0.25">
      <c r="B3" s="242" t="s">
        <v>108</v>
      </c>
      <c r="C3" s="243" t="s">
        <v>487</v>
      </c>
      <c r="D3" s="249">
        <f>+DB!P11</f>
        <v>1.1666666666666667E-2</v>
      </c>
      <c r="E3" s="322">
        <f>+DB!B17</f>
        <v>-7.7704192813881504E-3</v>
      </c>
      <c r="F3" s="249">
        <f>E3-D3</f>
        <v>-1.9437085948054818E-2</v>
      </c>
      <c r="H3" s="242" t="s">
        <v>108</v>
      </c>
      <c r="I3" s="251" t="s">
        <v>55</v>
      </c>
      <c r="J3" s="253">
        <f>+DB!L112</f>
        <v>0.3322</v>
      </c>
      <c r="K3" s="258">
        <f>+DB!B$116</f>
        <v>0.55710000000000004</v>
      </c>
      <c r="L3" s="253">
        <f t="shared" ref="L3:L12" si="0">+K3-J3</f>
        <v>0.22490000000000004</v>
      </c>
      <c r="N3" s="242" t="s">
        <v>108</v>
      </c>
      <c r="O3" s="302" t="s">
        <v>500</v>
      </c>
      <c r="P3" s="245">
        <f>+DB!N184</f>
        <v>0.78166666666666673</v>
      </c>
      <c r="Q3" s="248">
        <f>+DB!B$189</f>
        <v>0</v>
      </c>
      <c r="R3" s="245">
        <f t="shared" ref="R3:R34" si="1">+Q3-P3</f>
        <v>-0.78166666666666673</v>
      </c>
      <c r="T3" s="242" t="s">
        <v>108</v>
      </c>
      <c r="U3" s="304" t="s">
        <v>72</v>
      </c>
      <c r="V3" s="248">
        <f>+DB!L238</f>
        <v>0.25</v>
      </c>
      <c r="W3" s="248">
        <f>+DB!B$242</f>
        <v>0.02</v>
      </c>
      <c r="X3" s="248">
        <f t="shared" ref="X3:X11" si="2">+W3-V3</f>
        <v>-0.23</v>
      </c>
    </row>
    <row r="4" spans="2:24" ht="15" customHeight="1" x14ac:dyDescent="0.25">
      <c r="B4" s="242" t="s">
        <v>108</v>
      </c>
      <c r="C4" s="244" t="s">
        <v>480</v>
      </c>
      <c r="D4" s="249">
        <f>+DB!P21</f>
        <v>6.6590314346624121E-3</v>
      </c>
      <c r="E4" s="322">
        <f>+DB!B27</f>
        <v>6.0020190686211963E-3</v>
      </c>
      <c r="F4" s="249">
        <f>E4-D4</f>
        <v>-6.5701236604121579E-4</v>
      </c>
      <c r="H4" s="242" t="s">
        <v>108</v>
      </c>
      <c r="I4" s="251" t="s">
        <v>52</v>
      </c>
      <c r="J4" s="253">
        <f>+DB!L119</f>
        <v>0.3589</v>
      </c>
      <c r="K4" s="258">
        <f>+DB!B$123</f>
        <v>0.4269</v>
      </c>
      <c r="L4" s="253">
        <f t="shared" si="0"/>
        <v>6.8000000000000005E-2</v>
      </c>
      <c r="N4" s="242" t="s">
        <v>108</v>
      </c>
      <c r="O4" s="302" t="s">
        <v>501</v>
      </c>
      <c r="P4" s="245">
        <f>+DB!N196</f>
        <v>0.625</v>
      </c>
      <c r="Q4" s="248">
        <f>+DB!B$201</f>
        <v>0.05</v>
      </c>
      <c r="R4" s="245">
        <f t="shared" si="1"/>
        <v>-0.57499999999999996</v>
      </c>
      <c r="T4" s="242" t="s">
        <v>108</v>
      </c>
      <c r="U4" s="304" t="s">
        <v>73</v>
      </c>
      <c r="V4" s="248">
        <f>+DB!L245</f>
        <v>0.75</v>
      </c>
      <c r="W4" s="248">
        <f>+DB!B$249</f>
        <v>0.78</v>
      </c>
      <c r="X4" s="248">
        <f t="shared" si="2"/>
        <v>3.0000000000000027E-2</v>
      </c>
    </row>
    <row r="5" spans="2:24" ht="15" customHeight="1" x14ac:dyDescent="0.25">
      <c r="B5" s="242" t="s">
        <v>108</v>
      </c>
      <c r="C5" s="244" t="s">
        <v>479</v>
      </c>
      <c r="D5" s="249">
        <f>+DB!P32</f>
        <v>2.6796599258633577E-2</v>
      </c>
      <c r="E5" s="322">
        <f>+DB!B37</f>
        <v>-2.1858875460178381E-2</v>
      </c>
      <c r="F5" s="249">
        <f t="shared" ref="F5:F15" si="3">E5-D5</f>
        <v>-4.8655474718811959E-2</v>
      </c>
      <c r="H5" s="242" t="s">
        <v>108</v>
      </c>
      <c r="I5" s="251" t="s">
        <v>53</v>
      </c>
      <c r="J5" s="253">
        <f>+DB!L126</f>
        <v>0.50179999999999991</v>
      </c>
      <c r="K5" s="258">
        <f>+DB!B$130</f>
        <v>0.33250000000000002</v>
      </c>
      <c r="L5" s="253">
        <f t="shared" si="0"/>
        <v>-0.1692999999999999</v>
      </c>
      <c r="N5" s="242" t="s">
        <v>108</v>
      </c>
      <c r="O5" s="302" t="s">
        <v>502</v>
      </c>
      <c r="P5" s="245">
        <f>+DB!N205</f>
        <v>0.75</v>
      </c>
      <c r="Q5" s="248">
        <f>+DB!B$210</f>
        <v>0.115</v>
      </c>
      <c r="R5" s="245">
        <f t="shared" si="1"/>
        <v>-0.63500000000000001</v>
      </c>
      <c r="T5" s="242" t="s">
        <v>108</v>
      </c>
      <c r="U5" s="304" t="s">
        <v>74</v>
      </c>
      <c r="V5" s="248">
        <f>+DB!L252</f>
        <v>0.85</v>
      </c>
      <c r="W5" s="248">
        <f>+DB!B$256</f>
        <v>0.9294</v>
      </c>
      <c r="X5" s="248">
        <f t="shared" si="2"/>
        <v>7.9400000000000026E-2</v>
      </c>
    </row>
    <row r="6" spans="2:24" ht="15.75" customHeight="1" x14ac:dyDescent="0.25">
      <c r="B6" s="242" t="s">
        <v>108</v>
      </c>
      <c r="C6" s="243" t="s">
        <v>488</v>
      </c>
      <c r="D6" s="245">
        <f>+DB!L40</f>
        <v>0.12318396202279536</v>
      </c>
      <c r="E6" s="245">
        <f>+DB!B44</f>
        <v>0.1205</v>
      </c>
      <c r="F6" s="246">
        <f t="shared" si="3"/>
        <v>-2.6839620227953609E-3</v>
      </c>
      <c r="H6" s="242" t="s">
        <v>108</v>
      </c>
      <c r="I6" s="251" t="s">
        <v>54</v>
      </c>
      <c r="J6" s="253">
        <f>+DB!L133</f>
        <v>0.50179999999999991</v>
      </c>
      <c r="K6" s="258">
        <f>+DB!B$137</f>
        <v>0.8679</v>
      </c>
      <c r="L6" s="253">
        <f t="shared" si="0"/>
        <v>0.36610000000000009</v>
      </c>
      <c r="N6" s="242" t="s">
        <v>108</v>
      </c>
      <c r="O6" s="303" t="s">
        <v>503</v>
      </c>
      <c r="P6" s="245">
        <f>+DB!L214</f>
        <v>0.6</v>
      </c>
      <c r="Q6" s="248">
        <f>+DB!B$219</f>
        <v>0.75</v>
      </c>
      <c r="R6" s="245">
        <f t="shared" si="1"/>
        <v>0.15000000000000002</v>
      </c>
      <c r="T6" s="242" t="s">
        <v>109</v>
      </c>
      <c r="U6" s="304" t="s">
        <v>72</v>
      </c>
      <c r="V6" s="248">
        <f t="shared" ref="V6:V38" si="4">V3</f>
        <v>0.25</v>
      </c>
      <c r="W6" s="248">
        <f>+DB!C$242</f>
        <v>0.04</v>
      </c>
      <c r="X6" s="248">
        <f t="shared" si="2"/>
        <v>-0.21</v>
      </c>
    </row>
    <row r="7" spans="2:24" ht="15" customHeight="1" x14ac:dyDescent="0.25">
      <c r="B7" s="242" t="s">
        <v>108</v>
      </c>
      <c r="C7" s="247" t="s">
        <v>42</v>
      </c>
      <c r="D7" s="245">
        <f>+DB!L47</f>
        <v>0.159</v>
      </c>
      <c r="E7" s="248">
        <f>+DB!B51</f>
        <v>0.14549999999999999</v>
      </c>
      <c r="F7" s="249">
        <f t="shared" si="3"/>
        <v>-1.3500000000000012E-2</v>
      </c>
      <c r="H7" s="242" t="s">
        <v>108</v>
      </c>
      <c r="I7" s="251" t="s">
        <v>57</v>
      </c>
      <c r="J7" s="253">
        <f>+DB!L140</f>
        <v>0.4667</v>
      </c>
      <c r="K7" s="258">
        <f>+DB!B$144</f>
        <v>0.61150000000000004</v>
      </c>
      <c r="L7" s="253">
        <f t="shared" si="0"/>
        <v>0.14480000000000004</v>
      </c>
      <c r="N7" s="242" t="s">
        <v>108</v>
      </c>
      <c r="O7" s="303" t="s">
        <v>504</v>
      </c>
      <c r="P7" s="245">
        <f>+DB!L222</f>
        <v>0.85</v>
      </c>
      <c r="Q7" s="248">
        <f>+DB!B$233</f>
        <v>1.24</v>
      </c>
      <c r="R7" s="245">
        <f t="shared" si="1"/>
        <v>0.39</v>
      </c>
      <c r="T7" s="242" t="s">
        <v>109</v>
      </c>
      <c r="U7" s="304" t="s">
        <v>73</v>
      </c>
      <c r="V7" s="248">
        <f t="shared" si="4"/>
        <v>0.75</v>
      </c>
      <c r="W7" s="248">
        <f>+DB!C$249</f>
        <v>0.78</v>
      </c>
      <c r="X7" s="248">
        <f t="shared" si="2"/>
        <v>3.0000000000000027E-2</v>
      </c>
    </row>
    <row r="8" spans="2:24" ht="15" customHeight="1" x14ac:dyDescent="0.25">
      <c r="B8" s="242" t="s">
        <v>108</v>
      </c>
      <c r="C8" s="247" t="s">
        <v>43</v>
      </c>
      <c r="D8" s="245">
        <f>+DB!L54</f>
        <v>0.12740000000000001</v>
      </c>
      <c r="E8" s="248">
        <f>+DB!B58</f>
        <v>0.191</v>
      </c>
      <c r="F8" s="249">
        <f t="shared" si="3"/>
        <v>6.359999999999999E-2</v>
      </c>
      <c r="H8" s="242" t="s">
        <v>108</v>
      </c>
      <c r="I8" s="251" t="s">
        <v>58</v>
      </c>
      <c r="J8" s="259">
        <f>+DB!L147</f>
        <v>125.98</v>
      </c>
      <c r="K8" s="259">
        <f>+DB!B$151</f>
        <v>149.08000000000001</v>
      </c>
      <c r="L8" s="260">
        <f t="shared" si="0"/>
        <v>23.100000000000009</v>
      </c>
      <c r="N8" s="242" t="s">
        <v>108</v>
      </c>
      <c r="O8" s="303" t="s">
        <v>69</v>
      </c>
      <c r="P8" s="245">
        <f>+DB!L229</f>
        <v>0.85</v>
      </c>
      <c r="Q8" s="248">
        <f>+DB!B$233</f>
        <v>1.24</v>
      </c>
      <c r="R8" s="245">
        <f t="shared" si="1"/>
        <v>0.39</v>
      </c>
      <c r="T8" s="242" t="s">
        <v>109</v>
      </c>
      <c r="U8" s="304" t="s">
        <v>74</v>
      </c>
      <c r="V8" s="248">
        <f t="shared" si="4"/>
        <v>0.85</v>
      </c>
      <c r="W8" s="248">
        <f>+DB!C$256</f>
        <v>0.9294</v>
      </c>
      <c r="X8" s="248">
        <f t="shared" si="2"/>
        <v>7.9400000000000026E-2</v>
      </c>
    </row>
    <row r="9" spans="2:24" ht="15" customHeight="1" x14ac:dyDescent="0.25">
      <c r="B9" s="242" t="s">
        <v>108</v>
      </c>
      <c r="C9" s="247" t="s">
        <v>483</v>
      </c>
      <c r="D9" s="245">
        <f>+DB!L61</f>
        <v>4.4999999999999998E-2</v>
      </c>
      <c r="E9" s="248">
        <f>+DB!B65</f>
        <v>5.3800000000000001E-2</v>
      </c>
      <c r="F9" s="249">
        <f t="shared" si="3"/>
        <v>8.8000000000000023E-3</v>
      </c>
      <c r="H9" s="242" t="s">
        <v>108</v>
      </c>
      <c r="I9" s="251" t="s">
        <v>496</v>
      </c>
      <c r="J9" s="261">
        <f>+DB!L154</f>
        <v>4217</v>
      </c>
      <c r="K9" s="254">
        <f>+DB!B$158</f>
        <v>3811</v>
      </c>
      <c r="L9" s="262">
        <f t="shared" si="0"/>
        <v>-406</v>
      </c>
      <c r="N9" s="250" t="s">
        <v>109</v>
      </c>
      <c r="O9" s="302" t="s">
        <v>500</v>
      </c>
      <c r="P9" s="245">
        <f>P3</f>
        <v>0.78166666666666673</v>
      </c>
      <c r="Q9" s="248">
        <f>+DB!C$189</f>
        <v>0</v>
      </c>
      <c r="R9" s="245">
        <f t="shared" si="1"/>
        <v>-0.78166666666666673</v>
      </c>
      <c r="T9" s="242" t="s">
        <v>110</v>
      </c>
      <c r="U9" s="304" t="s">
        <v>72</v>
      </c>
      <c r="V9" s="248">
        <f t="shared" si="4"/>
        <v>0.25</v>
      </c>
      <c r="W9" s="248">
        <f>+DB!D$242</f>
        <v>0.06</v>
      </c>
      <c r="X9" s="248">
        <f t="shared" si="2"/>
        <v>-0.19</v>
      </c>
    </row>
    <row r="10" spans="2:24" ht="15" customHeight="1" x14ac:dyDescent="0.25">
      <c r="B10" s="242" t="s">
        <v>108</v>
      </c>
      <c r="C10" s="247" t="s">
        <v>484</v>
      </c>
      <c r="D10" s="245">
        <f>+DB!L68</f>
        <v>1</v>
      </c>
      <c r="E10" s="248">
        <f>+DB!B72</f>
        <v>1.0244</v>
      </c>
      <c r="F10" s="249">
        <f t="shared" si="3"/>
        <v>2.4399999999999977E-2</v>
      </c>
      <c r="H10" s="242" t="s">
        <v>108</v>
      </c>
      <c r="I10" s="251" t="s">
        <v>193</v>
      </c>
      <c r="J10" s="254">
        <f>+DB!L161</f>
        <v>631</v>
      </c>
      <c r="K10" s="254">
        <f>+DB!B$165</f>
        <v>656</v>
      </c>
      <c r="L10" s="263">
        <f t="shared" si="0"/>
        <v>25</v>
      </c>
      <c r="N10" s="250" t="s">
        <v>109</v>
      </c>
      <c r="O10" s="302" t="s">
        <v>501</v>
      </c>
      <c r="P10" s="245">
        <f t="shared" ref="P10:P73" si="5">P4</f>
        <v>0.625</v>
      </c>
      <c r="Q10" s="248">
        <f>+DB!C$201</f>
        <v>0.1</v>
      </c>
      <c r="R10" s="245">
        <f t="shared" si="1"/>
        <v>-0.52500000000000002</v>
      </c>
      <c r="T10" s="242" t="s">
        <v>110</v>
      </c>
      <c r="U10" s="304" t="s">
        <v>73</v>
      </c>
      <c r="V10" s="248">
        <f t="shared" si="4"/>
        <v>0.75</v>
      </c>
      <c r="W10" s="248">
        <f>+DB!D$249</f>
        <v>0.78</v>
      </c>
      <c r="X10" s="248">
        <f t="shared" si="2"/>
        <v>3.0000000000000027E-2</v>
      </c>
    </row>
    <row r="11" spans="2:24" ht="15" customHeight="1" x14ac:dyDescent="0.25">
      <c r="B11" s="242" t="s">
        <v>108</v>
      </c>
      <c r="C11" s="247" t="s">
        <v>45</v>
      </c>
      <c r="D11" s="245">
        <f>+DB!L75</f>
        <v>0.1119</v>
      </c>
      <c r="E11" s="248">
        <f>+DB!B79</f>
        <v>0.1017</v>
      </c>
      <c r="F11" s="249">
        <f t="shared" si="3"/>
        <v>-1.0200000000000001E-2</v>
      </c>
      <c r="H11" s="242" t="s">
        <v>108</v>
      </c>
      <c r="I11" s="251" t="s">
        <v>216</v>
      </c>
      <c r="J11" s="259">
        <f>+DB!L168</f>
        <v>2790480.1244999999</v>
      </c>
      <c r="K11" s="259">
        <f>+DB!B$172</f>
        <v>2696370.02</v>
      </c>
      <c r="L11" s="260">
        <f t="shared" si="0"/>
        <v>-94110.104499999899</v>
      </c>
      <c r="N11" s="250" t="s">
        <v>109</v>
      </c>
      <c r="O11" s="302" t="s">
        <v>502</v>
      </c>
      <c r="P11" s="245">
        <f t="shared" si="5"/>
        <v>0.75</v>
      </c>
      <c r="Q11" s="248">
        <f>+DB!C$210</f>
        <v>0.315</v>
      </c>
      <c r="R11" s="245">
        <f t="shared" si="1"/>
        <v>-0.435</v>
      </c>
      <c r="T11" s="242" t="s">
        <v>110</v>
      </c>
      <c r="U11" s="304" t="s">
        <v>74</v>
      </c>
      <c r="V11" s="248">
        <f t="shared" si="4"/>
        <v>0.85</v>
      </c>
      <c r="W11" s="248">
        <f>+DB!D$256</f>
        <v>0.94110000000000005</v>
      </c>
      <c r="X11" s="248">
        <f t="shared" si="2"/>
        <v>9.110000000000007E-2</v>
      </c>
    </row>
    <row r="12" spans="2:24" ht="15" customHeight="1" x14ac:dyDescent="0.25">
      <c r="B12" s="242" t="s">
        <v>108</v>
      </c>
      <c r="C12" s="247" t="s">
        <v>485</v>
      </c>
      <c r="D12" s="245">
        <f>+DB!L82</f>
        <v>0.13</v>
      </c>
      <c r="E12" s="248">
        <f>+DB!B86</f>
        <v>0.1108</v>
      </c>
      <c r="F12" s="249">
        <f t="shared" si="3"/>
        <v>-1.9200000000000009E-2</v>
      </c>
      <c r="H12" s="242" t="s">
        <v>108</v>
      </c>
      <c r="I12" s="252" t="s">
        <v>61</v>
      </c>
      <c r="J12" s="267">
        <f>+DB!L174</f>
        <v>0.77970000000000006</v>
      </c>
      <c r="K12" s="268">
        <f>+DB!B$179</f>
        <v>0.73</v>
      </c>
      <c r="L12" s="267">
        <f t="shared" si="0"/>
        <v>-4.9700000000000077E-2</v>
      </c>
      <c r="N12" s="250" t="s">
        <v>109</v>
      </c>
      <c r="O12" s="303" t="s">
        <v>503</v>
      </c>
      <c r="P12" s="245">
        <f t="shared" si="5"/>
        <v>0.6</v>
      </c>
      <c r="Q12" s="248">
        <f>+DB!C$219</f>
        <v>0.75</v>
      </c>
      <c r="R12" s="245">
        <f t="shared" si="1"/>
        <v>0.15000000000000002</v>
      </c>
      <c r="T12" s="242" t="s">
        <v>111</v>
      </c>
      <c r="U12" s="304" t="s">
        <v>72</v>
      </c>
      <c r="V12" s="248">
        <f t="shared" si="4"/>
        <v>0.25</v>
      </c>
      <c r="W12" s="248">
        <f>+DB!E$242</f>
        <v>0</v>
      </c>
      <c r="X12" s="248">
        <f t="shared" ref="X12:X38" si="6">+W12-V12</f>
        <v>-0.25</v>
      </c>
    </row>
    <row r="13" spans="2:24" ht="15" customHeight="1" x14ac:dyDescent="0.25">
      <c r="B13" s="242" t="s">
        <v>108</v>
      </c>
      <c r="C13" s="247" t="s">
        <v>486</v>
      </c>
      <c r="D13" s="245">
        <f>+DB!L89</f>
        <v>8.5000000000000006E-2</v>
      </c>
      <c r="E13" s="248">
        <f>+DB!B93</f>
        <v>5.4699999999999999E-2</v>
      </c>
      <c r="F13" s="249">
        <f t="shared" si="3"/>
        <v>-3.0300000000000007E-2</v>
      </c>
      <c r="H13" s="242" t="s">
        <v>109</v>
      </c>
      <c r="I13" s="264" t="s">
        <v>55</v>
      </c>
      <c r="J13" s="253">
        <f>+J3</f>
        <v>0.3322</v>
      </c>
      <c r="K13" s="258">
        <f>+DB!C$116</f>
        <v>0.55710000000000004</v>
      </c>
      <c r="L13" s="253">
        <f t="shared" ref="L13:L44" si="7">+K13-J13</f>
        <v>0.22490000000000004</v>
      </c>
      <c r="N13" s="250" t="s">
        <v>109</v>
      </c>
      <c r="O13" s="303" t="s">
        <v>504</v>
      </c>
      <c r="P13" s="245">
        <f t="shared" si="5"/>
        <v>0.85</v>
      </c>
      <c r="Q13" s="248">
        <f>+DB!C$233</f>
        <v>1.6</v>
      </c>
      <c r="R13" s="245">
        <f t="shared" si="1"/>
        <v>0.75000000000000011</v>
      </c>
      <c r="T13" s="242" t="s">
        <v>111</v>
      </c>
      <c r="U13" s="304" t="s">
        <v>73</v>
      </c>
      <c r="V13" s="248">
        <f t="shared" si="4"/>
        <v>0.75</v>
      </c>
      <c r="W13" s="248">
        <f>+DB!E$249</f>
        <v>0.78</v>
      </c>
      <c r="X13" s="248">
        <f t="shared" si="6"/>
        <v>3.0000000000000027E-2</v>
      </c>
    </row>
    <row r="14" spans="2:24" ht="15" customHeight="1" x14ac:dyDescent="0.25">
      <c r="B14" s="242" t="s">
        <v>108</v>
      </c>
      <c r="C14" s="244" t="s">
        <v>478</v>
      </c>
      <c r="D14" s="248">
        <f>+DB!L96</f>
        <v>1.01</v>
      </c>
      <c r="E14" s="248">
        <f>+DB!B100</f>
        <v>0.99980000000000002</v>
      </c>
      <c r="F14" s="249">
        <f t="shared" si="3"/>
        <v>-1.0199999999999987E-2</v>
      </c>
      <c r="H14" s="255" t="s">
        <v>109</v>
      </c>
      <c r="I14" s="264" t="s">
        <v>52</v>
      </c>
      <c r="J14" s="253">
        <f t="shared" ref="J14:J77" si="8">+J4</f>
        <v>0.3589</v>
      </c>
      <c r="K14" s="258">
        <f>+DB!C$123</f>
        <v>0.4269</v>
      </c>
      <c r="L14" s="253">
        <f t="shared" si="7"/>
        <v>6.8000000000000005E-2</v>
      </c>
      <c r="N14" s="250" t="s">
        <v>109</v>
      </c>
      <c r="O14" s="303" t="s">
        <v>69</v>
      </c>
      <c r="P14" s="245">
        <f t="shared" si="5"/>
        <v>0.85</v>
      </c>
      <c r="Q14" s="248">
        <f>+DB!C$233</f>
        <v>1.6</v>
      </c>
      <c r="R14" s="245">
        <f t="shared" si="1"/>
        <v>0.75000000000000011</v>
      </c>
      <c r="T14" s="242" t="s">
        <v>111</v>
      </c>
      <c r="U14" s="304" t="s">
        <v>74</v>
      </c>
      <c r="V14" s="248">
        <f t="shared" si="4"/>
        <v>0.85</v>
      </c>
      <c r="W14" s="248">
        <f>+DB!E$256</f>
        <v>0.94110000000000005</v>
      </c>
      <c r="X14" s="248">
        <f t="shared" si="6"/>
        <v>9.110000000000007E-2</v>
      </c>
    </row>
    <row r="15" spans="2:24" ht="15" customHeight="1" x14ac:dyDescent="0.25">
      <c r="B15" s="242" t="s">
        <v>108</v>
      </c>
      <c r="C15" s="247" t="s">
        <v>49</v>
      </c>
      <c r="D15" s="245">
        <f>+DB!L103</f>
        <v>0.87030000000000007</v>
      </c>
      <c r="E15" s="248">
        <f>+DB!B107</f>
        <v>0.60556083311823272</v>
      </c>
      <c r="F15" s="249">
        <f t="shared" si="3"/>
        <v>-0.26473916688176735</v>
      </c>
      <c r="H15" s="242" t="s">
        <v>109</v>
      </c>
      <c r="I15" s="264" t="s">
        <v>53</v>
      </c>
      <c r="J15" s="253">
        <f t="shared" si="8"/>
        <v>0.50179999999999991</v>
      </c>
      <c r="K15" s="258">
        <f>+DB!C$130</f>
        <v>0.33250000000000002</v>
      </c>
      <c r="L15" s="253">
        <f t="shared" si="7"/>
        <v>-0.1692999999999999</v>
      </c>
      <c r="N15" s="250" t="s">
        <v>110</v>
      </c>
      <c r="O15" s="302" t="s">
        <v>500</v>
      </c>
      <c r="P15" s="245">
        <f>P9</f>
        <v>0.78166666666666673</v>
      </c>
      <c r="Q15" s="248">
        <f>+DB!D$189</f>
        <v>0</v>
      </c>
      <c r="R15" s="245">
        <f t="shared" si="1"/>
        <v>-0.78166666666666673</v>
      </c>
      <c r="T15" s="242" t="s">
        <v>112</v>
      </c>
      <c r="U15" s="304" t="s">
        <v>72</v>
      </c>
      <c r="V15" s="248">
        <f t="shared" si="4"/>
        <v>0.25</v>
      </c>
      <c r="W15" s="248">
        <f>+DB!F$242</f>
        <v>0</v>
      </c>
      <c r="X15" s="248">
        <f t="shared" si="6"/>
        <v>-0.25</v>
      </c>
    </row>
    <row r="16" spans="2:24" ht="15.75" x14ac:dyDescent="0.25">
      <c r="B16" s="242" t="s">
        <v>109</v>
      </c>
      <c r="C16" s="243" t="s">
        <v>487</v>
      </c>
      <c r="D16" s="322">
        <f>D3</f>
        <v>1.1666666666666667E-2</v>
      </c>
      <c r="E16" s="322">
        <f>+DB!C17</f>
        <v>-8.0826449716981275E-4</v>
      </c>
      <c r="F16" s="322">
        <f>+E16-D16</f>
        <v>-1.2474931163836481E-2</v>
      </c>
      <c r="H16" s="255" t="s">
        <v>109</v>
      </c>
      <c r="I16" s="264" t="s">
        <v>54</v>
      </c>
      <c r="J16" s="253">
        <f t="shared" si="8"/>
        <v>0.50179999999999991</v>
      </c>
      <c r="K16" s="258">
        <f>+DB!C$137</f>
        <v>0.8679</v>
      </c>
      <c r="L16" s="274">
        <f t="shared" si="7"/>
        <v>0.36610000000000009</v>
      </c>
      <c r="M16" s="266"/>
      <c r="N16" s="250" t="s">
        <v>110</v>
      </c>
      <c r="O16" s="302" t="s">
        <v>501</v>
      </c>
      <c r="P16" s="245">
        <f t="shared" si="5"/>
        <v>0.625</v>
      </c>
      <c r="Q16" s="248">
        <f>+DB!D$201</f>
        <v>0.17499999999999999</v>
      </c>
      <c r="R16" s="245">
        <f t="shared" si="1"/>
        <v>-0.45</v>
      </c>
      <c r="T16" s="242" t="s">
        <v>112</v>
      </c>
      <c r="U16" s="304" t="s">
        <v>73</v>
      </c>
      <c r="V16" s="248">
        <f t="shared" si="4"/>
        <v>0.75</v>
      </c>
      <c r="W16" s="248">
        <f>+DB!F$249</f>
        <v>0.78</v>
      </c>
      <c r="X16" s="248">
        <f t="shared" si="6"/>
        <v>3.0000000000000027E-2</v>
      </c>
    </row>
    <row r="17" spans="2:24" x14ac:dyDescent="0.25">
      <c r="B17" s="242" t="s">
        <v>109</v>
      </c>
      <c r="C17" s="244" t="s">
        <v>480</v>
      </c>
      <c r="D17" s="322">
        <f t="shared" ref="D17:D28" si="9">D4</f>
        <v>6.6590314346624121E-3</v>
      </c>
      <c r="E17" s="322">
        <f>+DB!C27</f>
        <v>4.8629322453824352E-3</v>
      </c>
      <c r="F17" s="322">
        <f t="shared" ref="F17:F81" si="10">+E17-D17</f>
        <v>-1.7960991892799769E-3</v>
      </c>
      <c r="H17" s="242" t="s">
        <v>109</v>
      </c>
      <c r="I17" s="264" t="s">
        <v>57</v>
      </c>
      <c r="J17" s="253">
        <f t="shared" si="8"/>
        <v>0.4667</v>
      </c>
      <c r="K17" s="258">
        <f>+DB!C$144</f>
        <v>0.60950000000000004</v>
      </c>
      <c r="L17" s="274">
        <f t="shared" si="7"/>
        <v>0.14280000000000004</v>
      </c>
      <c r="M17" s="266"/>
      <c r="N17" s="250" t="s">
        <v>110</v>
      </c>
      <c r="O17" s="302" t="s">
        <v>502</v>
      </c>
      <c r="P17" s="245">
        <f t="shared" si="5"/>
        <v>0.75</v>
      </c>
      <c r="Q17" s="248">
        <f>+DB!D$210</f>
        <v>0.47500000000000003</v>
      </c>
      <c r="R17" s="245">
        <f t="shared" si="1"/>
        <v>-0.27499999999999997</v>
      </c>
      <c r="T17" s="242" t="s">
        <v>112</v>
      </c>
      <c r="U17" s="304" t="s">
        <v>74</v>
      </c>
      <c r="V17" s="248">
        <f t="shared" si="4"/>
        <v>0.85</v>
      </c>
      <c r="W17" s="248">
        <f>+DB!F$256</f>
        <v>0.94110000000000005</v>
      </c>
      <c r="X17" s="248">
        <f t="shared" si="6"/>
        <v>9.110000000000007E-2</v>
      </c>
    </row>
    <row r="18" spans="2:24" x14ac:dyDescent="0.25">
      <c r="B18" s="242" t="s">
        <v>109</v>
      </c>
      <c r="C18" s="244" t="s">
        <v>479</v>
      </c>
      <c r="D18" s="322">
        <f t="shared" si="9"/>
        <v>2.6796599258633577E-2</v>
      </c>
      <c r="E18" s="322">
        <f>+DB!C37</f>
        <v>-8.3550848361064786E-2</v>
      </c>
      <c r="F18" s="322">
        <f t="shared" si="10"/>
        <v>-0.11034744761969836</v>
      </c>
      <c r="H18" s="255" t="s">
        <v>109</v>
      </c>
      <c r="I18" s="264" t="s">
        <v>58</v>
      </c>
      <c r="J18" s="260">
        <f t="shared" si="8"/>
        <v>125.98</v>
      </c>
      <c r="K18" s="259">
        <f>+DB!C$151</f>
        <v>148.58000000000001</v>
      </c>
      <c r="L18" s="275">
        <f t="shared" si="7"/>
        <v>22.600000000000009</v>
      </c>
      <c r="M18" s="266"/>
      <c r="N18" s="250" t="s">
        <v>110</v>
      </c>
      <c r="O18" s="303" t="s">
        <v>503</v>
      </c>
      <c r="P18" s="245">
        <f t="shared" si="5"/>
        <v>0.6</v>
      </c>
      <c r="Q18" s="248">
        <f>+DB!D$219</f>
        <v>0.75</v>
      </c>
      <c r="R18" s="245">
        <f t="shared" si="1"/>
        <v>0.15000000000000002</v>
      </c>
      <c r="T18" s="242" t="s">
        <v>113</v>
      </c>
      <c r="U18" s="304" t="s">
        <v>72</v>
      </c>
      <c r="V18" s="248">
        <f t="shared" si="4"/>
        <v>0.25</v>
      </c>
      <c r="W18" s="248">
        <f>+DB!G$242</f>
        <v>0</v>
      </c>
      <c r="X18" s="248">
        <f t="shared" si="6"/>
        <v>-0.25</v>
      </c>
    </row>
    <row r="19" spans="2:24" ht="15.75" x14ac:dyDescent="0.25">
      <c r="B19" s="242" t="s">
        <v>109</v>
      </c>
      <c r="C19" s="243" t="s">
        <v>488</v>
      </c>
      <c r="D19" s="249">
        <f t="shared" si="9"/>
        <v>0.12318396202279536</v>
      </c>
      <c r="E19" s="245">
        <f>+DB!C44</f>
        <v>0.12280000000000001</v>
      </c>
      <c r="F19" s="249">
        <f t="shared" si="10"/>
        <v>-3.8396202279535052E-4</v>
      </c>
      <c r="H19" s="242" t="s">
        <v>109</v>
      </c>
      <c r="I19" s="264" t="s">
        <v>496</v>
      </c>
      <c r="J19" s="263">
        <f t="shared" si="8"/>
        <v>4217</v>
      </c>
      <c r="K19" s="254">
        <f>+DB!C$158</f>
        <v>3799</v>
      </c>
      <c r="L19" s="273">
        <f t="shared" si="7"/>
        <v>-418</v>
      </c>
      <c r="M19" s="266"/>
      <c r="N19" s="250" t="s">
        <v>110</v>
      </c>
      <c r="O19" s="303" t="s">
        <v>504</v>
      </c>
      <c r="P19" s="245">
        <f t="shared" si="5"/>
        <v>0.85</v>
      </c>
      <c r="Q19" s="248">
        <f>+DB!D$233</f>
        <v>0.88</v>
      </c>
      <c r="R19" s="245">
        <f t="shared" si="1"/>
        <v>3.0000000000000027E-2</v>
      </c>
      <c r="T19" s="242" t="s">
        <v>113</v>
      </c>
      <c r="U19" s="304" t="s">
        <v>73</v>
      </c>
      <c r="V19" s="248">
        <f t="shared" si="4"/>
        <v>0.75</v>
      </c>
      <c r="W19" s="248">
        <f>+DB!G$249</f>
        <v>0</v>
      </c>
      <c r="X19" s="248">
        <f t="shared" si="6"/>
        <v>-0.75</v>
      </c>
    </row>
    <row r="20" spans="2:24" x14ac:dyDescent="0.25">
      <c r="B20" s="242" t="s">
        <v>109</v>
      </c>
      <c r="C20" s="247" t="s">
        <v>42</v>
      </c>
      <c r="D20" s="249">
        <f t="shared" si="9"/>
        <v>0.159</v>
      </c>
      <c r="E20" s="248">
        <f>+DB!C51</f>
        <v>0.14549999999999999</v>
      </c>
      <c r="F20" s="249">
        <f t="shared" si="10"/>
        <v>-1.3500000000000012E-2</v>
      </c>
      <c r="H20" s="255" t="s">
        <v>109</v>
      </c>
      <c r="I20" s="271" t="s">
        <v>193</v>
      </c>
      <c r="J20" s="263">
        <f t="shared" si="8"/>
        <v>631</v>
      </c>
      <c r="K20" s="254">
        <f>+DB!C$165</f>
        <v>663</v>
      </c>
      <c r="L20" s="273">
        <f t="shared" si="7"/>
        <v>32</v>
      </c>
      <c r="M20" s="266"/>
      <c r="N20" s="250" t="s">
        <v>110</v>
      </c>
      <c r="O20" s="303" t="s">
        <v>69</v>
      </c>
      <c r="P20" s="245">
        <f t="shared" si="5"/>
        <v>0.85</v>
      </c>
      <c r="Q20" s="248">
        <f>+DB!D$233</f>
        <v>0.88</v>
      </c>
      <c r="R20" s="245">
        <f t="shared" si="1"/>
        <v>3.0000000000000027E-2</v>
      </c>
      <c r="T20" s="242" t="s">
        <v>113</v>
      </c>
      <c r="U20" s="304" t="s">
        <v>74</v>
      </c>
      <c r="V20" s="248">
        <f t="shared" si="4"/>
        <v>0.85</v>
      </c>
      <c r="W20" s="248">
        <f>+DB!G$256</f>
        <v>0</v>
      </c>
      <c r="X20" s="248">
        <f t="shared" si="6"/>
        <v>-0.85</v>
      </c>
    </row>
    <row r="21" spans="2:24" x14ac:dyDescent="0.25">
      <c r="B21" s="242" t="s">
        <v>109</v>
      </c>
      <c r="C21" s="247" t="s">
        <v>43</v>
      </c>
      <c r="D21" s="249">
        <f t="shared" si="9"/>
        <v>0.12740000000000001</v>
      </c>
      <c r="E21" s="248">
        <f>+DB!C58</f>
        <v>0.17710000000000001</v>
      </c>
      <c r="F21" s="249">
        <f t="shared" si="10"/>
        <v>4.9699999999999994E-2</v>
      </c>
      <c r="H21" s="242" t="s">
        <v>109</v>
      </c>
      <c r="I21" s="270" t="s">
        <v>216</v>
      </c>
      <c r="J21" s="260">
        <f t="shared" si="8"/>
        <v>2790480.1244999999</v>
      </c>
      <c r="K21" s="259">
        <f>+DB!C$172</f>
        <v>2698218.34</v>
      </c>
      <c r="L21" s="331">
        <f t="shared" si="7"/>
        <v>-92261.784500000067</v>
      </c>
      <c r="M21" s="266"/>
      <c r="N21" s="250" t="s">
        <v>111</v>
      </c>
      <c r="O21" s="302" t="s">
        <v>500</v>
      </c>
      <c r="P21" s="245">
        <f>P15</f>
        <v>0.78166666666666673</v>
      </c>
      <c r="Q21" s="248">
        <f>+DB!E$189</f>
        <v>0</v>
      </c>
      <c r="R21" s="245">
        <f t="shared" si="1"/>
        <v>-0.78166666666666673</v>
      </c>
      <c r="T21" s="242" t="s">
        <v>114</v>
      </c>
      <c r="U21" s="304" t="s">
        <v>72</v>
      </c>
      <c r="V21" s="248">
        <f t="shared" si="4"/>
        <v>0.25</v>
      </c>
      <c r="W21" s="248">
        <f>+DB!H$242</f>
        <v>0</v>
      </c>
      <c r="X21" s="248">
        <f t="shared" si="6"/>
        <v>-0.25</v>
      </c>
    </row>
    <row r="22" spans="2:24" x14ac:dyDescent="0.25">
      <c r="B22" s="242" t="s">
        <v>109</v>
      </c>
      <c r="C22" s="247" t="s">
        <v>483</v>
      </c>
      <c r="D22" s="249">
        <f t="shared" si="9"/>
        <v>4.4999999999999998E-2</v>
      </c>
      <c r="E22" s="248">
        <f>+DB!C65</f>
        <v>5.2499999999999998E-2</v>
      </c>
      <c r="F22" s="249">
        <f t="shared" si="10"/>
        <v>7.4999999999999997E-3</v>
      </c>
      <c r="H22" s="269" t="s">
        <v>109</v>
      </c>
      <c r="I22" s="265" t="s">
        <v>61</v>
      </c>
      <c r="J22" s="253">
        <f t="shared" si="8"/>
        <v>0.77970000000000006</v>
      </c>
      <c r="K22" s="268">
        <f>+DB!C$179</f>
        <v>0.73</v>
      </c>
      <c r="L22" s="279">
        <f t="shared" si="7"/>
        <v>-4.9700000000000077E-2</v>
      </c>
      <c r="M22" s="266"/>
      <c r="N22" s="250" t="s">
        <v>111</v>
      </c>
      <c r="O22" s="302" t="s">
        <v>501</v>
      </c>
      <c r="P22" s="245">
        <f t="shared" si="5"/>
        <v>0.625</v>
      </c>
      <c r="Q22" s="248">
        <f>+DB!E$201</f>
        <v>0</v>
      </c>
      <c r="R22" s="245">
        <f t="shared" si="1"/>
        <v>-0.625</v>
      </c>
      <c r="T22" s="242" t="s">
        <v>114</v>
      </c>
      <c r="U22" s="304" t="s">
        <v>73</v>
      </c>
      <c r="V22" s="248">
        <f t="shared" si="4"/>
        <v>0.75</v>
      </c>
      <c r="W22" s="248">
        <f>+DB!H$249</f>
        <v>0</v>
      </c>
      <c r="X22" s="248">
        <f t="shared" si="6"/>
        <v>-0.75</v>
      </c>
    </row>
    <row r="23" spans="2:24" x14ac:dyDescent="0.25">
      <c r="B23" s="242" t="s">
        <v>109</v>
      </c>
      <c r="C23" s="247" t="s">
        <v>484</v>
      </c>
      <c r="D23" s="249">
        <f t="shared" si="9"/>
        <v>1</v>
      </c>
      <c r="E23" s="248">
        <f>+DB!C72</f>
        <v>1.0255000000000001</v>
      </c>
      <c r="F23" s="249">
        <f t="shared" si="10"/>
        <v>2.5500000000000078E-2</v>
      </c>
      <c r="H23" s="288" t="s">
        <v>110</v>
      </c>
      <c r="I23" s="285" t="s">
        <v>55</v>
      </c>
      <c r="J23" s="253">
        <f>+J13</f>
        <v>0.3322</v>
      </c>
      <c r="K23" s="276">
        <f>+DB!D$116</f>
        <v>0.55710000000000004</v>
      </c>
      <c r="L23" s="280">
        <f t="shared" si="7"/>
        <v>0.22490000000000004</v>
      </c>
      <c r="M23" s="266"/>
      <c r="N23" s="250" t="s">
        <v>111</v>
      </c>
      <c r="O23" s="302" t="s">
        <v>502</v>
      </c>
      <c r="P23" s="245">
        <f t="shared" si="5"/>
        <v>0.75</v>
      </c>
      <c r="Q23" s="248">
        <f>+DB!E$210</f>
        <v>0</v>
      </c>
      <c r="R23" s="245">
        <f t="shared" si="1"/>
        <v>-0.75</v>
      </c>
      <c r="T23" s="242" t="s">
        <v>114</v>
      </c>
      <c r="U23" s="304" t="s">
        <v>74</v>
      </c>
      <c r="V23" s="248">
        <f t="shared" si="4"/>
        <v>0.85</v>
      </c>
      <c r="W23" s="248">
        <f>+DB!H$256</f>
        <v>0</v>
      </c>
      <c r="X23" s="248">
        <f t="shared" si="6"/>
        <v>-0.85</v>
      </c>
    </row>
    <row r="24" spans="2:24" ht="15" customHeight="1" x14ac:dyDescent="0.25">
      <c r="B24" s="242" t="s">
        <v>109</v>
      </c>
      <c r="C24" s="247" t="s">
        <v>45</v>
      </c>
      <c r="D24" s="249">
        <f t="shared" si="9"/>
        <v>0.1119</v>
      </c>
      <c r="E24" s="248">
        <f>+DB!C79</f>
        <v>9.8000000000000004E-2</v>
      </c>
      <c r="F24" s="249">
        <f t="shared" si="10"/>
        <v>-1.3899999999999996E-2</v>
      </c>
      <c r="H24" s="288" t="s">
        <v>110</v>
      </c>
      <c r="I24" s="285" t="s">
        <v>52</v>
      </c>
      <c r="J24" s="253">
        <f t="shared" si="8"/>
        <v>0.3589</v>
      </c>
      <c r="K24" s="276">
        <f>+DB!D$123</f>
        <v>0.4269</v>
      </c>
      <c r="L24" s="280">
        <f t="shared" si="7"/>
        <v>6.8000000000000005E-2</v>
      </c>
      <c r="M24" s="297"/>
      <c r="N24" s="250" t="s">
        <v>111</v>
      </c>
      <c r="O24" s="303" t="s">
        <v>503</v>
      </c>
      <c r="P24" s="245">
        <f t="shared" si="5"/>
        <v>0.6</v>
      </c>
      <c r="Q24" s="248">
        <f>+DB!E$219</f>
        <v>0.75</v>
      </c>
      <c r="R24" s="245">
        <f t="shared" si="1"/>
        <v>0.15000000000000002</v>
      </c>
      <c r="T24" s="242" t="s">
        <v>115</v>
      </c>
      <c r="U24" s="304" t="s">
        <v>72</v>
      </c>
      <c r="V24" s="248">
        <f t="shared" si="4"/>
        <v>0.25</v>
      </c>
      <c r="W24" s="248">
        <f>+DB!J$242</f>
        <v>0</v>
      </c>
      <c r="X24" s="248">
        <f t="shared" si="6"/>
        <v>-0.25</v>
      </c>
    </row>
    <row r="25" spans="2:24" x14ac:dyDescent="0.25">
      <c r="B25" s="242" t="s">
        <v>109</v>
      </c>
      <c r="C25" s="247" t="s">
        <v>485</v>
      </c>
      <c r="D25" s="249">
        <f t="shared" si="9"/>
        <v>0.13</v>
      </c>
      <c r="E25" s="248">
        <f>+DB!C86</f>
        <v>0.1103</v>
      </c>
      <c r="F25" s="249">
        <f t="shared" si="10"/>
        <v>-1.9700000000000009E-2</v>
      </c>
      <c r="H25" s="288" t="s">
        <v>110</v>
      </c>
      <c r="I25" s="285" t="s">
        <v>519</v>
      </c>
      <c r="J25" s="253">
        <f t="shared" si="8"/>
        <v>0.50179999999999991</v>
      </c>
      <c r="K25" s="276">
        <f>+DB!D$130</f>
        <v>0.33250000000000002</v>
      </c>
      <c r="L25" s="280">
        <f t="shared" si="7"/>
        <v>-0.1692999999999999</v>
      </c>
      <c r="M25" s="298"/>
      <c r="N25" s="250" t="s">
        <v>111</v>
      </c>
      <c r="O25" s="303" t="s">
        <v>504</v>
      </c>
      <c r="P25" s="245">
        <f t="shared" si="5"/>
        <v>0.85</v>
      </c>
      <c r="Q25" s="248">
        <f>+DB!E$233</f>
        <v>0</v>
      </c>
      <c r="R25" s="245">
        <f t="shared" si="1"/>
        <v>-0.85</v>
      </c>
      <c r="T25" s="242" t="s">
        <v>115</v>
      </c>
      <c r="U25" s="304" t="s">
        <v>73</v>
      </c>
      <c r="V25" s="248">
        <f t="shared" si="4"/>
        <v>0.75</v>
      </c>
      <c r="W25" s="248">
        <f>+DB!J$249</f>
        <v>0</v>
      </c>
      <c r="X25" s="248">
        <f t="shared" si="6"/>
        <v>-0.75</v>
      </c>
    </row>
    <row r="26" spans="2:24" x14ac:dyDescent="0.25">
      <c r="B26" s="242" t="s">
        <v>109</v>
      </c>
      <c r="C26" s="247" t="s">
        <v>486</v>
      </c>
      <c r="D26" s="249">
        <f t="shared" si="9"/>
        <v>8.5000000000000006E-2</v>
      </c>
      <c r="E26" s="248">
        <f>+DB!C93</f>
        <v>5.1499999999999997E-2</v>
      </c>
      <c r="F26" s="249">
        <f t="shared" si="10"/>
        <v>-3.3500000000000009E-2</v>
      </c>
      <c r="H26" s="288" t="s">
        <v>110</v>
      </c>
      <c r="I26" s="285" t="s">
        <v>54</v>
      </c>
      <c r="J26" s="253">
        <f t="shared" si="8"/>
        <v>0.50179999999999991</v>
      </c>
      <c r="K26" s="276">
        <f>+DB!D$137</f>
        <v>0.8679</v>
      </c>
      <c r="L26" s="280">
        <f t="shared" si="7"/>
        <v>0.36610000000000009</v>
      </c>
      <c r="M26" s="299"/>
      <c r="N26" s="250" t="s">
        <v>111</v>
      </c>
      <c r="O26" s="303" t="s">
        <v>69</v>
      </c>
      <c r="P26" s="245">
        <f t="shared" si="5"/>
        <v>0.85</v>
      </c>
      <c r="Q26" s="248">
        <f>+DB!E$233</f>
        <v>0</v>
      </c>
      <c r="R26" s="245">
        <f t="shared" si="1"/>
        <v>-0.85</v>
      </c>
      <c r="T26" s="242" t="s">
        <v>115</v>
      </c>
      <c r="U26" s="304" t="s">
        <v>74</v>
      </c>
      <c r="V26" s="248">
        <f t="shared" si="4"/>
        <v>0.85</v>
      </c>
      <c r="W26" s="248">
        <f>+DB!J$256</f>
        <v>0</v>
      </c>
      <c r="X26" s="248">
        <f t="shared" si="6"/>
        <v>-0.85</v>
      </c>
    </row>
    <row r="27" spans="2:24" x14ac:dyDescent="0.25">
      <c r="B27" s="242" t="s">
        <v>109</v>
      </c>
      <c r="C27" s="244" t="s">
        <v>478</v>
      </c>
      <c r="D27" s="249">
        <f t="shared" si="9"/>
        <v>1.01</v>
      </c>
      <c r="E27" s="248">
        <f>+DB!C100</f>
        <v>1.0088999999999999</v>
      </c>
      <c r="F27" s="249">
        <f t="shared" si="10"/>
        <v>-1.1000000000001009E-3</v>
      </c>
      <c r="H27" s="288" t="s">
        <v>110</v>
      </c>
      <c r="I27" s="285" t="s">
        <v>57</v>
      </c>
      <c r="J27" s="253">
        <f t="shared" si="8"/>
        <v>0.4667</v>
      </c>
      <c r="K27" s="276">
        <f>+DB!D$144</f>
        <v>0.60809999999999997</v>
      </c>
      <c r="L27" s="280">
        <f t="shared" si="7"/>
        <v>0.14139999999999997</v>
      </c>
      <c r="M27" s="297"/>
      <c r="N27" s="250" t="s">
        <v>112</v>
      </c>
      <c r="O27" s="302" t="s">
        <v>500</v>
      </c>
      <c r="P27" s="245">
        <f>P21</f>
        <v>0.78166666666666673</v>
      </c>
      <c r="Q27" s="248">
        <f>+DB!F$189</f>
        <v>0</v>
      </c>
      <c r="R27" s="245">
        <f t="shared" si="1"/>
        <v>-0.78166666666666673</v>
      </c>
      <c r="T27" s="242" t="s">
        <v>116</v>
      </c>
      <c r="U27" s="304" t="s">
        <v>72</v>
      </c>
      <c r="V27" s="248">
        <f t="shared" si="4"/>
        <v>0.25</v>
      </c>
      <c r="W27" s="248">
        <f>+DB!K$242</f>
        <v>0</v>
      </c>
      <c r="X27" s="248">
        <f t="shared" si="6"/>
        <v>-0.25</v>
      </c>
    </row>
    <row r="28" spans="2:24" x14ac:dyDescent="0.25">
      <c r="B28" s="242" t="s">
        <v>109</v>
      </c>
      <c r="C28" s="247" t="s">
        <v>49</v>
      </c>
      <c r="D28" s="249">
        <f t="shared" si="9"/>
        <v>0.87030000000000007</v>
      </c>
      <c r="E28" s="248">
        <f>+DB!C107</f>
        <v>0.59194343693900087</v>
      </c>
      <c r="F28" s="249">
        <f t="shared" si="10"/>
        <v>-0.27835656306099921</v>
      </c>
      <c r="H28" s="288" t="s">
        <v>110</v>
      </c>
      <c r="I28" s="285" t="s">
        <v>58</v>
      </c>
      <c r="J28" s="260">
        <f t="shared" si="8"/>
        <v>125.98</v>
      </c>
      <c r="K28" s="277">
        <f>+DB!D$151</f>
        <v>151</v>
      </c>
      <c r="L28" s="281">
        <f t="shared" si="7"/>
        <v>25.019999999999996</v>
      </c>
      <c r="M28" s="298"/>
      <c r="N28" s="250" t="s">
        <v>112</v>
      </c>
      <c r="O28" s="302" t="s">
        <v>501</v>
      </c>
      <c r="P28" s="245">
        <f t="shared" si="5"/>
        <v>0.625</v>
      </c>
      <c r="Q28" s="248">
        <f>+DB!F$201</f>
        <v>0</v>
      </c>
      <c r="R28" s="245">
        <f t="shared" si="1"/>
        <v>-0.625</v>
      </c>
      <c r="T28" s="242" t="s">
        <v>116</v>
      </c>
      <c r="U28" s="304" t="s">
        <v>73</v>
      </c>
      <c r="V28" s="248">
        <f t="shared" si="4"/>
        <v>0.75</v>
      </c>
      <c r="W28" s="248">
        <f>+DB!K$249</f>
        <v>0</v>
      </c>
      <c r="X28" s="248">
        <f t="shared" si="6"/>
        <v>-0.75</v>
      </c>
    </row>
    <row r="29" spans="2:24" ht="15.75" x14ac:dyDescent="0.25">
      <c r="B29" s="250" t="s">
        <v>110</v>
      </c>
      <c r="C29" s="243" t="s">
        <v>487</v>
      </c>
      <c r="D29" s="249">
        <f>D16</f>
        <v>1.1666666666666667E-2</v>
      </c>
      <c r="E29" s="249">
        <f>+DB!D17</f>
        <v>1.6624864527575817E-4</v>
      </c>
      <c r="F29" s="249">
        <f t="shared" si="10"/>
        <v>-1.1500418021390908E-2</v>
      </c>
      <c r="H29" s="288" t="s">
        <v>110</v>
      </c>
      <c r="I29" s="285" t="s">
        <v>496</v>
      </c>
      <c r="J29" s="263">
        <f t="shared" si="8"/>
        <v>4217</v>
      </c>
      <c r="K29" s="278">
        <f>+DB!D$158</f>
        <v>3787</v>
      </c>
      <c r="L29" s="282">
        <f t="shared" si="7"/>
        <v>-430</v>
      </c>
      <c r="M29" s="299"/>
      <c r="N29" s="250" t="s">
        <v>112</v>
      </c>
      <c r="O29" s="302" t="s">
        <v>502</v>
      </c>
      <c r="P29" s="245">
        <f t="shared" si="5"/>
        <v>0.75</v>
      </c>
      <c r="Q29" s="248">
        <f>+DB!F$210</f>
        <v>0</v>
      </c>
      <c r="R29" s="245">
        <f t="shared" si="1"/>
        <v>-0.75</v>
      </c>
      <c r="T29" s="242" t="s">
        <v>116</v>
      </c>
      <c r="U29" s="304" t="s">
        <v>74</v>
      </c>
      <c r="V29" s="248">
        <f t="shared" si="4"/>
        <v>0.85</v>
      </c>
      <c r="W29" s="248">
        <f>+DB!K$256</f>
        <v>0</v>
      </c>
      <c r="X29" s="248">
        <f t="shared" si="6"/>
        <v>-0.85</v>
      </c>
    </row>
    <row r="30" spans="2:24" x14ac:dyDescent="0.25">
      <c r="B30" s="250" t="s">
        <v>110</v>
      </c>
      <c r="C30" s="244" t="s">
        <v>480</v>
      </c>
      <c r="D30" s="249">
        <f t="shared" ref="D30:D41" si="11">D17</f>
        <v>6.6590314346624121E-3</v>
      </c>
      <c r="E30" s="249">
        <f>+DB!D27</f>
        <v>1.5702582938758296E-2</v>
      </c>
      <c r="F30" s="249">
        <f t="shared" si="10"/>
        <v>9.0435515040958835E-3</v>
      </c>
      <c r="H30" s="288" t="s">
        <v>110</v>
      </c>
      <c r="I30" s="286" t="s">
        <v>193</v>
      </c>
      <c r="J30" s="263">
        <f t="shared" si="8"/>
        <v>631</v>
      </c>
      <c r="K30" s="278">
        <f>+DB!D$165</f>
        <v>669</v>
      </c>
      <c r="L30" s="282">
        <f t="shared" si="7"/>
        <v>38</v>
      </c>
      <c r="M30" s="297"/>
      <c r="N30" s="250" t="s">
        <v>112</v>
      </c>
      <c r="O30" s="303" t="s">
        <v>503</v>
      </c>
      <c r="P30" s="245">
        <f t="shared" si="5"/>
        <v>0.6</v>
      </c>
      <c r="Q30" s="248">
        <f>+DB!F$219</f>
        <v>0.75</v>
      </c>
      <c r="R30" s="245">
        <f t="shared" si="1"/>
        <v>0.15000000000000002</v>
      </c>
      <c r="T30" s="242" t="s">
        <v>117</v>
      </c>
      <c r="U30" s="304" t="s">
        <v>72</v>
      </c>
      <c r="V30" s="248">
        <f t="shared" si="4"/>
        <v>0.25</v>
      </c>
      <c r="W30" s="248">
        <f>+DB!L$242</f>
        <v>0</v>
      </c>
      <c r="X30" s="248">
        <f t="shared" si="6"/>
        <v>-0.25</v>
      </c>
    </row>
    <row r="31" spans="2:24" x14ac:dyDescent="0.25">
      <c r="B31" s="250" t="s">
        <v>110</v>
      </c>
      <c r="C31" s="244" t="s">
        <v>479</v>
      </c>
      <c r="D31" s="249">
        <f t="shared" si="11"/>
        <v>2.6796599258633577E-2</v>
      </c>
      <c r="E31" s="249">
        <f>+DB!D37</f>
        <v>-0.13659112267033893</v>
      </c>
      <c r="F31" s="249">
        <f t="shared" si="10"/>
        <v>-0.1633877219289725</v>
      </c>
      <c r="H31" s="288" t="s">
        <v>110</v>
      </c>
      <c r="I31" s="287" t="s">
        <v>216</v>
      </c>
      <c r="J31" s="260">
        <f t="shared" si="8"/>
        <v>2790480.1244999999</v>
      </c>
      <c r="K31" s="332">
        <f>+DB!D$172</f>
        <v>2718482.99</v>
      </c>
      <c r="L31" s="333">
        <f t="shared" si="7"/>
        <v>-71997.134499999695</v>
      </c>
      <c r="M31" s="299"/>
      <c r="N31" s="250" t="s">
        <v>112</v>
      </c>
      <c r="O31" s="303" t="s">
        <v>504</v>
      </c>
      <c r="P31" s="245">
        <f t="shared" si="5"/>
        <v>0.85</v>
      </c>
      <c r="Q31" s="248">
        <f>+DB!F$233</f>
        <v>0</v>
      </c>
      <c r="R31" s="245">
        <f t="shared" si="1"/>
        <v>-0.85</v>
      </c>
      <c r="T31" s="242" t="s">
        <v>117</v>
      </c>
      <c r="U31" s="304" t="s">
        <v>73</v>
      </c>
      <c r="V31" s="248">
        <f t="shared" si="4"/>
        <v>0.75</v>
      </c>
      <c r="W31" s="248">
        <f>+DB!L$249</f>
        <v>0</v>
      </c>
      <c r="X31" s="248">
        <f t="shared" si="6"/>
        <v>-0.75</v>
      </c>
    </row>
    <row r="32" spans="2:24" ht="15.75" x14ac:dyDescent="0.25">
      <c r="B32" s="250" t="s">
        <v>110</v>
      </c>
      <c r="C32" s="243" t="s">
        <v>488</v>
      </c>
      <c r="D32" s="249">
        <f t="shared" si="11"/>
        <v>0.12318396202279536</v>
      </c>
      <c r="E32" s="245">
        <f>+DB!D44</f>
        <v>0.12509999999999999</v>
      </c>
      <c r="F32" s="249">
        <f t="shared" si="10"/>
        <v>1.9160379772046321E-3</v>
      </c>
      <c r="H32" s="288" t="s">
        <v>110</v>
      </c>
      <c r="I32" s="289" t="s">
        <v>61</v>
      </c>
      <c r="J32" s="292">
        <f t="shared" si="8"/>
        <v>0.77970000000000006</v>
      </c>
      <c r="K32" s="284">
        <f>+DB!D$179</f>
        <v>0.73</v>
      </c>
      <c r="L32" s="283">
        <f t="shared" si="7"/>
        <v>-4.9700000000000077E-2</v>
      </c>
      <c r="M32" s="300"/>
      <c r="N32" s="250" t="s">
        <v>112</v>
      </c>
      <c r="O32" s="303" t="s">
        <v>69</v>
      </c>
      <c r="P32" s="245">
        <f t="shared" si="5"/>
        <v>0.85</v>
      </c>
      <c r="Q32" s="248">
        <f>+DB!F$233</f>
        <v>0</v>
      </c>
      <c r="R32" s="245">
        <f t="shared" si="1"/>
        <v>-0.85</v>
      </c>
      <c r="T32" s="242" t="s">
        <v>117</v>
      </c>
      <c r="U32" s="304" t="s">
        <v>74</v>
      </c>
      <c r="V32" s="248">
        <f t="shared" si="4"/>
        <v>0.85</v>
      </c>
      <c r="W32" s="248">
        <f>+DB!L$256</f>
        <v>0</v>
      </c>
      <c r="X32" s="248">
        <f t="shared" si="6"/>
        <v>-0.85</v>
      </c>
    </row>
    <row r="33" spans="2:24" x14ac:dyDescent="0.25">
      <c r="B33" s="250" t="s">
        <v>110</v>
      </c>
      <c r="C33" s="247" t="s">
        <v>42</v>
      </c>
      <c r="D33" s="249">
        <f t="shared" si="11"/>
        <v>0.159</v>
      </c>
      <c r="E33" s="248">
        <f>+DB!D51</f>
        <v>0.16</v>
      </c>
      <c r="F33" s="249">
        <f t="shared" si="10"/>
        <v>1.0000000000000009E-3</v>
      </c>
      <c r="H33" s="288" t="s">
        <v>111</v>
      </c>
      <c r="I33" s="290" t="s">
        <v>55</v>
      </c>
      <c r="J33" s="283">
        <f>+J23</f>
        <v>0.3322</v>
      </c>
      <c r="K33" s="276">
        <f>+DB!E$116</f>
        <v>0.55710000000000004</v>
      </c>
      <c r="L33" s="280">
        <f t="shared" si="7"/>
        <v>0.22490000000000004</v>
      </c>
      <c r="M33" s="301"/>
      <c r="N33" s="250" t="s">
        <v>113</v>
      </c>
      <c r="O33" s="302" t="s">
        <v>500</v>
      </c>
      <c r="P33" s="245">
        <f>P27</f>
        <v>0.78166666666666673</v>
      </c>
      <c r="Q33" s="248">
        <f>+DB!G$189</f>
        <v>0</v>
      </c>
      <c r="R33" s="245">
        <f t="shared" si="1"/>
        <v>-0.78166666666666673</v>
      </c>
      <c r="T33" s="242" t="s">
        <v>118</v>
      </c>
      <c r="U33" s="304" t="s">
        <v>72</v>
      </c>
      <c r="V33" s="248">
        <f t="shared" si="4"/>
        <v>0.25</v>
      </c>
      <c r="W33" s="248">
        <f>+DB!M$242</f>
        <v>0</v>
      </c>
      <c r="X33" s="248">
        <f t="shared" si="6"/>
        <v>-0.25</v>
      </c>
    </row>
    <row r="34" spans="2:24" x14ac:dyDescent="0.25">
      <c r="B34" s="250" t="s">
        <v>110</v>
      </c>
      <c r="C34" s="247" t="s">
        <v>43</v>
      </c>
      <c r="D34" s="249">
        <f t="shared" si="11"/>
        <v>0.12740000000000001</v>
      </c>
      <c r="E34" s="248">
        <f>+DB!D51</f>
        <v>0.16</v>
      </c>
      <c r="F34" s="249">
        <f t="shared" si="10"/>
        <v>3.259999999999999E-2</v>
      </c>
      <c r="H34" s="288" t="s">
        <v>111</v>
      </c>
      <c r="I34" s="290" t="s">
        <v>52</v>
      </c>
      <c r="J34" s="283">
        <f t="shared" si="8"/>
        <v>0.3589</v>
      </c>
      <c r="K34" s="276">
        <f>+DB!E$123</f>
        <v>0.4269</v>
      </c>
      <c r="L34" s="280">
        <f t="shared" si="7"/>
        <v>6.8000000000000005E-2</v>
      </c>
      <c r="M34" s="301"/>
      <c r="N34" s="250" t="s">
        <v>113</v>
      </c>
      <c r="O34" s="302" t="s">
        <v>501</v>
      </c>
      <c r="P34" s="245">
        <f t="shared" si="5"/>
        <v>0.625</v>
      </c>
      <c r="Q34" s="248">
        <f>+DB!G$201</f>
        <v>0</v>
      </c>
      <c r="R34" s="245">
        <f t="shared" si="1"/>
        <v>-0.625</v>
      </c>
      <c r="T34" s="242" t="s">
        <v>118</v>
      </c>
      <c r="U34" s="304" t="s">
        <v>73</v>
      </c>
      <c r="V34" s="248">
        <f t="shared" si="4"/>
        <v>0.75</v>
      </c>
      <c r="W34" s="248">
        <f>+DB!M$249</f>
        <v>0</v>
      </c>
      <c r="X34" s="248">
        <f t="shared" si="6"/>
        <v>-0.75</v>
      </c>
    </row>
    <row r="35" spans="2:24" x14ac:dyDescent="0.25">
      <c r="B35" s="250" t="s">
        <v>110</v>
      </c>
      <c r="C35" s="247" t="s">
        <v>483</v>
      </c>
      <c r="D35" s="249">
        <f t="shared" si="11"/>
        <v>4.4999999999999998E-2</v>
      </c>
      <c r="E35" s="248">
        <f>+DB!D65</f>
        <v>5.2499999999999998E-2</v>
      </c>
      <c r="F35" s="249">
        <f>+E34-D35</f>
        <v>0.115</v>
      </c>
      <c r="H35" s="288" t="s">
        <v>111</v>
      </c>
      <c r="I35" s="290" t="s">
        <v>53</v>
      </c>
      <c r="J35" s="283">
        <f t="shared" si="8"/>
        <v>0.50179999999999991</v>
      </c>
      <c r="K35" s="276">
        <f>+DB!E$130</f>
        <v>0.33250000000000002</v>
      </c>
      <c r="L35" s="280">
        <f t="shared" si="7"/>
        <v>-0.1692999999999999</v>
      </c>
      <c r="M35" s="301"/>
      <c r="N35" s="250" t="s">
        <v>113</v>
      </c>
      <c r="O35" s="302" t="s">
        <v>502</v>
      </c>
      <c r="P35" s="245">
        <f t="shared" si="5"/>
        <v>0.75</v>
      </c>
      <c r="Q35" s="248">
        <f>+DB!G$210</f>
        <v>0</v>
      </c>
      <c r="R35" s="245">
        <f t="shared" ref="R35:R66" si="12">+Q35-P35</f>
        <v>-0.75</v>
      </c>
      <c r="T35" s="242" t="s">
        <v>118</v>
      </c>
      <c r="U35" s="304" t="s">
        <v>74</v>
      </c>
      <c r="V35" s="248">
        <f t="shared" si="4"/>
        <v>0.85</v>
      </c>
      <c r="W35" s="248">
        <f>+DB!M$256</f>
        <v>0</v>
      </c>
      <c r="X35" s="248">
        <f t="shared" si="6"/>
        <v>-0.85</v>
      </c>
    </row>
    <row r="36" spans="2:24" x14ac:dyDescent="0.25">
      <c r="B36" s="250" t="s">
        <v>110</v>
      </c>
      <c r="C36" s="247" t="s">
        <v>484</v>
      </c>
      <c r="D36" s="249">
        <f t="shared" si="11"/>
        <v>1</v>
      </c>
      <c r="E36" s="248">
        <f>+DB!D72</f>
        <v>1.0239</v>
      </c>
      <c r="F36" s="249">
        <f t="shared" si="10"/>
        <v>2.3900000000000032E-2</v>
      </c>
      <c r="H36" s="288" t="s">
        <v>111</v>
      </c>
      <c r="I36" s="290" t="s">
        <v>54</v>
      </c>
      <c r="J36" s="283">
        <f t="shared" si="8"/>
        <v>0.50179999999999991</v>
      </c>
      <c r="K36" s="276">
        <f>+DB!E$137</f>
        <v>0.8679</v>
      </c>
      <c r="L36" s="280">
        <f t="shared" si="7"/>
        <v>0.36610000000000009</v>
      </c>
      <c r="M36" s="301"/>
      <c r="N36" s="250" t="s">
        <v>113</v>
      </c>
      <c r="O36" s="303" t="s">
        <v>503</v>
      </c>
      <c r="P36" s="245">
        <f t="shared" si="5"/>
        <v>0.6</v>
      </c>
      <c r="Q36" s="248">
        <f>+DB!G$219</f>
        <v>0.8</v>
      </c>
      <c r="R36" s="245">
        <f t="shared" si="12"/>
        <v>0.20000000000000007</v>
      </c>
      <c r="T36" s="242" t="s">
        <v>119</v>
      </c>
      <c r="U36" s="304" t="s">
        <v>72</v>
      </c>
      <c r="V36" s="248">
        <f t="shared" si="4"/>
        <v>0.25</v>
      </c>
      <c r="W36" s="248">
        <f>+DB!N$242</f>
        <v>0</v>
      </c>
      <c r="X36" s="248">
        <f t="shared" si="6"/>
        <v>-0.25</v>
      </c>
    </row>
    <row r="37" spans="2:24" x14ac:dyDescent="0.25">
      <c r="B37" s="250" t="s">
        <v>110</v>
      </c>
      <c r="C37" s="247" t="s">
        <v>45</v>
      </c>
      <c r="D37" s="249">
        <f t="shared" si="11"/>
        <v>0.1119</v>
      </c>
      <c r="E37" s="248">
        <f>+DB!D79</f>
        <v>9.9599999999999994E-2</v>
      </c>
      <c r="F37" s="249">
        <f t="shared" si="10"/>
        <v>-1.2300000000000005E-2</v>
      </c>
      <c r="H37" s="288" t="s">
        <v>111</v>
      </c>
      <c r="I37" s="290" t="s">
        <v>57</v>
      </c>
      <c r="J37" s="283">
        <f t="shared" si="8"/>
        <v>0.4667</v>
      </c>
      <c r="K37" s="276">
        <f>+DB!E$144</f>
        <v>0.60809999999999997</v>
      </c>
      <c r="L37" s="280">
        <f t="shared" si="7"/>
        <v>0.14139999999999997</v>
      </c>
      <c r="M37" s="301"/>
      <c r="N37" s="250" t="s">
        <v>113</v>
      </c>
      <c r="O37" s="303" t="s">
        <v>504</v>
      </c>
      <c r="P37" s="245">
        <f t="shared" si="5"/>
        <v>0.85</v>
      </c>
      <c r="Q37" s="248">
        <f>+DB!G$233</f>
        <v>0</v>
      </c>
      <c r="R37" s="245">
        <f t="shared" si="12"/>
        <v>-0.85</v>
      </c>
      <c r="T37" s="242" t="s">
        <v>119</v>
      </c>
      <c r="U37" s="304" t="s">
        <v>73</v>
      </c>
      <c r="V37" s="248">
        <f t="shared" si="4"/>
        <v>0.75</v>
      </c>
      <c r="W37" s="248">
        <f>+DB!N$249</f>
        <v>0</v>
      </c>
      <c r="X37" s="248">
        <f t="shared" si="6"/>
        <v>-0.75</v>
      </c>
    </row>
    <row r="38" spans="2:24" x14ac:dyDescent="0.25">
      <c r="B38" s="250" t="s">
        <v>110</v>
      </c>
      <c r="C38" s="247" t="s">
        <v>485</v>
      </c>
      <c r="D38" s="249">
        <f t="shared" si="11"/>
        <v>0.13</v>
      </c>
      <c r="E38" s="248">
        <f>+DB!D86</f>
        <v>0.1074</v>
      </c>
      <c r="F38" s="249">
        <f t="shared" si="10"/>
        <v>-2.2600000000000009E-2</v>
      </c>
      <c r="H38" s="288" t="s">
        <v>111</v>
      </c>
      <c r="I38" s="290" t="s">
        <v>58</v>
      </c>
      <c r="J38" s="293">
        <f t="shared" si="8"/>
        <v>125.98</v>
      </c>
      <c r="K38" s="277">
        <f>+DB!E$151</f>
        <v>114.53</v>
      </c>
      <c r="L38" s="281">
        <f t="shared" si="7"/>
        <v>-11.450000000000003</v>
      </c>
      <c r="M38" s="297"/>
      <c r="N38" s="250" t="s">
        <v>113</v>
      </c>
      <c r="O38" s="303" t="s">
        <v>69</v>
      </c>
      <c r="P38" s="245">
        <f t="shared" si="5"/>
        <v>0.85</v>
      </c>
      <c r="Q38" s="248">
        <f>+DB!G$233</f>
        <v>0</v>
      </c>
      <c r="R38" s="245">
        <f t="shared" si="12"/>
        <v>-0.85</v>
      </c>
      <c r="T38" s="242" t="s">
        <v>119</v>
      </c>
      <c r="U38" s="304" t="s">
        <v>74</v>
      </c>
      <c r="V38" s="248">
        <f t="shared" si="4"/>
        <v>0.85</v>
      </c>
      <c r="W38" s="248">
        <f>+DB!N$256</f>
        <v>0</v>
      </c>
      <c r="X38" s="248">
        <f t="shared" si="6"/>
        <v>-0.85</v>
      </c>
    </row>
    <row r="39" spans="2:24" x14ac:dyDescent="0.25">
      <c r="B39" s="250" t="s">
        <v>110</v>
      </c>
      <c r="C39" s="247" t="s">
        <v>486</v>
      </c>
      <c r="D39" s="249">
        <f t="shared" si="11"/>
        <v>8.5000000000000006E-2</v>
      </c>
      <c r="E39" s="248">
        <f>+DB!D93</f>
        <v>5.2699999999999997E-2</v>
      </c>
      <c r="F39" s="249">
        <f t="shared" si="10"/>
        <v>-3.2300000000000009E-2</v>
      </c>
      <c r="H39" s="288" t="s">
        <v>111</v>
      </c>
      <c r="I39" s="290" t="s">
        <v>496</v>
      </c>
      <c r="J39" s="294">
        <f t="shared" si="8"/>
        <v>4217</v>
      </c>
      <c r="K39" s="278">
        <f>+DB!E$158</f>
        <v>3825</v>
      </c>
      <c r="L39" s="282">
        <f t="shared" si="7"/>
        <v>-392</v>
      </c>
      <c r="M39" s="298"/>
      <c r="N39" s="250" t="s">
        <v>114</v>
      </c>
      <c r="O39" s="302" t="s">
        <v>500</v>
      </c>
      <c r="P39" s="245">
        <f>P33</f>
        <v>0.78166666666666673</v>
      </c>
      <c r="Q39" s="248">
        <f>+DB!H$189</f>
        <v>0</v>
      </c>
      <c r="R39" s="245">
        <f t="shared" si="12"/>
        <v>-0.78166666666666673</v>
      </c>
    </row>
    <row r="40" spans="2:24" x14ac:dyDescent="0.25">
      <c r="B40" s="250" t="s">
        <v>110</v>
      </c>
      <c r="C40" s="244" t="s">
        <v>478</v>
      </c>
      <c r="D40" s="249">
        <f t="shared" si="11"/>
        <v>1.01</v>
      </c>
      <c r="E40" s="248">
        <f>+DB!D100</f>
        <v>1.0270999999999999</v>
      </c>
      <c r="F40" s="249">
        <f t="shared" si="10"/>
        <v>1.7099999999999893E-2</v>
      </c>
      <c r="H40" s="288" t="s">
        <v>111</v>
      </c>
      <c r="I40" s="290" t="s">
        <v>193</v>
      </c>
      <c r="J40" s="294">
        <f t="shared" si="8"/>
        <v>631</v>
      </c>
      <c r="K40" s="278">
        <f>+DB!E$165</f>
        <v>681</v>
      </c>
      <c r="L40" s="282">
        <f t="shared" si="7"/>
        <v>50</v>
      </c>
      <c r="M40" s="298"/>
      <c r="N40" s="250" t="s">
        <v>114</v>
      </c>
      <c r="O40" s="302" t="s">
        <v>501</v>
      </c>
      <c r="P40" s="245">
        <f t="shared" si="5"/>
        <v>0.625</v>
      </c>
      <c r="Q40" s="248">
        <f>+DB!H$201</f>
        <v>0</v>
      </c>
      <c r="R40" s="245">
        <f t="shared" si="12"/>
        <v>-0.625</v>
      </c>
    </row>
    <row r="41" spans="2:24" x14ac:dyDescent="0.25">
      <c r="B41" s="250" t="s">
        <v>110</v>
      </c>
      <c r="C41" s="247" t="s">
        <v>49</v>
      </c>
      <c r="D41" s="249">
        <f t="shared" si="11"/>
        <v>0.87030000000000007</v>
      </c>
      <c r="E41" s="248">
        <f>+DB!D107</f>
        <v>0.57007319987595073</v>
      </c>
      <c r="F41" s="249">
        <f t="shared" si="10"/>
        <v>-0.30022680012404934</v>
      </c>
      <c r="H41" s="288" t="s">
        <v>111</v>
      </c>
      <c r="I41" s="290" t="s">
        <v>216</v>
      </c>
      <c r="J41" s="293">
        <f t="shared" si="8"/>
        <v>2790480.1244999999</v>
      </c>
      <c r="K41" s="332">
        <f>+DB!E$172</f>
        <v>2768303.9</v>
      </c>
      <c r="L41" s="333">
        <f t="shared" si="7"/>
        <v>-22176.224500000011</v>
      </c>
      <c r="M41" s="298"/>
      <c r="N41" s="250" t="s">
        <v>114</v>
      </c>
      <c r="O41" s="302" t="s">
        <v>502</v>
      </c>
      <c r="P41" s="245">
        <f t="shared" si="5"/>
        <v>0.75</v>
      </c>
      <c r="Q41" s="248">
        <f>+DB!H$210</f>
        <v>0</v>
      </c>
      <c r="R41" s="245">
        <f t="shared" si="12"/>
        <v>-0.75</v>
      </c>
    </row>
    <row r="42" spans="2:24" ht="15.75" x14ac:dyDescent="0.25">
      <c r="B42" s="250" t="s">
        <v>111</v>
      </c>
      <c r="C42" s="243" t="s">
        <v>487</v>
      </c>
      <c r="D42" s="249">
        <f>D29</f>
        <v>1.1666666666666667E-2</v>
      </c>
      <c r="E42" s="249">
        <f>+DB!E$17</f>
        <v>6.7000000000000002E-3</v>
      </c>
      <c r="F42" s="249">
        <f t="shared" si="10"/>
        <v>-4.966666666666667E-3</v>
      </c>
      <c r="H42" s="288" t="s">
        <v>111</v>
      </c>
      <c r="I42" s="291" t="s">
        <v>61</v>
      </c>
      <c r="J42" s="283">
        <f t="shared" si="8"/>
        <v>0.77970000000000006</v>
      </c>
      <c r="K42" s="284">
        <f>+DB!E$179</f>
        <v>0.73</v>
      </c>
      <c r="L42" s="283">
        <f t="shared" si="7"/>
        <v>-4.9700000000000077E-2</v>
      </c>
      <c r="M42" s="298"/>
      <c r="N42" s="250" t="s">
        <v>114</v>
      </c>
      <c r="O42" s="303" t="s">
        <v>503</v>
      </c>
      <c r="P42" s="245">
        <f t="shared" si="5"/>
        <v>0.6</v>
      </c>
      <c r="Q42" s="248">
        <f>+DB!H$219</f>
        <v>0</v>
      </c>
      <c r="R42" s="245">
        <f t="shared" si="12"/>
        <v>-0.6</v>
      </c>
    </row>
    <row r="43" spans="2:24" x14ac:dyDescent="0.25">
      <c r="B43" s="250" t="s">
        <v>111</v>
      </c>
      <c r="C43" s="244" t="s">
        <v>480</v>
      </c>
      <c r="D43" s="249">
        <f t="shared" ref="D43:D54" si="13">D30</f>
        <v>6.6590314346624121E-3</v>
      </c>
      <c r="E43" s="249">
        <f>+DB!E$27</f>
        <v>3.2199999999999999E-2</v>
      </c>
      <c r="F43" s="249">
        <f t="shared" si="10"/>
        <v>2.5540968565337586E-2</v>
      </c>
      <c r="H43" s="288" t="s">
        <v>112</v>
      </c>
      <c r="I43" s="290" t="s">
        <v>55</v>
      </c>
      <c r="J43" s="283">
        <f>+J33</f>
        <v>0.3322</v>
      </c>
      <c r="K43" s="276">
        <f>+DB!F$116</f>
        <v>0.55710000000000004</v>
      </c>
      <c r="L43" s="280">
        <f t="shared" si="7"/>
        <v>0.22490000000000004</v>
      </c>
      <c r="M43" s="299"/>
      <c r="N43" s="250" t="s">
        <v>114</v>
      </c>
      <c r="O43" s="303" t="s">
        <v>504</v>
      </c>
      <c r="P43" s="245">
        <f t="shared" si="5"/>
        <v>0.85</v>
      </c>
      <c r="Q43" s="248">
        <f>+DB!H$233</f>
        <v>0</v>
      </c>
      <c r="R43" s="245">
        <f t="shared" si="12"/>
        <v>-0.85</v>
      </c>
    </row>
    <row r="44" spans="2:24" x14ac:dyDescent="0.25">
      <c r="B44" s="250" t="s">
        <v>111</v>
      </c>
      <c r="C44" s="244" t="s">
        <v>479</v>
      </c>
      <c r="D44" s="249">
        <f t="shared" si="13"/>
        <v>2.6796599258633577E-2</v>
      </c>
      <c r="E44" s="249">
        <f>+DB!E$37</f>
        <v>-0.15570000000000001</v>
      </c>
      <c r="F44" s="249">
        <f t="shared" si="10"/>
        <v>-0.1824965992586336</v>
      </c>
      <c r="H44" s="288" t="s">
        <v>112</v>
      </c>
      <c r="I44" s="290" t="s">
        <v>52</v>
      </c>
      <c r="J44" s="283">
        <f t="shared" si="8"/>
        <v>0.3589</v>
      </c>
      <c r="K44" s="276">
        <f>+DB!F$123</f>
        <v>0.4269</v>
      </c>
      <c r="L44" s="280">
        <f t="shared" si="7"/>
        <v>6.8000000000000005E-2</v>
      </c>
      <c r="N44" s="250" t="s">
        <v>114</v>
      </c>
      <c r="O44" s="303" t="s">
        <v>69</v>
      </c>
      <c r="P44" s="245">
        <f t="shared" si="5"/>
        <v>0.85</v>
      </c>
      <c r="Q44" s="248">
        <f>+DB!H$233</f>
        <v>0</v>
      </c>
      <c r="R44" s="245">
        <f t="shared" si="12"/>
        <v>-0.85</v>
      </c>
    </row>
    <row r="45" spans="2:24" ht="15.75" x14ac:dyDescent="0.25">
      <c r="B45" s="250" t="s">
        <v>111</v>
      </c>
      <c r="C45" s="243" t="s">
        <v>488</v>
      </c>
      <c r="D45" s="249">
        <f t="shared" si="13"/>
        <v>0.12318396202279536</v>
      </c>
      <c r="E45" s="245">
        <f>+DB!E$44</f>
        <v>0.1263</v>
      </c>
      <c r="F45" s="249">
        <f t="shared" si="10"/>
        <v>3.1160379772046387E-3</v>
      </c>
      <c r="H45" s="288" t="s">
        <v>112</v>
      </c>
      <c r="I45" s="290" t="s">
        <v>53</v>
      </c>
      <c r="J45" s="283">
        <f t="shared" si="8"/>
        <v>0.50179999999999991</v>
      </c>
      <c r="K45" s="276">
        <f>+DB!F$130</f>
        <v>0.33250000000000002</v>
      </c>
      <c r="L45" s="280">
        <f t="shared" ref="L45:L76" si="14">+K45-J45</f>
        <v>-0.1692999999999999</v>
      </c>
      <c r="N45" s="250" t="s">
        <v>115</v>
      </c>
      <c r="O45" s="302" t="s">
        <v>500</v>
      </c>
      <c r="P45" s="245">
        <f>P39</f>
        <v>0.78166666666666673</v>
      </c>
      <c r="Q45" s="248">
        <f>+DB!J$189</f>
        <v>0</v>
      </c>
      <c r="R45" s="245">
        <f t="shared" si="12"/>
        <v>-0.78166666666666673</v>
      </c>
    </row>
    <row r="46" spans="2:24" x14ac:dyDescent="0.25">
      <c r="B46" s="250" t="s">
        <v>111</v>
      </c>
      <c r="C46" s="247" t="s">
        <v>42</v>
      </c>
      <c r="D46" s="249">
        <f t="shared" si="13"/>
        <v>0.159</v>
      </c>
      <c r="E46" s="248">
        <f>+DB!E$51</f>
        <v>0.1769</v>
      </c>
      <c r="F46" s="249">
        <f t="shared" si="10"/>
        <v>1.7899999999999999E-2</v>
      </c>
      <c r="H46" s="288" t="s">
        <v>112</v>
      </c>
      <c r="I46" s="290" t="s">
        <v>54</v>
      </c>
      <c r="J46" s="283">
        <f t="shared" si="8"/>
        <v>0.50179999999999991</v>
      </c>
      <c r="K46" s="276">
        <f>+DB!F$137</f>
        <v>0.8679</v>
      </c>
      <c r="L46" s="280">
        <f t="shared" si="14"/>
        <v>0.36610000000000009</v>
      </c>
      <c r="N46" s="250" t="s">
        <v>115</v>
      </c>
      <c r="O46" s="302" t="s">
        <v>501</v>
      </c>
      <c r="P46" s="245">
        <f t="shared" si="5"/>
        <v>0.625</v>
      </c>
      <c r="Q46" s="248">
        <f>+DB!J$201</f>
        <v>0</v>
      </c>
      <c r="R46" s="245">
        <f t="shared" si="12"/>
        <v>-0.625</v>
      </c>
    </row>
    <row r="47" spans="2:24" x14ac:dyDescent="0.25">
      <c r="B47" s="250" t="s">
        <v>111</v>
      </c>
      <c r="C47" s="247" t="s">
        <v>43</v>
      </c>
      <c r="D47" s="249">
        <f t="shared" si="13"/>
        <v>0.12740000000000001</v>
      </c>
      <c r="E47" s="248">
        <f>+DB!E$58</f>
        <v>0.188</v>
      </c>
      <c r="F47" s="249">
        <f t="shared" si="10"/>
        <v>6.0599999999999987E-2</v>
      </c>
      <c r="H47" s="288" t="s">
        <v>112</v>
      </c>
      <c r="I47" s="290" t="s">
        <v>57</v>
      </c>
      <c r="J47" s="283">
        <f t="shared" si="8"/>
        <v>0.4667</v>
      </c>
      <c r="K47" s="276">
        <f>+DB!F$144</f>
        <v>0.60809999999999997</v>
      </c>
      <c r="L47" s="280">
        <f t="shared" si="14"/>
        <v>0.14139999999999997</v>
      </c>
      <c r="N47" s="250" t="s">
        <v>115</v>
      </c>
      <c r="O47" s="302" t="s">
        <v>502</v>
      </c>
      <c r="P47" s="245">
        <f t="shared" si="5"/>
        <v>0.75</v>
      </c>
      <c r="Q47" s="248">
        <f>+DB!J$210</f>
        <v>0</v>
      </c>
      <c r="R47" s="245">
        <f t="shared" si="12"/>
        <v>-0.75</v>
      </c>
    </row>
    <row r="48" spans="2:24" x14ac:dyDescent="0.25">
      <c r="B48" s="250" t="s">
        <v>111</v>
      </c>
      <c r="C48" s="247" t="s">
        <v>483</v>
      </c>
      <c r="D48" s="249">
        <f t="shared" si="13"/>
        <v>4.4999999999999998E-2</v>
      </c>
      <c r="E48" s="248">
        <f>+DB!E$65</f>
        <v>5.1900000000000002E-2</v>
      </c>
      <c r="F48" s="249">
        <f t="shared" si="10"/>
        <v>6.9000000000000034E-3</v>
      </c>
      <c r="H48" s="288" t="s">
        <v>112</v>
      </c>
      <c r="I48" s="290" t="s">
        <v>58</v>
      </c>
      <c r="J48" s="293">
        <f t="shared" si="8"/>
        <v>125.98</v>
      </c>
      <c r="K48" s="277">
        <f>+DB!F$151</f>
        <v>102.39</v>
      </c>
      <c r="L48" s="281">
        <f t="shared" si="14"/>
        <v>-23.590000000000003</v>
      </c>
      <c r="N48" s="250" t="s">
        <v>115</v>
      </c>
      <c r="O48" s="303" t="s">
        <v>503</v>
      </c>
      <c r="P48" s="245">
        <f t="shared" si="5"/>
        <v>0.6</v>
      </c>
      <c r="Q48" s="248">
        <f>+DB!J$219</f>
        <v>0</v>
      </c>
      <c r="R48" s="245">
        <f t="shared" si="12"/>
        <v>-0.6</v>
      </c>
    </row>
    <row r="49" spans="2:18" x14ac:dyDescent="0.25">
      <c r="B49" s="250" t="s">
        <v>111</v>
      </c>
      <c r="C49" s="247" t="s">
        <v>484</v>
      </c>
      <c r="D49" s="249">
        <f t="shared" si="13"/>
        <v>1</v>
      </c>
      <c r="E49" s="248">
        <f>+DB!E$72</f>
        <v>1.0266999999999999</v>
      </c>
      <c r="F49" s="249">
        <f t="shared" si="10"/>
        <v>2.6699999999999946E-2</v>
      </c>
      <c r="H49" s="288" t="s">
        <v>112</v>
      </c>
      <c r="I49" s="290" t="s">
        <v>496</v>
      </c>
      <c r="J49" s="294">
        <f t="shared" si="8"/>
        <v>4217</v>
      </c>
      <c r="K49" s="278">
        <f>+DB!F$158</f>
        <v>3807</v>
      </c>
      <c r="L49" s="282">
        <f t="shared" si="14"/>
        <v>-410</v>
      </c>
      <c r="N49" s="250" t="s">
        <v>115</v>
      </c>
      <c r="O49" s="303" t="s">
        <v>504</v>
      </c>
      <c r="P49" s="245">
        <f t="shared" si="5"/>
        <v>0.85</v>
      </c>
      <c r="Q49" s="248">
        <f>+DB!J$233</f>
        <v>0</v>
      </c>
      <c r="R49" s="245">
        <f t="shared" si="12"/>
        <v>-0.85</v>
      </c>
    </row>
    <row r="50" spans="2:18" x14ac:dyDescent="0.25">
      <c r="B50" s="250" t="s">
        <v>111</v>
      </c>
      <c r="C50" s="247" t="s">
        <v>45</v>
      </c>
      <c r="D50" s="249">
        <f t="shared" si="13"/>
        <v>0.1119</v>
      </c>
      <c r="E50" s="248">
        <f>+DB!E$79</f>
        <v>9.9400000000000002E-2</v>
      </c>
      <c r="F50" s="249">
        <f t="shared" si="10"/>
        <v>-1.2499999999999997E-2</v>
      </c>
      <c r="H50" s="288" t="s">
        <v>112</v>
      </c>
      <c r="I50" s="290" t="s">
        <v>193</v>
      </c>
      <c r="J50" s="294">
        <f t="shared" si="8"/>
        <v>631</v>
      </c>
      <c r="K50" s="278">
        <f>+DB!F$165</f>
        <v>669</v>
      </c>
      <c r="L50" s="282">
        <f t="shared" si="14"/>
        <v>38</v>
      </c>
      <c r="N50" s="250" t="s">
        <v>115</v>
      </c>
      <c r="O50" s="303" t="s">
        <v>69</v>
      </c>
      <c r="P50" s="245">
        <f t="shared" si="5"/>
        <v>0.85</v>
      </c>
      <c r="Q50" s="248">
        <f>+DB!J$233</f>
        <v>0</v>
      </c>
      <c r="R50" s="245">
        <f t="shared" si="12"/>
        <v>-0.85</v>
      </c>
    </row>
    <row r="51" spans="2:18" x14ac:dyDescent="0.25">
      <c r="B51" s="250" t="s">
        <v>111</v>
      </c>
      <c r="C51" s="247" t="s">
        <v>485</v>
      </c>
      <c r="D51" s="249">
        <f t="shared" si="13"/>
        <v>0.13</v>
      </c>
      <c r="E51" s="248">
        <f>+DB!E$86</f>
        <v>0.1069</v>
      </c>
      <c r="F51" s="249">
        <f t="shared" si="10"/>
        <v>-2.3100000000000009E-2</v>
      </c>
      <c r="H51" s="288" t="s">
        <v>112</v>
      </c>
      <c r="I51" s="290" t="s">
        <v>216</v>
      </c>
      <c r="J51" s="293">
        <f t="shared" si="8"/>
        <v>2790480.1244999999</v>
      </c>
      <c r="K51" s="332">
        <f>+DB!F$172</f>
        <v>2798746.68</v>
      </c>
      <c r="L51" s="333">
        <f t="shared" si="14"/>
        <v>8266.5555000002496</v>
      </c>
      <c r="N51" s="250" t="s">
        <v>116</v>
      </c>
      <c r="O51" s="302" t="s">
        <v>500</v>
      </c>
      <c r="P51" s="245">
        <f>P45</f>
        <v>0.78166666666666673</v>
      </c>
      <c r="Q51" s="248">
        <f>+DB!K$189</f>
        <v>0</v>
      </c>
      <c r="R51" s="245">
        <f t="shared" si="12"/>
        <v>-0.78166666666666673</v>
      </c>
    </row>
    <row r="52" spans="2:18" x14ac:dyDescent="0.25">
      <c r="B52" s="250" t="s">
        <v>111</v>
      </c>
      <c r="C52" s="247" t="s">
        <v>486</v>
      </c>
      <c r="D52" s="249">
        <f t="shared" si="13"/>
        <v>8.5000000000000006E-2</v>
      </c>
      <c r="E52" s="248">
        <f>+DB!E$93</f>
        <v>5.2200000000000003E-2</v>
      </c>
      <c r="F52" s="249">
        <f t="shared" si="10"/>
        <v>-3.2800000000000003E-2</v>
      </c>
      <c r="H52" s="288" t="s">
        <v>112</v>
      </c>
      <c r="I52" s="291" t="s">
        <v>61</v>
      </c>
      <c r="J52" s="283">
        <f t="shared" si="8"/>
        <v>0.77970000000000006</v>
      </c>
      <c r="K52" s="284">
        <f>+DB!F$179</f>
        <v>0.73</v>
      </c>
      <c r="L52" s="283">
        <f t="shared" si="14"/>
        <v>-4.9700000000000077E-2</v>
      </c>
      <c r="N52" s="250" t="s">
        <v>116</v>
      </c>
      <c r="O52" s="302" t="s">
        <v>501</v>
      </c>
      <c r="P52" s="245">
        <f t="shared" si="5"/>
        <v>0.625</v>
      </c>
      <c r="Q52" s="248">
        <f>+DB!K$201</f>
        <v>0</v>
      </c>
      <c r="R52" s="245">
        <f t="shared" si="12"/>
        <v>-0.625</v>
      </c>
    </row>
    <row r="53" spans="2:18" x14ac:dyDescent="0.25">
      <c r="B53" s="250" t="s">
        <v>111</v>
      </c>
      <c r="C53" s="244" t="s">
        <v>478</v>
      </c>
      <c r="D53" s="249">
        <f t="shared" si="13"/>
        <v>1.01</v>
      </c>
      <c r="E53" s="248">
        <f>+DB!E$100</f>
        <v>1.0818000000000001</v>
      </c>
      <c r="F53" s="249">
        <f t="shared" si="10"/>
        <v>7.1800000000000086E-2</v>
      </c>
      <c r="H53" s="288" t="s">
        <v>113</v>
      </c>
      <c r="I53" s="290" t="s">
        <v>55</v>
      </c>
      <c r="J53" s="283">
        <f>+J43</f>
        <v>0.3322</v>
      </c>
      <c r="K53" s="276">
        <f>+DB!G$116</f>
        <v>0</v>
      </c>
      <c r="L53" s="280">
        <f t="shared" si="14"/>
        <v>-0.3322</v>
      </c>
      <c r="N53" s="250" t="s">
        <v>116</v>
      </c>
      <c r="O53" s="302" t="s">
        <v>502</v>
      </c>
      <c r="P53" s="245">
        <f t="shared" si="5"/>
        <v>0.75</v>
      </c>
      <c r="Q53" s="248">
        <f>+DB!K$210</f>
        <v>0</v>
      </c>
      <c r="R53" s="245">
        <f t="shared" si="12"/>
        <v>-0.75</v>
      </c>
    </row>
    <row r="54" spans="2:18" x14ac:dyDescent="0.25">
      <c r="B54" s="250" t="s">
        <v>111</v>
      </c>
      <c r="C54" s="247" t="s">
        <v>49</v>
      </c>
      <c r="D54" s="249">
        <f t="shared" si="13"/>
        <v>0.87030000000000007</v>
      </c>
      <c r="E54" s="248">
        <f>+DB!E$107</f>
        <v>0.55850943263430486</v>
      </c>
      <c r="F54" s="249">
        <f t="shared" si="10"/>
        <v>-0.31179056736569521</v>
      </c>
      <c r="H54" s="288" t="s">
        <v>113</v>
      </c>
      <c r="I54" s="290" t="s">
        <v>52</v>
      </c>
      <c r="J54" s="283">
        <f t="shared" si="8"/>
        <v>0.3589</v>
      </c>
      <c r="K54" s="276">
        <f>+DB!G$123</f>
        <v>0</v>
      </c>
      <c r="L54" s="280">
        <f t="shared" si="14"/>
        <v>-0.3589</v>
      </c>
      <c r="N54" s="250" t="s">
        <v>116</v>
      </c>
      <c r="O54" s="303" t="s">
        <v>503</v>
      </c>
      <c r="P54" s="245">
        <f t="shared" si="5"/>
        <v>0.6</v>
      </c>
      <c r="Q54" s="248">
        <f>+DB!K$219</f>
        <v>0</v>
      </c>
      <c r="R54" s="245">
        <f t="shared" si="12"/>
        <v>-0.6</v>
      </c>
    </row>
    <row r="55" spans="2:18" ht="15.75" x14ac:dyDescent="0.25">
      <c r="B55" s="250" t="s">
        <v>112</v>
      </c>
      <c r="C55" s="243" t="s">
        <v>487</v>
      </c>
      <c r="D55" s="249">
        <f>D42</f>
        <v>1.1666666666666667E-2</v>
      </c>
      <c r="E55" s="249">
        <f>+DB!F$17</f>
        <v>-1.3999999999999999E-4</v>
      </c>
      <c r="F55" s="249">
        <f t="shared" si="10"/>
        <v>-1.1806666666666667E-2</v>
      </c>
      <c r="H55" s="288" t="s">
        <v>113</v>
      </c>
      <c r="I55" s="290" t="s">
        <v>53</v>
      </c>
      <c r="J55" s="283">
        <f t="shared" si="8"/>
        <v>0.50179999999999991</v>
      </c>
      <c r="K55" s="276">
        <f>+DB!G$130</f>
        <v>0</v>
      </c>
      <c r="L55" s="280">
        <f t="shared" si="14"/>
        <v>-0.50179999999999991</v>
      </c>
      <c r="N55" s="250" t="s">
        <v>116</v>
      </c>
      <c r="O55" s="303" t="s">
        <v>504</v>
      </c>
      <c r="P55" s="245">
        <f t="shared" si="5"/>
        <v>0.85</v>
      </c>
      <c r="Q55" s="248">
        <f>+DB!K$233</f>
        <v>0</v>
      </c>
      <c r="R55" s="245">
        <f t="shared" si="12"/>
        <v>-0.85</v>
      </c>
    </row>
    <row r="56" spans="2:18" x14ac:dyDescent="0.25">
      <c r="B56" s="250" t="s">
        <v>112</v>
      </c>
      <c r="C56" s="244" t="s">
        <v>480</v>
      </c>
      <c r="D56" s="249">
        <f t="shared" ref="D56:D121" si="15">D43</f>
        <v>6.6590314346624121E-3</v>
      </c>
      <c r="E56" s="249">
        <f>+DB!F$27</f>
        <v>2.93E-2</v>
      </c>
      <c r="F56" s="249">
        <f t="shared" si="10"/>
        <v>2.2640968565337587E-2</v>
      </c>
      <c r="H56" s="288" t="s">
        <v>113</v>
      </c>
      <c r="I56" s="290" t="s">
        <v>54</v>
      </c>
      <c r="J56" s="283">
        <f t="shared" si="8"/>
        <v>0.50179999999999991</v>
      </c>
      <c r="K56" s="276">
        <f>+DB!G$137</f>
        <v>0</v>
      </c>
      <c r="L56" s="280">
        <f t="shared" si="14"/>
        <v>-0.50179999999999991</v>
      </c>
      <c r="N56" s="250" t="s">
        <v>116</v>
      </c>
      <c r="O56" s="303" t="s">
        <v>69</v>
      </c>
      <c r="P56" s="245">
        <f t="shared" si="5"/>
        <v>0.85</v>
      </c>
      <c r="Q56" s="248">
        <f>+DB!K$233</f>
        <v>0</v>
      </c>
      <c r="R56" s="245">
        <f t="shared" si="12"/>
        <v>-0.85</v>
      </c>
    </row>
    <row r="57" spans="2:18" x14ac:dyDescent="0.25">
      <c r="B57" s="250" t="s">
        <v>112</v>
      </c>
      <c r="C57" s="244" t="s">
        <v>479</v>
      </c>
      <c r="D57" s="249">
        <f t="shared" si="15"/>
        <v>2.6796599258633577E-2</v>
      </c>
      <c r="E57" s="249">
        <f>+DB!F$37</f>
        <v>-0.16250000000000001</v>
      </c>
      <c r="F57" s="249">
        <f t="shared" si="10"/>
        <v>-0.18929659925863357</v>
      </c>
      <c r="H57" s="288" t="s">
        <v>113</v>
      </c>
      <c r="I57" s="290" t="s">
        <v>57</v>
      </c>
      <c r="J57" s="283">
        <f t="shared" si="8"/>
        <v>0.4667</v>
      </c>
      <c r="K57" s="276">
        <f>+DB!G$144</f>
        <v>0</v>
      </c>
      <c r="L57" s="280">
        <f t="shared" si="14"/>
        <v>-0.4667</v>
      </c>
      <c r="N57" s="250" t="s">
        <v>117</v>
      </c>
      <c r="O57" s="302" t="s">
        <v>500</v>
      </c>
      <c r="P57" s="245">
        <f>P51</f>
        <v>0.78166666666666673</v>
      </c>
      <c r="Q57" s="248">
        <f>+DB!L$189</f>
        <v>0</v>
      </c>
      <c r="R57" s="245">
        <f t="shared" si="12"/>
        <v>-0.78166666666666673</v>
      </c>
    </row>
    <row r="58" spans="2:18" ht="15.75" x14ac:dyDescent="0.25">
      <c r="B58" s="250" t="s">
        <v>112</v>
      </c>
      <c r="C58" s="243" t="s">
        <v>488</v>
      </c>
      <c r="D58" s="249">
        <f t="shared" si="15"/>
        <v>0.12318396202279536</v>
      </c>
      <c r="E58" s="245">
        <f>+DB!F$44</f>
        <v>0.12909999999999999</v>
      </c>
      <c r="F58" s="249">
        <f t="shared" si="10"/>
        <v>5.9160379772046356E-3</v>
      </c>
      <c r="H58" s="288" t="s">
        <v>113</v>
      </c>
      <c r="I58" s="290" t="s">
        <v>58</v>
      </c>
      <c r="J58" s="293">
        <f t="shared" si="8"/>
        <v>125.98</v>
      </c>
      <c r="K58" s="277">
        <f>+DB!G$151</f>
        <v>0</v>
      </c>
      <c r="L58" s="281">
        <f t="shared" si="14"/>
        <v>-125.98</v>
      </c>
      <c r="N58" s="250" t="s">
        <v>117</v>
      </c>
      <c r="O58" s="302" t="s">
        <v>501</v>
      </c>
      <c r="P58" s="245">
        <f t="shared" si="5"/>
        <v>0.625</v>
      </c>
      <c r="Q58" s="248">
        <f>+DB!L$201</f>
        <v>0</v>
      </c>
      <c r="R58" s="245">
        <f t="shared" si="12"/>
        <v>-0.625</v>
      </c>
    </row>
    <row r="59" spans="2:18" x14ac:dyDescent="0.25">
      <c r="B59" s="250" t="s">
        <v>112</v>
      </c>
      <c r="C59" s="247" t="s">
        <v>42</v>
      </c>
      <c r="D59" s="249">
        <f t="shared" si="15"/>
        <v>0.159</v>
      </c>
      <c r="E59" s="248">
        <f>+DB!F$51</f>
        <v>0.20910000000000001</v>
      </c>
      <c r="F59" s="249">
        <f t="shared" si="10"/>
        <v>5.0100000000000006E-2</v>
      </c>
      <c r="H59" s="288" t="s">
        <v>113</v>
      </c>
      <c r="I59" s="290" t="s">
        <v>496</v>
      </c>
      <c r="J59" s="294">
        <f t="shared" si="8"/>
        <v>4217</v>
      </c>
      <c r="K59" s="278">
        <f>+DB!G$158</f>
        <v>0</v>
      </c>
      <c r="L59" s="282">
        <f t="shared" si="14"/>
        <v>-4217</v>
      </c>
      <c r="N59" s="250" t="s">
        <v>117</v>
      </c>
      <c r="O59" s="302" t="s">
        <v>502</v>
      </c>
      <c r="P59" s="245">
        <f t="shared" si="5"/>
        <v>0.75</v>
      </c>
      <c r="Q59" s="248">
        <f>+DB!L$210</f>
        <v>0</v>
      </c>
      <c r="R59" s="245">
        <f t="shared" si="12"/>
        <v>-0.75</v>
      </c>
    </row>
    <row r="60" spans="2:18" x14ac:dyDescent="0.25">
      <c r="B60" s="250" t="s">
        <v>112</v>
      </c>
      <c r="C60" s="247" t="s">
        <v>43</v>
      </c>
      <c r="D60" s="249">
        <f t="shared" si="15"/>
        <v>0.12740000000000001</v>
      </c>
      <c r="E60" s="248">
        <f>+DB!F$58</f>
        <v>0.20419999999999999</v>
      </c>
      <c r="F60" s="249">
        <f t="shared" si="10"/>
        <v>7.6799999999999979E-2</v>
      </c>
      <c r="H60" s="288" t="s">
        <v>113</v>
      </c>
      <c r="I60" s="290" t="s">
        <v>193</v>
      </c>
      <c r="J60" s="294">
        <f t="shared" si="8"/>
        <v>631</v>
      </c>
      <c r="K60" s="278">
        <f>+DB!G$165</f>
        <v>0</v>
      </c>
      <c r="L60" s="282">
        <f t="shared" si="14"/>
        <v>-631</v>
      </c>
      <c r="N60" s="250" t="s">
        <v>117</v>
      </c>
      <c r="O60" s="303" t="s">
        <v>503</v>
      </c>
      <c r="P60" s="245">
        <f t="shared" si="5"/>
        <v>0.6</v>
      </c>
      <c r="Q60" s="248">
        <f>+DB!L$219</f>
        <v>0</v>
      </c>
      <c r="R60" s="245">
        <f t="shared" si="12"/>
        <v>-0.6</v>
      </c>
    </row>
    <row r="61" spans="2:18" x14ac:dyDescent="0.25">
      <c r="B61" s="250" t="s">
        <v>112</v>
      </c>
      <c r="C61" s="247" t="s">
        <v>483</v>
      </c>
      <c r="D61" s="249">
        <f t="shared" si="15"/>
        <v>4.4999999999999998E-2</v>
      </c>
      <c r="E61" s="248">
        <f>+DB!F$65</f>
        <v>5.2900000000000003E-2</v>
      </c>
      <c r="F61" s="249">
        <f t="shared" si="10"/>
        <v>7.9000000000000042E-3</v>
      </c>
      <c r="H61" s="288" t="s">
        <v>113</v>
      </c>
      <c r="I61" s="290" t="s">
        <v>216</v>
      </c>
      <c r="J61" s="293">
        <f t="shared" si="8"/>
        <v>2790480.1244999999</v>
      </c>
      <c r="K61" s="332">
        <f>+DB!G$172</f>
        <v>0</v>
      </c>
      <c r="L61" s="333">
        <f t="shared" si="14"/>
        <v>-2790480.1244999999</v>
      </c>
      <c r="N61" s="250" t="s">
        <v>117</v>
      </c>
      <c r="O61" s="303" t="s">
        <v>504</v>
      </c>
      <c r="P61" s="245">
        <f t="shared" si="5"/>
        <v>0.85</v>
      </c>
      <c r="Q61" s="248">
        <f>+DB!L$233</f>
        <v>0</v>
      </c>
      <c r="R61" s="245">
        <f t="shared" si="12"/>
        <v>-0.85</v>
      </c>
    </row>
    <row r="62" spans="2:18" x14ac:dyDescent="0.25">
      <c r="B62" s="250" t="s">
        <v>112</v>
      </c>
      <c r="C62" s="247" t="s">
        <v>484</v>
      </c>
      <c r="D62" s="249">
        <f t="shared" si="15"/>
        <v>1</v>
      </c>
      <c r="E62" s="248">
        <f>+DB!F$72</f>
        <v>1.0366</v>
      </c>
      <c r="F62" s="249">
        <f t="shared" si="10"/>
        <v>3.6599999999999966E-2</v>
      </c>
      <c r="H62" s="288" t="s">
        <v>113</v>
      </c>
      <c r="I62" s="291" t="s">
        <v>61</v>
      </c>
      <c r="J62" s="283">
        <f t="shared" si="8"/>
        <v>0.77970000000000006</v>
      </c>
      <c r="K62" s="284">
        <f>+DB!H$179</f>
        <v>0</v>
      </c>
      <c r="L62" s="283">
        <f t="shared" si="14"/>
        <v>-0.77970000000000006</v>
      </c>
      <c r="N62" s="250" t="s">
        <v>117</v>
      </c>
      <c r="O62" s="303" t="s">
        <v>69</v>
      </c>
      <c r="P62" s="245">
        <f t="shared" si="5"/>
        <v>0.85</v>
      </c>
      <c r="Q62" s="248">
        <f>+DB!L$233</f>
        <v>0</v>
      </c>
      <c r="R62" s="245">
        <f t="shared" si="12"/>
        <v>-0.85</v>
      </c>
    </row>
    <row r="63" spans="2:18" x14ac:dyDescent="0.25">
      <c r="B63" s="250" t="s">
        <v>112</v>
      </c>
      <c r="C63" s="247" t="s">
        <v>45</v>
      </c>
      <c r="D63" s="249">
        <f t="shared" si="15"/>
        <v>0.1119</v>
      </c>
      <c r="E63" s="248">
        <f>+DB!F$79</f>
        <v>9.9400000000000002E-2</v>
      </c>
      <c r="F63" s="249">
        <f t="shared" si="10"/>
        <v>-1.2499999999999997E-2</v>
      </c>
      <c r="H63" s="288" t="s">
        <v>114</v>
      </c>
      <c r="I63" s="290" t="s">
        <v>55</v>
      </c>
      <c r="J63" s="283">
        <f>+J53</f>
        <v>0.3322</v>
      </c>
      <c r="K63" s="276">
        <f>+DB!H$116</f>
        <v>0</v>
      </c>
      <c r="L63" s="280">
        <f t="shared" si="14"/>
        <v>-0.3322</v>
      </c>
      <c r="N63" s="250" t="s">
        <v>118</v>
      </c>
      <c r="O63" s="302" t="s">
        <v>500</v>
      </c>
      <c r="P63" s="245">
        <f>P57</f>
        <v>0.78166666666666673</v>
      </c>
      <c r="Q63" s="248">
        <f>+DB!M$189</f>
        <v>0</v>
      </c>
      <c r="R63" s="245">
        <f t="shared" si="12"/>
        <v>-0.78166666666666673</v>
      </c>
    </row>
    <row r="64" spans="2:18" x14ac:dyDescent="0.25">
      <c r="B64" s="250" t="s">
        <v>112</v>
      </c>
      <c r="C64" s="247" t="s">
        <v>485</v>
      </c>
      <c r="D64" s="249">
        <f t="shared" si="15"/>
        <v>0.13</v>
      </c>
      <c r="E64" s="248">
        <f>+DB!F$86</f>
        <v>0.1081</v>
      </c>
      <c r="F64" s="249">
        <f t="shared" si="10"/>
        <v>-2.1900000000000003E-2</v>
      </c>
      <c r="H64" s="288" t="s">
        <v>114</v>
      </c>
      <c r="I64" s="290" t="s">
        <v>52</v>
      </c>
      <c r="J64" s="283">
        <f t="shared" si="8"/>
        <v>0.3589</v>
      </c>
      <c r="K64" s="276">
        <f>+DB!H$123</f>
        <v>0</v>
      </c>
      <c r="L64" s="280">
        <f t="shared" si="14"/>
        <v>-0.3589</v>
      </c>
      <c r="N64" s="250" t="s">
        <v>118</v>
      </c>
      <c r="O64" s="302" t="s">
        <v>501</v>
      </c>
      <c r="P64" s="245">
        <f t="shared" si="5"/>
        <v>0.625</v>
      </c>
      <c r="Q64" s="248">
        <f>+DB!M$201</f>
        <v>0</v>
      </c>
      <c r="R64" s="245">
        <f t="shared" si="12"/>
        <v>-0.625</v>
      </c>
    </row>
    <row r="65" spans="2:18" x14ac:dyDescent="0.25">
      <c r="B65" s="250" t="s">
        <v>112</v>
      </c>
      <c r="C65" s="247" t="s">
        <v>486</v>
      </c>
      <c r="D65" s="249">
        <f t="shared" si="15"/>
        <v>8.5000000000000006E-2</v>
      </c>
      <c r="E65" s="248">
        <f>+DB!F$93</f>
        <v>5.6000000000000001E-2</v>
      </c>
      <c r="F65" s="249">
        <f t="shared" si="10"/>
        <v>-2.9000000000000005E-2</v>
      </c>
      <c r="H65" s="288" t="s">
        <v>114</v>
      </c>
      <c r="I65" s="290" t="s">
        <v>53</v>
      </c>
      <c r="J65" s="283">
        <f t="shared" si="8"/>
        <v>0.50179999999999991</v>
      </c>
      <c r="K65" s="276">
        <f>+DB!H$130</f>
        <v>0</v>
      </c>
      <c r="L65" s="280">
        <f t="shared" si="14"/>
        <v>-0.50179999999999991</v>
      </c>
      <c r="N65" s="250" t="s">
        <v>118</v>
      </c>
      <c r="O65" s="302" t="s">
        <v>502</v>
      </c>
      <c r="P65" s="245">
        <f t="shared" si="5"/>
        <v>0.75</v>
      </c>
      <c r="Q65" s="248">
        <f>+DB!M$210</f>
        <v>0</v>
      </c>
      <c r="R65" s="245">
        <f t="shared" si="12"/>
        <v>-0.75</v>
      </c>
    </row>
    <row r="66" spans="2:18" x14ac:dyDescent="0.25">
      <c r="B66" s="250" t="s">
        <v>112</v>
      </c>
      <c r="C66" s="244" t="s">
        <v>478</v>
      </c>
      <c r="D66" s="249">
        <f t="shared" si="15"/>
        <v>1.01</v>
      </c>
      <c r="E66" s="248">
        <f>+DB!F$100</f>
        <v>1.0184</v>
      </c>
      <c r="F66" s="249">
        <f t="shared" si="10"/>
        <v>8.3999999999999631E-3</v>
      </c>
      <c r="H66" s="288" t="s">
        <v>114</v>
      </c>
      <c r="I66" s="290" t="s">
        <v>54</v>
      </c>
      <c r="J66" s="283">
        <f t="shared" si="8"/>
        <v>0.50179999999999991</v>
      </c>
      <c r="K66" s="276">
        <f>+DB!H$137</f>
        <v>0</v>
      </c>
      <c r="L66" s="280">
        <f t="shared" si="14"/>
        <v>-0.50179999999999991</v>
      </c>
      <c r="N66" s="250" t="s">
        <v>118</v>
      </c>
      <c r="O66" s="303" t="s">
        <v>503</v>
      </c>
      <c r="P66" s="245">
        <f t="shared" si="5"/>
        <v>0.6</v>
      </c>
      <c r="Q66" s="248">
        <f>+DB!M$219</f>
        <v>0</v>
      </c>
      <c r="R66" s="245">
        <f t="shared" si="12"/>
        <v>-0.6</v>
      </c>
    </row>
    <row r="67" spans="2:18" x14ac:dyDescent="0.25">
      <c r="B67" s="250" t="s">
        <v>112</v>
      </c>
      <c r="C67" s="247" t="s">
        <v>49</v>
      </c>
      <c r="D67" s="249">
        <f t="shared" si="15"/>
        <v>0.87030000000000007</v>
      </c>
      <c r="E67" s="248">
        <f>+DB!F$107</f>
        <v>0.55832200354489125</v>
      </c>
      <c r="F67" s="249">
        <f t="shared" si="10"/>
        <v>-0.31197799645510882</v>
      </c>
      <c r="H67" s="288" t="s">
        <v>114</v>
      </c>
      <c r="I67" s="290" t="s">
        <v>57</v>
      </c>
      <c r="J67" s="283">
        <f t="shared" si="8"/>
        <v>0.4667</v>
      </c>
      <c r="K67" s="276">
        <f>+DB!H$144</f>
        <v>0</v>
      </c>
      <c r="L67" s="280">
        <f t="shared" si="14"/>
        <v>-0.4667</v>
      </c>
      <c r="N67" s="250" t="s">
        <v>118</v>
      </c>
      <c r="O67" s="303" t="s">
        <v>504</v>
      </c>
      <c r="P67" s="245">
        <f t="shared" si="5"/>
        <v>0.85</v>
      </c>
      <c r="Q67" s="248">
        <f>+DB!M$233</f>
        <v>0</v>
      </c>
      <c r="R67" s="245">
        <f t="shared" ref="R67:R74" si="16">+Q67-P67</f>
        <v>-0.85</v>
      </c>
    </row>
    <row r="68" spans="2:18" ht="15.75" x14ac:dyDescent="0.25">
      <c r="B68" s="250" t="s">
        <v>113</v>
      </c>
      <c r="C68" s="243" t="s">
        <v>487</v>
      </c>
      <c r="D68" s="249">
        <f>D55</f>
        <v>1.1666666666666667E-2</v>
      </c>
      <c r="E68" s="249">
        <f>+DB!G$17</f>
        <v>0</v>
      </c>
      <c r="F68" s="249">
        <f t="shared" si="10"/>
        <v>-1.1666666666666667E-2</v>
      </c>
      <c r="H68" s="288" t="s">
        <v>114</v>
      </c>
      <c r="I68" s="290" t="s">
        <v>58</v>
      </c>
      <c r="J68" s="293">
        <f t="shared" si="8"/>
        <v>125.98</v>
      </c>
      <c r="K68" s="277">
        <f>+DB!H$151</f>
        <v>0</v>
      </c>
      <c r="L68" s="281">
        <f t="shared" si="14"/>
        <v>-125.98</v>
      </c>
      <c r="N68" s="250" t="s">
        <v>118</v>
      </c>
      <c r="O68" s="303" t="s">
        <v>69</v>
      </c>
      <c r="P68" s="245">
        <f t="shared" si="5"/>
        <v>0.85</v>
      </c>
      <c r="Q68" s="248">
        <f>+DB!M$233</f>
        <v>0</v>
      </c>
      <c r="R68" s="245">
        <f t="shared" si="16"/>
        <v>-0.85</v>
      </c>
    </row>
    <row r="69" spans="2:18" x14ac:dyDescent="0.25">
      <c r="B69" s="250" t="s">
        <v>113</v>
      </c>
      <c r="C69" s="244" t="s">
        <v>480</v>
      </c>
      <c r="D69" s="249">
        <f t="shared" si="15"/>
        <v>6.6590314346624121E-3</v>
      </c>
      <c r="E69" s="249">
        <f>+DB!G$27</f>
        <v>0</v>
      </c>
      <c r="F69" s="249">
        <f t="shared" si="10"/>
        <v>-6.6590314346624121E-3</v>
      </c>
      <c r="H69" s="288" t="s">
        <v>114</v>
      </c>
      <c r="I69" s="290" t="s">
        <v>496</v>
      </c>
      <c r="J69" s="294">
        <f t="shared" si="8"/>
        <v>4217</v>
      </c>
      <c r="K69" s="278">
        <f>+DB!H$158</f>
        <v>0</v>
      </c>
      <c r="L69" s="282">
        <f t="shared" si="14"/>
        <v>-4217</v>
      </c>
      <c r="N69" s="250" t="s">
        <v>119</v>
      </c>
      <c r="O69" s="302" t="s">
        <v>500</v>
      </c>
      <c r="P69" s="245">
        <f>P63</f>
        <v>0.78166666666666673</v>
      </c>
      <c r="Q69" s="248">
        <f>+DB!N$189</f>
        <v>0</v>
      </c>
      <c r="R69" s="245">
        <f t="shared" si="16"/>
        <v>-0.78166666666666673</v>
      </c>
    </row>
    <row r="70" spans="2:18" x14ac:dyDescent="0.25">
      <c r="B70" s="250" t="s">
        <v>113</v>
      </c>
      <c r="C70" s="244" t="s">
        <v>479</v>
      </c>
      <c r="D70" s="249">
        <f t="shared" si="15"/>
        <v>2.6796599258633577E-2</v>
      </c>
      <c r="E70" s="249">
        <f>+DB!G$37</f>
        <v>0</v>
      </c>
      <c r="F70" s="249">
        <f t="shared" si="10"/>
        <v>-2.6796599258633577E-2</v>
      </c>
      <c r="H70" s="288" t="s">
        <v>114</v>
      </c>
      <c r="I70" s="290" t="s">
        <v>193</v>
      </c>
      <c r="J70" s="294">
        <f t="shared" si="8"/>
        <v>631</v>
      </c>
      <c r="K70" s="278">
        <f>+DB!H$165</f>
        <v>0</v>
      </c>
      <c r="L70" s="282">
        <f t="shared" si="14"/>
        <v>-631</v>
      </c>
      <c r="N70" s="250" t="s">
        <v>119</v>
      </c>
      <c r="O70" s="302" t="s">
        <v>501</v>
      </c>
      <c r="P70" s="245">
        <f t="shared" si="5"/>
        <v>0.625</v>
      </c>
      <c r="Q70" s="248">
        <f>+DB!N$201</f>
        <v>0</v>
      </c>
      <c r="R70" s="245">
        <f t="shared" si="16"/>
        <v>-0.625</v>
      </c>
    </row>
    <row r="71" spans="2:18" ht="15.75" x14ac:dyDescent="0.25">
      <c r="B71" s="250" t="s">
        <v>113</v>
      </c>
      <c r="C71" s="243" t="s">
        <v>488</v>
      </c>
      <c r="D71" s="249">
        <f t="shared" si="15"/>
        <v>0.12318396202279536</v>
      </c>
      <c r="E71" s="245">
        <f>+DB!G$44</f>
        <v>0</v>
      </c>
      <c r="F71" s="249">
        <f t="shared" si="10"/>
        <v>-0.12318396202279536</v>
      </c>
      <c r="H71" s="288" t="s">
        <v>114</v>
      </c>
      <c r="I71" s="290" t="s">
        <v>216</v>
      </c>
      <c r="J71" s="293">
        <f t="shared" si="8"/>
        <v>2790480.1244999999</v>
      </c>
      <c r="K71" s="332">
        <f>+DB!H$172</f>
        <v>0</v>
      </c>
      <c r="L71" s="333">
        <f t="shared" si="14"/>
        <v>-2790480.1244999999</v>
      </c>
      <c r="N71" s="250" t="s">
        <v>119</v>
      </c>
      <c r="O71" s="302" t="s">
        <v>502</v>
      </c>
      <c r="P71" s="245">
        <f t="shared" si="5"/>
        <v>0.75</v>
      </c>
      <c r="Q71" s="248">
        <f>+DB!N$210</f>
        <v>0</v>
      </c>
      <c r="R71" s="245">
        <f t="shared" si="16"/>
        <v>-0.75</v>
      </c>
    </row>
    <row r="72" spans="2:18" x14ac:dyDescent="0.25">
      <c r="B72" s="250" t="s">
        <v>113</v>
      </c>
      <c r="C72" s="247" t="s">
        <v>42</v>
      </c>
      <c r="D72" s="249">
        <f t="shared" si="15"/>
        <v>0.159</v>
      </c>
      <c r="E72" s="248">
        <f>+DB!G$51</f>
        <v>0</v>
      </c>
      <c r="F72" s="249">
        <f t="shared" si="10"/>
        <v>-0.159</v>
      </c>
      <c r="H72" s="288" t="s">
        <v>114</v>
      </c>
      <c r="I72" s="291" t="s">
        <v>61</v>
      </c>
      <c r="J72" s="283">
        <f t="shared" si="8"/>
        <v>0.77970000000000006</v>
      </c>
      <c r="K72" s="284">
        <f>+DB!H$179</f>
        <v>0</v>
      </c>
      <c r="L72" s="283">
        <f t="shared" si="14"/>
        <v>-0.77970000000000006</v>
      </c>
      <c r="N72" s="250" t="s">
        <v>119</v>
      </c>
      <c r="O72" s="303" t="s">
        <v>503</v>
      </c>
      <c r="P72" s="245">
        <f t="shared" si="5"/>
        <v>0.6</v>
      </c>
      <c r="Q72" s="248">
        <f>+DB!N$219</f>
        <v>0</v>
      </c>
      <c r="R72" s="245">
        <f t="shared" si="16"/>
        <v>-0.6</v>
      </c>
    </row>
    <row r="73" spans="2:18" x14ac:dyDescent="0.25">
      <c r="B73" s="250" t="s">
        <v>113</v>
      </c>
      <c r="C73" s="247" t="s">
        <v>43</v>
      </c>
      <c r="D73" s="249">
        <f t="shared" si="15"/>
        <v>0.12740000000000001</v>
      </c>
      <c r="E73" s="248">
        <f>+DB!G$58</f>
        <v>0</v>
      </c>
      <c r="F73" s="249">
        <f t="shared" si="10"/>
        <v>-0.12740000000000001</v>
      </c>
      <c r="H73" s="288" t="s">
        <v>115</v>
      </c>
      <c r="I73" s="290" t="s">
        <v>55</v>
      </c>
      <c r="J73" s="283">
        <f>+J63</f>
        <v>0.3322</v>
      </c>
      <c r="K73" s="276">
        <f>+DB!J$116</f>
        <v>0</v>
      </c>
      <c r="L73" s="280">
        <f t="shared" si="14"/>
        <v>-0.3322</v>
      </c>
      <c r="N73" s="250" t="s">
        <v>119</v>
      </c>
      <c r="O73" s="303" t="s">
        <v>504</v>
      </c>
      <c r="P73" s="245">
        <f t="shared" si="5"/>
        <v>0.85</v>
      </c>
      <c r="Q73" s="248">
        <f>+DB!N$233</f>
        <v>0</v>
      </c>
      <c r="R73" s="245">
        <f t="shared" si="16"/>
        <v>-0.85</v>
      </c>
    </row>
    <row r="74" spans="2:18" x14ac:dyDescent="0.25">
      <c r="B74" s="250" t="s">
        <v>113</v>
      </c>
      <c r="C74" s="247" t="s">
        <v>483</v>
      </c>
      <c r="D74" s="249">
        <f t="shared" si="15"/>
        <v>4.4999999999999998E-2</v>
      </c>
      <c r="E74" s="248">
        <f>+DB!G$65</f>
        <v>0</v>
      </c>
      <c r="F74" s="249">
        <f t="shared" si="10"/>
        <v>-4.4999999999999998E-2</v>
      </c>
      <c r="H74" s="288" t="s">
        <v>115</v>
      </c>
      <c r="I74" s="290" t="s">
        <v>52</v>
      </c>
      <c r="J74" s="283">
        <f t="shared" si="8"/>
        <v>0.3589</v>
      </c>
      <c r="K74" s="276">
        <f>+DB!J$123</f>
        <v>0</v>
      </c>
      <c r="L74" s="280">
        <f t="shared" si="14"/>
        <v>-0.3589</v>
      </c>
      <c r="N74" s="250" t="s">
        <v>119</v>
      </c>
      <c r="O74" s="303" t="s">
        <v>69</v>
      </c>
      <c r="P74" s="245">
        <f>P68</f>
        <v>0.85</v>
      </c>
      <c r="Q74" s="248">
        <f>+DB!N$233</f>
        <v>0</v>
      </c>
      <c r="R74" s="245">
        <f t="shared" si="16"/>
        <v>-0.85</v>
      </c>
    </row>
    <row r="75" spans="2:18" x14ac:dyDescent="0.25">
      <c r="B75" s="250" t="s">
        <v>113</v>
      </c>
      <c r="C75" s="247" t="s">
        <v>484</v>
      </c>
      <c r="D75" s="249">
        <f t="shared" si="15"/>
        <v>1</v>
      </c>
      <c r="E75" s="248">
        <f>+DB!G$72</f>
        <v>0</v>
      </c>
      <c r="F75" s="249">
        <f t="shared" si="10"/>
        <v>-1</v>
      </c>
      <c r="H75" s="288" t="s">
        <v>115</v>
      </c>
      <c r="I75" s="290" t="s">
        <v>53</v>
      </c>
      <c r="J75" s="283">
        <f t="shared" si="8"/>
        <v>0.50179999999999991</v>
      </c>
      <c r="K75" s="276">
        <f>+DB!J$130</f>
        <v>0</v>
      </c>
      <c r="L75" s="280">
        <f t="shared" si="14"/>
        <v>-0.50179999999999991</v>
      </c>
    </row>
    <row r="76" spans="2:18" x14ac:dyDescent="0.25">
      <c r="B76" s="250" t="s">
        <v>113</v>
      </c>
      <c r="C76" s="247" t="s">
        <v>45</v>
      </c>
      <c r="D76" s="249">
        <f t="shared" si="15"/>
        <v>0.1119</v>
      </c>
      <c r="E76" s="248">
        <f>+DB!G$79</f>
        <v>0</v>
      </c>
      <c r="F76" s="249">
        <f t="shared" si="10"/>
        <v>-0.1119</v>
      </c>
      <c r="H76" s="288" t="s">
        <v>115</v>
      </c>
      <c r="I76" s="290" t="s">
        <v>54</v>
      </c>
      <c r="J76" s="283">
        <f t="shared" si="8"/>
        <v>0.50179999999999991</v>
      </c>
      <c r="K76" s="276">
        <f>+DB!J$137</f>
        <v>0</v>
      </c>
      <c r="L76" s="280">
        <f t="shared" si="14"/>
        <v>-0.50179999999999991</v>
      </c>
    </row>
    <row r="77" spans="2:18" x14ac:dyDescent="0.25">
      <c r="B77" s="250" t="s">
        <v>113</v>
      </c>
      <c r="C77" s="247" t="s">
        <v>485</v>
      </c>
      <c r="D77" s="249">
        <f t="shared" si="15"/>
        <v>0.13</v>
      </c>
      <c r="E77" s="248">
        <f>+DB!G$86</f>
        <v>0</v>
      </c>
      <c r="F77" s="249">
        <f t="shared" si="10"/>
        <v>-0.13</v>
      </c>
      <c r="H77" s="288" t="s">
        <v>115</v>
      </c>
      <c r="I77" s="290" t="s">
        <v>57</v>
      </c>
      <c r="J77" s="283">
        <f t="shared" si="8"/>
        <v>0.4667</v>
      </c>
      <c r="K77" s="276">
        <f>+DB!J$144</f>
        <v>0</v>
      </c>
      <c r="L77" s="280">
        <f t="shared" ref="L77:L108" si="17">+K77-J77</f>
        <v>-0.4667</v>
      </c>
    </row>
    <row r="78" spans="2:18" x14ac:dyDescent="0.25">
      <c r="B78" s="250" t="s">
        <v>113</v>
      </c>
      <c r="C78" s="247" t="s">
        <v>486</v>
      </c>
      <c r="D78" s="249">
        <f t="shared" si="15"/>
        <v>8.5000000000000006E-2</v>
      </c>
      <c r="E78" s="248">
        <f>+DB!G$93</f>
        <v>0</v>
      </c>
      <c r="F78" s="249">
        <f t="shared" si="10"/>
        <v>-8.5000000000000006E-2</v>
      </c>
      <c r="H78" s="288" t="s">
        <v>115</v>
      </c>
      <c r="I78" s="290" t="s">
        <v>58</v>
      </c>
      <c r="J78" s="293">
        <f t="shared" ref="J78:J83" si="18">+J68</f>
        <v>125.98</v>
      </c>
      <c r="K78" s="277">
        <f>+DB!J$151</f>
        <v>0</v>
      </c>
      <c r="L78" s="281">
        <f t="shared" si="17"/>
        <v>-125.98</v>
      </c>
    </row>
    <row r="79" spans="2:18" x14ac:dyDescent="0.25">
      <c r="B79" s="250" t="s">
        <v>113</v>
      </c>
      <c r="C79" s="244" t="s">
        <v>478</v>
      </c>
      <c r="D79" s="249">
        <f t="shared" si="15"/>
        <v>1.01</v>
      </c>
      <c r="E79" s="248">
        <f>+DB!G$100</f>
        <v>0</v>
      </c>
      <c r="F79" s="249">
        <f t="shared" si="10"/>
        <v>-1.01</v>
      </c>
      <c r="H79" s="288" t="s">
        <v>115</v>
      </c>
      <c r="I79" s="290" t="s">
        <v>496</v>
      </c>
      <c r="J79" s="294">
        <f t="shared" si="18"/>
        <v>4217</v>
      </c>
      <c r="K79" s="278">
        <f>+DB!J$158</f>
        <v>0</v>
      </c>
      <c r="L79" s="282">
        <f t="shared" si="17"/>
        <v>-4217</v>
      </c>
    </row>
    <row r="80" spans="2:18" x14ac:dyDescent="0.25">
      <c r="B80" s="250" t="s">
        <v>113</v>
      </c>
      <c r="C80" s="247" t="s">
        <v>49</v>
      </c>
      <c r="D80" s="249">
        <f t="shared" si="15"/>
        <v>0.87030000000000007</v>
      </c>
      <c r="E80" s="248">
        <f>+DB!G$107</f>
        <v>0</v>
      </c>
      <c r="F80" s="249">
        <f t="shared" si="10"/>
        <v>-0.87030000000000007</v>
      </c>
      <c r="H80" s="288" t="s">
        <v>115</v>
      </c>
      <c r="I80" s="290" t="s">
        <v>193</v>
      </c>
      <c r="J80" s="294">
        <f t="shared" si="18"/>
        <v>631</v>
      </c>
      <c r="K80" s="278">
        <f>+DB!J$165</f>
        <v>0</v>
      </c>
      <c r="L80" s="282">
        <f t="shared" si="17"/>
        <v>-631</v>
      </c>
    </row>
    <row r="81" spans="2:12" ht="15.75" x14ac:dyDescent="0.25">
      <c r="B81" s="250" t="s">
        <v>114</v>
      </c>
      <c r="C81" s="243" t="s">
        <v>487</v>
      </c>
      <c r="D81" s="249">
        <f>D68</f>
        <v>1.1666666666666667E-2</v>
      </c>
      <c r="E81" s="249">
        <f>+DB!H$17</f>
        <v>0</v>
      </c>
      <c r="F81" s="249">
        <f t="shared" si="10"/>
        <v>-1.1666666666666667E-2</v>
      </c>
      <c r="H81" s="288" t="s">
        <v>115</v>
      </c>
      <c r="I81" s="290" t="s">
        <v>216</v>
      </c>
      <c r="J81" s="293">
        <f t="shared" si="18"/>
        <v>2790480.1244999999</v>
      </c>
      <c r="K81" s="332">
        <f>+DB!J$172</f>
        <v>0</v>
      </c>
      <c r="L81" s="333">
        <f t="shared" si="17"/>
        <v>-2790480.1244999999</v>
      </c>
    </row>
    <row r="82" spans="2:12" x14ac:dyDescent="0.25">
      <c r="B82" s="250" t="s">
        <v>114</v>
      </c>
      <c r="C82" s="244" t="s">
        <v>480</v>
      </c>
      <c r="D82" s="249">
        <f t="shared" si="15"/>
        <v>6.6590314346624121E-3</v>
      </c>
      <c r="E82" s="249">
        <f>+DB!H$27</f>
        <v>0</v>
      </c>
      <c r="F82" s="249">
        <f t="shared" ref="F82:F145" si="19">+E82-D82</f>
        <v>-6.6590314346624121E-3</v>
      </c>
      <c r="H82" s="288" t="s">
        <v>115</v>
      </c>
      <c r="I82" s="291" t="s">
        <v>61</v>
      </c>
      <c r="J82" s="283">
        <f t="shared" si="18"/>
        <v>0.77970000000000006</v>
      </c>
      <c r="K82" s="284">
        <f>+DB!J$179</f>
        <v>0</v>
      </c>
      <c r="L82" s="283">
        <f t="shared" si="17"/>
        <v>-0.77970000000000006</v>
      </c>
    </row>
    <row r="83" spans="2:12" x14ac:dyDescent="0.25">
      <c r="B83" s="250" t="s">
        <v>114</v>
      </c>
      <c r="C83" s="244" t="s">
        <v>479</v>
      </c>
      <c r="D83" s="249">
        <f t="shared" si="15"/>
        <v>2.6796599258633577E-2</v>
      </c>
      <c r="E83" s="249">
        <f>+DB!H$37</f>
        <v>0</v>
      </c>
      <c r="F83" s="249">
        <f t="shared" si="19"/>
        <v>-2.6796599258633577E-2</v>
      </c>
      <c r="H83" s="288" t="s">
        <v>116</v>
      </c>
      <c r="I83" s="290" t="s">
        <v>55</v>
      </c>
      <c r="J83" s="283">
        <f t="shared" si="18"/>
        <v>0.3322</v>
      </c>
      <c r="K83" s="276">
        <f>+DB!K$116</f>
        <v>0</v>
      </c>
      <c r="L83" s="280">
        <f t="shared" si="17"/>
        <v>-0.3322</v>
      </c>
    </row>
    <row r="84" spans="2:12" ht="15.75" x14ac:dyDescent="0.25">
      <c r="B84" s="250" t="s">
        <v>114</v>
      </c>
      <c r="C84" s="243" t="s">
        <v>488</v>
      </c>
      <c r="D84" s="249">
        <f t="shared" si="15"/>
        <v>0.12318396202279536</v>
      </c>
      <c r="E84" s="245">
        <f>+DB!H$44</f>
        <v>0</v>
      </c>
      <c r="F84" s="249">
        <f t="shared" si="19"/>
        <v>-0.12318396202279536</v>
      </c>
      <c r="H84" s="288" t="s">
        <v>116</v>
      </c>
      <c r="I84" s="290" t="s">
        <v>52</v>
      </c>
      <c r="J84" s="283">
        <f t="shared" ref="J84:J122" si="20">+J74</f>
        <v>0.3589</v>
      </c>
      <c r="K84" s="276">
        <f>+DB!K$123</f>
        <v>0</v>
      </c>
      <c r="L84" s="280">
        <f t="shared" si="17"/>
        <v>-0.3589</v>
      </c>
    </row>
    <row r="85" spans="2:12" x14ac:dyDescent="0.25">
      <c r="B85" s="250" t="s">
        <v>114</v>
      </c>
      <c r="C85" s="247" t="s">
        <v>42</v>
      </c>
      <c r="D85" s="249">
        <f t="shared" si="15"/>
        <v>0.159</v>
      </c>
      <c r="E85" s="248">
        <f>+DB!H$51</f>
        <v>0</v>
      </c>
      <c r="F85" s="249">
        <f t="shared" si="19"/>
        <v>-0.159</v>
      </c>
      <c r="H85" s="288" t="s">
        <v>116</v>
      </c>
      <c r="I85" s="290" t="s">
        <v>53</v>
      </c>
      <c r="J85" s="283">
        <f t="shared" si="20"/>
        <v>0.50179999999999991</v>
      </c>
      <c r="K85" s="276">
        <f>+DB!K$130</f>
        <v>0</v>
      </c>
      <c r="L85" s="280">
        <f t="shared" si="17"/>
        <v>-0.50179999999999991</v>
      </c>
    </row>
    <row r="86" spans="2:12" x14ac:dyDescent="0.25">
      <c r="B86" s="250" t="s">
        <v>114</v>
      </c>
      <c r="C86" s="247" t="s">
        <v>43</v>
      </c>
      <c r="D86" s="249">
        <f t="shared" si="15"/>
        <v>0.12740000000000001</v>
      </c>
      <c r="E86" s="248">
        <f>+DB!H$58</f>
        <v>0</v>
      </c>
      <c r="F86" s="249">
        <f t="shared" si="19"/>
        <v>-0.12740000000000001</v>
      </c>
      <c r="H86" s="288" t="s">
        <v>116</v>
      </c>
      <c r="I86" s="290" t="s">
        <v>54</v>
      </c>
      <c r="J86" s="283">
        <f t="shared" si="20"/>
        <v>0.50179999999999991</v>
      </c>
      <c r="K86" s="276">
        <f>+DB!K$137</f>
        <v>0</v>
      </c>
      <c r="L86" s="280">
        <f t="shared" si="17"/>
        <v>-0.50179999999999991</v>
      </c>
    </row>
    <row r="87" spans="2:12" x14ac:dyDescent="0.25">
      <c r="B87" s="250" t="s">
        <v>114</v>
      </c>
      <c r="C87" s="247" t="s">
        <v>483</v>
      </c>
      <c r="D87" s="249">
        <f t="shared" si="15"/>
        <v>4.4999999999999998E-2</v>
      </c>
      <c r="E87" s="248">
        <f>+DB!H$65</f>
        <v>0</v>
      </c>
      <c r="F87" s="249">
        <f t="shared" si="19"/>
        <v>-4.4999999999999998E-2</v>
      </c>
      <c r="H87" s="288" t="s">
        <v>116</v>
      </c>
      <c r="I87" s="290" t="s">
        <v>57</v>
      </c>
      <c r="J87" s="283">
        <f t="shared" si="20"/>
        <v>0.4667</v>
      </c>
      <c r="K87" s="276">
        <f>+DB!K$144</f>
        <v>0</v>
      </c>
      <c r="L87" s="280">
        <f t="shared" si="17"/>
        <v>-0.4667</v>
      </c>
    </row>
    <row r="88" spans="2:12" x14ac:dyDescent="0.25">
      <c r="B88" s="250" t="s">
        <v>114</v>
      </c>
      <c r="C88" s="247" t="s">
        <v>484</v>
      </c>
      <c r="D88" s="249">
        <f t="shared" si="15"/>
        <v>1</v>
      </c>
      <c r="E88" s="248">
        <f>+DB!H$72</f>
        <v>0</v>
      </c>
      <c r="F88" s="249">
        <f t="shared" si="19"/>
        <v>-1</v>
      </c>
      <c r="H88" s="288" t="s">
        <v>116</v>
      </c>
      <c r="I88" s="290" t="s">
        <v>58</v>
      </c>
      <c r="J88" s="293">
        <f t="shared" si="20"/>
        <v>125.98</v>
      </c>
      <c r="K88" s="277">
        <f>+DB!K$151</f>
        <v>0</v>
      </c>
      <c r="L88" s="281">
        <f t="shared" si="17"/>
        <v>-125.98</v>
      </c>
    </row>
    <row r="89" spans="2:12" x14ac:dyDescent="0.25">
      <c r="B89" s="250" t="s">
        <v>114</v>
      </c>
      <c r="C89" s="247" t="s">
        <v>45</v>
      </c>
      <c r="D89" s="249">
        <f t="shared" si="15"/>
        <v>0.1119</v>
      </c>
      <c r="E89" s="248">
        <f>+DB!H$79</f>
        <v>0</v>
      </c>
      <c r="F89" s="249">
        <f t="shared" si="19"/>
        <v>-0.1119</v>
      </c>
      <c r="H89" s="288" t="s">
        <v>116</v>
      </c>
      <c r="I89" s="290" t="s">
        <v>496</v>
      </c>
      <c r="J89" s="294">
        <f t="shared" si="20"/>
        <v>4217</v>
      </c>
      <c r="K89" s="278">
        <f>+DB!K$158</f>
        <v>0</v>
      </c>
      <c r="L89" s="282">
        <f t="shared" si="17"/>
        <v>-4217</v>
      </c>
    </row>
    <row r="90" spans="2:12" x14ac:dyDescent="0.25">
      <c r="B90" s="250" t="s">
        <v>114</v>
      </c>
      <c r="C90" s="247" t="s">
        <v>485</v>
      </c>
      <c r="D90" s="249">
        <f t="shared" si="15"/>
        <v>0.13</v>
      </c>
      <c r="E90" s="248">
        <f>+DB!H$86</f>
        <v>0</v>
      </c>
      <c r="F90" s="249">
        <f t="shared" si="19"/>
        <v>-0.13</v>
      </c>
      <c r="H90" s="288" t="s">
        <v>116</v>
      </c>
      <c r="I90" s="290" t="s">
        <v>193</v>
      </c>
      <c r="J90" s="294">
        <f t="shared" si="20"/>
        <v>631</v>
      </c>
      <c r="K90" s="278">
        <f>+DB!K$165</f>
        <v>0</v>
      </c>
      <c r="L90" s="282">
        <f t="shared" si="17"/>
        <v>-631</v>
      </c>
    </row>
    <row r="91" spans="2:12" x14ac:dyDescent="0.25">
      <c r="B91" s="250" t="s">
        <v>114</v>
      </c>
      <c r="C91" s="247" t="s">
        <v>486</v>
      </c>
      <c r="D91" s="249">
        <f t="shared" si="15"/>
        <v>8.5000000000000006E-2</v>
      </c>
      <c r="E91" s="248">
        <f>+DB!H$93</f>
        <v>0</v>
      </c>
      <c r="F91" s="249">
        <f t="shared" si="19"/>
        <v>-8.5000000000000006E-2</v>
      </c>
      <c r="H91" s="288" t="s">
        <v>116</v>
      </c>
      <c r="I91" s="290" t="s">
        <v>216</v>
      </c>
      <c r="J91" s="293">
        <f t="shared" si="20"/>
        <v>2790480.1244999999</v>
      </c>
      <c r="K91" s="332">
        <f>+DB!K$172</f>
        <v>0</v>
      </c>
      <c r="L91" s="333">
        <f t="shared" si="17"/>
        <v>-2790480.1244999999</v>
      </c>
    </row>
    <row r="92" spans="2:12" x14ac:dyDescent="0.25">
      <c r="B92" s="250" t="s">
        <v>114</v>
      </c>
      <c r="C92" s="244" t="s">
        <v>478</v>
      </c>
      <c r="D92" s="249">
        <f t="shared" si="15"/>
        <v>1.01</v>
      </c>
      <c r="E92" s="248">
        <f>+DB!H$100</f>
        <v>0</v>
      </c>
      <c r="F92" s="249">
        <f t="shared" si="19"/>
        <v>-1.01</v>
      </c>
      <c r="H92" s="288" t="s">
        <v>116</v>
      </c>
      <c r="I92" s="291" t="s">
        <v>61</v>
      </c>
      <c r="J92" s="283">
        <f t="shared" si="20"/>
        <v>0.77970000000000006</v>
      </c>
      <c r="K92" s="284">
        <f>+DB!K$179</f>
        <v>0</v>
      </c>
      <c r="L92" s="283">
        <f t="shared" si="17"/>
        <v>-0.77970000000000006</v>
      </c>
    </row>
    <row r="93" spans="2:12" x14ac:dyDescent="0.25">
      <c r="B93" s="250" t="s">
        <v>114</v>
      </c>
      <c r="C93" s="247" t="s">
        <v>49</v>
      </c>
      <c r="D93" s="249">
        <f t="shared" si="15"/>
        <v>0.87030000000000007</v>
      </c>
      <c r="E93" s="248">
        <f>+DB!H$107</f>
        <v>0</v>
      </c>
      <c r="F93" s="249">
        <f t="shared" si="19"/>
        <v>-0.87030000000000007</v>
      </c>
      <c r="H93" s="288" t="s">
        <v>117</v>
      </c>
      <c r="I93" s="290" t="s">
        <v>55</v>
      </c>
      <c r="J93" s="283">
        <f>+J83</f>
        <v>0.3322</v>
      </c>
      <c r="K93" s="276">
        <f>+DB!L$116</f>
        <v>0</v>
      </c>
      <c r="L93" s="280">
        <f t="shared" si="17"/>
        <v>-0.3322</v>
      </c>
    </row>
    <row r="94" spans="2:12" ht="15.75" x14ac:dyDescent="0.25">
      <c r="B94" s="250" t="s">
        <v>115</v>
      </c>
      <c r="C94" s="243" t="s">
        <v>487</v>
      </c>
      <c r="D94" s="249">
        <f>D81</f>
        <v>1.1666666666666667E-2</v>
      </c>
      <c r="E94" s="249">
        <f>+DB!J$17</f>
        <v>0</v>
      </c>
      <c r="F94" s="249">
        <f t="shared" si="19"/>
        <v>-1.1666666666666667E-2</v>
      </c>
      <c r="H94" s="288" t="s">
        <v>117</v>
      </c>
      <c r="I94" s="290" t="s">
        <v>52</v>
      </c>
      <c r="J94" s="283">
        <f t="shared" si="20"/>
        <v>0.3589</v>
      </c>
      <c r="K94" s="276">
        <f>+DB!L$123</f>
        <v>0</v>
      </c>
      <c r="L94" s="280">
        <f t="shared" si="17"/>
        <v>-0.3589</v>
      </c>
    </row>
    <row r="95" spans="2:12" x14ac:dyDescent="0.25">
      <c r="B95" s="250" t="s">
        <v>115</v>
      </c>
      <c r="C95" s="244" t="s">
        <v>480</v>
      </c>
      <c r="D95" s="249">
        <f t="shared" si="15"/>
        <v>6.6590314346624121E-3</v>
      </c>
      <c r="E95" s="249">
        <f>+DB!J$27</f>
        <v>0</v>
      </c>
      <c r="F95" s="249">
        <f t="shared" si="19"/>
        <v>-6.6590314346624121E-3</v>
      </c>
      <c r="H95" s="288" t="s">
        <v>117</v>
      </c>
      <c r="I95" s="290" t="s">
        <v>53</v>
      </c>
      <c r="J95" s="283">
        <f t="shared" si="20"/>
        <v>0.50179999999999991</v>
      </c>
      <c r="K95" s="276">
        <f>+DB!L$130</f>
        <v>0</v>
      </c>
      <c r="L95" s="280">
        <f t="shared" si="17"/>
        <v>-0.50179999999999991</v>
      </c>
    </row>
    <row r="96" spans="2:12" x14ac:dyDescent="0.25">
      <c r="B96" s="250" t="s">
        <v>115</v>
      </c>
      <c r="C96" s="244" t="s">
        <v>479</v>
      </c>
      <c r="D96" s="249">
        <f t="shared" si="15"/>
        <v>2.6796599258633577E-2</v>
      </c>
      <c r="E96" s="249">
        <f>+DB!J$37</f>
        <v>0</v>
      </c>
      <c r="F96" s="249">
        <f t="shared" si="19"/>
        <v>-2.6796599258633577E-2</v>
      </c>
      <c r="H96" s="288" t="s">
        <v>117</v>
      </c>
      <c r="I96" s="290" t="s">
        <v>54</v>
      </c>
      <c r="J96" s="283">
        <f t="shared" si="20"/>
        <v>0.50179999999999991</v>
      </c>
      <c r="K96" s="276">
        <f>+DB!L$137</f>
        <v>0</v>
      </c>
      <c r="L96" s="280">
        <f t="shared" si="17"/>
        <v>-0.50179999999999991</v>
      </c>
    </row>
    <row r="97" spans="2:12" ht="15.75" x14ac:dyDescent="0.25">
      <c r="B97" s="250" t="s">
        <v>115</v>
      </c>
      <c r="C97" s="243" t="s">
        <v>488</v>
      </c>
      <c r="D97" s="249">
        <f t="shared" si="15"/>
        <v>0.12318396202279536</v>
      </c>
      <c r="E97" s="245">
        <f>+DB!J$44</f>
        <v>0</v>
      </c>
      <c r="F97" s="249">
        <f t="shared" si="19"/>
        <v>-0.12318396202279536</v>
      </c>
      <c r="H97" s="288" t="s">
        <v>117</v>
      </c>
      <c r="I97" s="290" t="s">
        <v>57</v>
      </c>
      <c r="J97" s="283">
        <f t="shared" si="20"/>
        <v>0.4667</v>
      </c>
      <c r="K97" s="276">
        <f>+DB!L$144</f>
        <v>0</v>
      </c>
      <c r="L97" s="280">
        <f t="shared" si="17"/>
        <v>-0.4667</v>
      </c>
    </row>
    <row r="98" spans="2:12" x14ac:dyDescent="0.25">
      <c r="B98" s="250" t="s">
        <v>115</v>
      </c>
      <c r="C98" s="247" t="s">
        <v>42</v>
      </c>
      <c r="D98" s="249">
        <f t="shared" si="15"/>
        <v>0.159</v>
      </c>
      <c r="E98" s="248">
        <f>+DB!J$51</f>
        <v>0</v>
      </c>
      <c r="F98" s="249">
        <f t="shared" si="19"/>
        <v>-0.159</v>
      </c>
      <c r="H98" s="288" t="s">
        <v>117</v>
      </c>
      <c r="I98" s="290" t="s">
        <v>58</v>
      </c>
      <c r="J98" s="293">
        <f t="shared" si="20"/>
        <v>125.98</v>
      </c>
      <c r="K98" s="277">
        <f>+DB!L$151</f>
        <v>0</v>
      </c>
      <c r="L98" s="281">
        <f t="shared" si="17"/>
        <v>-125.98</v>
      </c>
    </row>
    <row r="99" spans="2:12" x14ac:dyDescent="0.25">
      <c r="B99" s="250" t="s">
        <v>115</v>
      </c>
      <c r="C99" s="247" t="s">
        <v>43</v>
      </c>
      <c r="D99" s="249">
        <f t="shared" si="15"/>
        <v>0.12740000000000001</v>
      </c>
      <c r="E99" s="248">
        <f>+DB!J$58</f>
        <v>0</v>
      </c>
      <c r="F99" s="249">
        <f t="shared" si="19"/>
        <v>-0.12740000000000001</v>
      </c>
      <c r="H99" s="288" t="s">
        <v>117</v>
      </c>
      <c r="I99" s="290" t="s">
        <v>496</v>
      </c>
      <c r="J99" s="294">
        <f t="shared" si="20"/>
        <v>4217</v>
      </c>
      <c r="K99" s="278">
        <f>+DB!L$158</f>
        <v>0</v>
      </c>
      <c r="L99" s="282">
        <f t="shared" si="17"/>
        <v>-4217</v>
      </c>
    </row>
    <row r="100" spans="2:12" x14ac:dyDescent="0.25">
      <c r="B100" s="250" t="s">
        <v>115</v>
      </c>
      <c r="C100" s="247" t="s">
        <v>483</v>
      </c>
      <c r="D100" s="249">
        <f t="shared" si="15"/>
        <v>4.4999999999999998E-2</v>
      </c>
      <c r="E100" s="248">
        <f>+DB!J$65</f>
        <v>0</v>
      </c>
      <c r="F100" s="249">
        <f t="shared" si="19"/>
        <v>-4.4999999999999998E-2</v>
      </c>
      <c r="H100" s="288" t="s">
        <v>117</v>
      </c>
      <c r="I100" s="290" t="s">
        <v>193</v>
      </c>
      <c r="J100" s="294">
        <f t="shared" si="20"/>
        <v>631</v>
      </c>
      <c r="K100" s="278">
        <f>+DB!L$165</f>
        <v>0</v>
      </c>
      <c r="L100" s="282">
        <f t="shared" si="17"/>
        <v>-631</v>
      </c>
    </row>
    <row r="101" spans="2:12" x14ac:dyDescent="0.25">
      <c r="B101" s="250" t="s">
        <v>115</v>
      </c>
      <c r="C101" s="247" t="s">
        <v>484</v>
      </c>
      <c r="D101" s="249">
        <f t="shared" si="15"/>
        <v>1</v>
      </c>
      <c r="E101" s="248">
        <f>+DB!J$72</f>
        <v>0</v>
      </c>
      <c r="F101" s="249">
        <f t="shared" si="19"/>
        <v>-1</v>
      </c>
      <c r="H101" s="288" t="s">
        <v>117</v>
      </c>
      <c r="I101" s="290" t="s">
        <v>216</v>
      </c>
      <c r="J101" s="293">
        <f t="shared" si="20"/>
        <v>2790480.1244999999</v>
      </c>
      <c r="K101" s="332">
        <f>+DB!L$172</f>
        <v>0</v>
      </c>
      <c r="L101" s="333">
        <f t="shared" si="17"/>
        <v>-2790480.1244999999</v>
      </c>
    </row>
    <row r="102" spans="2:12" x14ac:dyDescent="0.25">
      <c r="B102" s="250" t="s">
        <v>115</v>
      </c>
      <c r="C102" s="247" t="s">
        <v>45</v>
      </c>
      <c r="D102" s="249">
        <f t="shared" si="15"/>
        <v>0.1119</v>
      </c>
      <c r="E102" s="248">
        <f>+DB!J$79</f>
        <v>0</v>
      </c>
      <c r="F102" s="249">
        <f t="shared" si="19"/>
        <v>-0.1119</v>
      </c>
      <c r="H102" s="288" t="s">
        <v>117</v>
      </c>
      <c r="I102" s="291" t="s">
        <v>61</v>
      </c>
      <c r="J102" s="283">
        <f t="shared" si="20"/>
        <v>0.77970000000000006</v>
      </c>
      <c r="K102" s="284">
        <f>+DB!L$179</f>
        <v>0</v>
      </c>
      <c r="L102" s="283">
        <f t="shared" si="17"/>
        <v>-0.77970000000000006</v>
      </c>
    </row>
    <row r="103" spans="2:12" x14ac:dyDescent="0.25">
      <c r="B103" s="250" t="s">
        <v>115</v>
      </c>
      <c r="C103" s="247" t="s">
        <v>485</v>
      </c>
      <c r="D103" s="249">
        <f t="shared" si="15"/>
        <v>0.13</v>
      </c>
      <c r="E103" s="248">
        <f>+DB!J$86</f>
        <v>0</v>
      </c>
      <c r="F103" s="249">
        <f t="shared" si="19"/>
        <v>-0.13</v>
      </c>
      <c r="H103" s="288" t="s">
        <v>118</v>
      </c>
      <c r="I103" s="290" t="s">
        <v>55</v>
      </c>
      <c r="J103" s="283">
        <f>+J93</f>
        <v>0.3322</v>
      </c>
      <c r="K103" s="276">
        <f>+DB!M$116</f>
        <v>0</v>
      </c>
      <c r="L103" s="280">
        <f t="shared" si="17"/>
        <v>-0.3322</v>
      </c>
    </row>
    <row r="104" spans="2:12" x14ac:dyDescent="0.25">
      <c r="B104" s="250" t="s">
        <v>115</v>
      </c>
      <c r="C104" s="247" t="s">
        <v>486</v>
      </c>
      <c r="D104" s="249">
        <f t="shared" si="15"/>
        <v>8.5000000000000006E-2</v>
      </c>
      <c r="E104" s="248">
        <f>+DB!J$93</f>
        <v>0</v>
      </c>
      <c r="F104" s="249">
        <f t="shared" si="19"/>
        <v>-8.5000000000000006E-2</v>
      </c>
      <c r="H104" s="288" t="s">
        <v>118</v>
      </c>
      <c r="I104" s="290" t="s">
        <v>52</v>
      </c>
      <c r="J104" s="283">
        <f t="shared" si="20"/>
        <v>0.3589</v>
      </c>
      <c r="K104" s="276">
        <f>+DB!M$123</f>
        <v>0</v>
      </c>
      <c r="L104" s="280">
        <f t="shared" si="17"/>
        <v>-0.3589</v>
      </c>
    </row>
    <row r="105" spans="2:12" x14ac:dyDescent="0.25">
      <c r="B105" s="250" t="s">
        <v>115</v>
      </c>
      <c r="C105" s="244" t="s">
        <v>478</v>
      </c>
      <c r="D105" s="249">
        <f t="shared" si="15"/>
        <v>1.01</v>
      </c>
      <c r="E105" s="248">
        <f>+DB!J$100</f>
        <v>0</v>
      </c>
      <c r="F105" s="249">
        <f t="shared" si="19"/>
        <v>-1.01</v>
      </c>
      <c r="H105" s="288" t="s">
        <v>118</v>
      </c>
      <c r="I105" s="290" t="s">
        <v>53</v>
      </c>
      <c r="J105" s="283">
        <f t="shared" si="20"/>
        <v>0.50179999999999991</v>
      </c>
      <c r="K105" s="276">
        <f>+DB!M$130</f>
        <v>0</v>
      </c>
      <c r="L105" s="280">
        <f t="shared" si="17"/>
        <v>-0.50179999999999991</v>
      </c>
    </row>
    <row r="106" spans="2:12" x14ac:dyDescent="0.25">
      <c r="B106" s="250" t="s">
        <v>115</v>
      </c>
      <c r="C106" s="247" t="s">
        <v>49</v>
      </c>
      <c r="D106" s="249">
        <f t="shared" si="15"/>
        <v>0.87030000000000007</v>
      </c>
      <c r="E106" s="248">
        <f>+DB!J$107</f>
        <v>0</v>
      </c>
      <c r="F106" s="249">
        <f t="shared" si="19"/>
        <v>-0.87030000000000007</v>
      </c>
      <c r="H106" s="288" t="s">
        <v>118</v>
      </c>
      <c r="I106" s="290" t="s">
        <v>54</v>
      </c>
      <c r="J106" s="283">
        <f t="shared" si="20"/>
        <v>0.50179999999999991</v>
      </c>
      <c r="K106" s="276">
        <f>+DB!M$137</f>
        <v>0</v>
      </c>
      <c r="L106" s="280">
        <f t="shared" si="17"/>
        <v>-0.50179999999999991</v>
      </c>
    </row>
    <row r="107" spans="2:12" ht="15.75" x14ac:dyDescent="0.25">
      <c r="B107" s="250" t="s">
        <v>116</v>
      </c>
      <c r="C107" s="243" t="s">
        <v>487</v>
      </c>
      <c r="D107" s="249">
        <f>D94</f>
        <v>1.1666666666666667E-2</v>
      </c>
      <c r="E107" s="249">
        <f>+DB!K$17</f>
        <v>0</v>
      </c>
      <c r="F107" s="249">
        <f t="shared" si="19"/>
        <v>-1.1666666666666667E-2</v>
      </c>
      <c r="H107" s="288" t="s">
        <v>118</v>
      </c>
      <c r="I107" s="290" t="s">
        <v>57</v>
      </c>
      <c r="J107" s="283">
        <f t="shared" si="20"/>
        <v>0.4667</v>
      </c>
      <c r="K107" s="276">
        <f>+DB!M$144</f>
        <v>0</v>
      </c>
      <c r="L107" s="280">
        <f t="shared" si="17"/>
        <v>-0.4667</v>
      </c>
    </row>
    <row r="108" spans="2:12" x14ac:dyDescent="0.25">
      <c r="B108" s="250" t="s">
        <v>116</v>
      </c>
      <c r="C108" s="244" t="s">
        <v>480</v>
      </c>
      <c r="D108" s="249">
        <f t="shared" si="15"/>
        <v>6.6590314346624121E-3</v>
      </c>
      <c r="E108" s="249">
        <f>+DB!K$27</f>
        <v>0</v>
      </c>
      <c r="F108" s="249">
        <f t="shared" si="19"/>
        <v>-6.6590314346624121E-3</v>
      </c>
      <c r="H108" s="288" t="s">
        <v>118</v>
      </c>
      <c r="I108" s="290" t="s">
        <v>58</v>
      </c>
      <c r="J108" s="293">
        <f t="shared" si="20"/>
        <v>125.98</v>
      </c>
      <c r="K108" s="277">
        <f>+DB!M$151</f>
        <v>0</v>
      </c>
      <c r="L108" s="281">
        <f t="shared" si="17"/>
        <v>-125.98</v>
      </c>
    </row>
    <row r="109" spans="2:12" x14ac:dyDescent="0.25">
      <c r="B109" s="250" t="s">
        <v>116</v>
      </c>
      <c r="C109" s="244" t="s">
        <v>479</v>
      </c>
      <c r="D109" s="249">
        <f t="shared" si="15"/>
        <v>2.6796599258633577E-2</v>
      </c>
      <c r="E109" s="249">
        <f>+DB!K$37</f>
        <v>0</v>
      </c>
      <c r="F109" s="249">
        <f t="shared" si="19"/>
        <v>-2.6796599258633577E-2</v>
      </c>
      <c r="H109" s="288" t="s">
        <v>118</v>
      </c>
      <c r="I109" s="290" t="s">
        <v>496</v>
      </c>
      <c r="J109" s="294">
        <f t="shared" si="20"/>
        <v>4217</v>
      </c>
      <c r="K109" s="278">
        <f>+DB!M$158</f>
        <v>0</v>
      </c>
      <c r="L109" s="282">
        <f t="shared" ref="L109:L122" si="21">+K109-J109</f>
        <v>-4217</v>
      </c>
    </row>
    <row r="110" spans="2:12" ht="15.75" x14ac:dyDescent="0.25">
      <c r="B110" s="250" t="s">
        <v>116</v>
      </c>
      <c r="C110" s="243" t="s">
        <v>488</v>
      </c>
      <c r="D110" s="249">
        <f t="shared" si="15"/>
        <v>0.12318396202279536</v>
      </c>
      <c r="E110" s="245">
        <f>+DB!K$44</f>
        <v>0</v>
      </c>
      <c r="F110" s="249">
        <f t="shared" si="19"/>
        <v>-0.12318396202279536</v>
      </c>
      <c r="H110" s="288" t="s">
        <v>118</v>
      </c>
      <c r="I110" s="290" t="s">
        <v>193</v>
      </c>
      <c r="J110" s="294">
        <f t="shared" si="20"/>
        <v>631</v>
      </c>
      <c r="K110" s="278">
        <f>+DB!M$165</f>
        <v>0</v>
      </c>
      <c r="L110" s="282">
        <f t="shared" si="21"/>
        <v>-631</v>
      </c>
    </row>
    <row r="111" spans="2:12" x14ac:dyDescent="0.25">
      <c r="B111" s="250" t="s">
        <v>116</v>
      </c>
      <c r="C111" s="247" t="s">
        <v>42</v>
      </c>
      <c r="D111" s="249">
        <f t="shared" si="15"/>
        <v>0.159</v>
      </c>
      <c r="E111" s="248">
        <f>+DB!K$51</f>
        <v>0</v>
      </c>
      <c r="F111" s="249">
        <f t="shared" si="19"/>
        <v>-0.159</v>
      </c>
      <c r="H111" s="288" t="s">
        <v>118</v>
      </c>
      <c r="I111" s="290" t="s">
        <v>216</v>
      </c>
      <c r="J111" s="293">
        <f t="shared" si="20"/>
        <v>2790480.1244999999</v>
      </c>
      <c r="K111" s="332">
        <f>+DB!M$172</f>
        <v>0</v>
      </c>
      <c r="L111" s="333">
        <f t="shared" si="21"/>
        <v>-2790480.1244999999</v>
      </c>
    </row>
    <row r="112" spans="2:12" x14ac:dyDescent="0.25">
      <c r="B112" s="250" t="s">
        <v>116</v>
      </c>
      <c r="C112" s="247" t="s">
        <v>43</v>
      </c>
      <c r="D112" s="249">
        <f t="shared" si="15"/>
        <v>0.12740000000000001</v>
      </c>
      <c r="E112" s="248">
        <f>+DB!K$58</f>
        <v>0</v>
      </c>
      <c r="F112" s="249">
        <f t="shared" si="19"/>
        <v>-0.12740000000000001</v>
      </c>
      <c r="H112" s="288" t="s">
        <v>118</v>
      </c>
      <c r="I112" s="291" t="s">
        <v>61</v>
      </c>
      <c r="J112" s="283">
        <f t="shared" si="20"/>
        <v>0.77970000000000006</v>
      </c>
      <c r="K112" s="284">
        <f>+DB!M$179</f>
        <v>0</v>
      </c>
      <c r="L112" s="283">
        <f t="shared" si="21"/>
        <v>-0.77970000000000006</v>
      </c>
    </row>
    <row r="113" spans="2:12" x14ac:dyDescent="0.25">
      <c r="B113" s="250" t="s">
        <v>116</v>
      </c>
      <c r="C113" s="247" t="s">
        <v>483</v>
      </c>
      <c r="D113" s="249">
        <f t="shared" si="15"/>
        <v>4.4999999999999998E-2</v>
      </c>
      <c r="E113" s="248">
        <f>+DB!K$65</f>
        <v>0</v>
      </c>
      <c r="F113" s="249">
        <f t="shared" si="19"/>
        <v>-4.4999999999999998E-2</v>
      </c>
      <c r="H113" s="288" t="s">
        <v>119</v>
      </c>
      <c r="I113" s="290" t="s">
        <v>55</v>
      </c>
      <c r="J113" s="283">
        <f>+J103</f>
        <v>0.3322</v>
      </c>
      <c r="K113" s="276">
        <f>+DB!N$116</f>
        <v>0</v>
      </c>
      <c r="L113" s="280">
        <f t="shared" si="21"/>
        <v>-0.3322</v>
      </c>
    </row>
    <row r="114" spans="2:12" x14ac:dyDescent="0.25">
      <c r="B114" s="250" t="s">
        <v>116</v>
      </c>
      <c r="C114" s="247" t="s">
        <v>484</v>
      </c>
      <c r="D114" s="249">
        <f t="shared" si="15"/>
        <v>1</v>
      </c>
      <c r="E114" s="248">
        <f>+DB!K$72</f>
        <v>0</v>
      </c>
      <c r="F114" s="249">
        <f t="shared" si="19"/>
        <v>-1</v>
      </c>
      <c r="H114" s="288" t="s">
        <v>119</v>
      </c>
      <c r="I114" s="290" t="s">
        <v>52</v>
      </c>
      <c r="J114" s="283">
        <f t="shared" si="20"/>
        <v>0.3589</v>
      </c>
      <c r="K114" s="276">
        <f>+DB!N$123</f>
        <v>0</v>
      </c>
      <c r="L114" s="280">
        <f t="shared" si="21"/>
        <v>-0.3589</v>
      </c>
    </row>
    <row r="115" spans="2:12" x14ac:dyDescent="0.25">
      <c r="B115" s="250" t="s">
        <v>116</v>
      </c>
      <c r="C115" s="247" t="s">
        <v>45</v>
      </c>
      <c r="D115" s="249">
        <f t="shared" si="15"/>
        <v>0.1119</v>
      </c>
      <c r="E115" s="248">
        <f>+DB!K$79</f>
        <v>0</v>
      </c>
      <c r="F115" s="249">
        <f t="shared" si="19"/>
        <v>-0.1119</v>
      </c>
      <c r="H115" s="288" t="s">
        <v>119</v>
      </c>
      <c r="I115" s="290" t="s">
        <v>53</v>
      </c>
      <c r="J115" s="283">
        <f t="shared" si="20"/>
        <v>0.50179999999999991</v>
      </c>
      <c r="K115" s="276">
        <f>+DB!N$130</f>
        <v>0</v>
      </c>
      <c r="L115" s="280">
        <f t="shared" si="21"/>
        <v>-0.50179999999999991</v>
      </c>
    </row>
    <row r="116" spans="2:12" x14ac:dyDescent="0.25">
      <c r="B116" s="250" t="s">
        <v>116</v>
      </c>
      <c r="C116" s="247" t="s">
        <v>485</v>
      </c>
      <c r="D116" s="249">
        <f t="shared" si="15"/>
        <v>0.13</v>
      </c>
      <c r="E116" s="248">
        <f>+DB!K$86</f>
        <v>0</v>
      </c>
      <c r="F116" s="249">
        <f t="shared" si="19"/>
        <v>-0.13</v>
      </c>
      <c r="H116" s="288" t="s">
        <v>119</v>
      </c>
      <c r="I116" s="290" t="s">
        <v>54</v>
      </c>
      <c r="J116" s="283">
        <f t="shared" si="20"/>
        <v>0.50179999999999991</v>
      </c>
      <c r="K116" s="276">
        <f>+DB!N$137</f>
        <v>0</v>
      </c>
      <c r="L116" s="280">
        <f t="shared" si="21"/>
        <v>-0.50179999999999991</v>
      </c>
    </row>
    <row r="117" spans="2:12" x14ac:dyDescent="0.25">
      <c r="B117" s="250" t="s">
        <v>116</v>
      </c>
      <c r="C117" s="247" t="s">
        <v>486</v>
      </c>
      <c r="D117" s="249">
        <f t="shared" si="15"/>
        <v>8.5000000000000006E-2</v>
      </c>
      <c r="E117" s="248">
        <f>+DB!K$93</f>
        <v>0</v>
      </c>
      <c r="F117" s="249">
        <f t="shared" si="19"/>
        <v>-8.5000000000000006E-2</v>
      </c>
      <c r="H117" s="288" t="s">
        <v>119</v>
      </c>
      <c r="I117" s="290" t="s">
        <v>57</v>
      </c>
      <c r="J117" s="283">
        <f t="shared" si="20"/>
        <v>0.4667</v>
      </c>
      <c r="K117" s="276">
        <f>+DB!N$144</f>
        <v>0</v>
      </c>
      <c r="L117" s="280">
        <f t="shared" si="21"/>
        <v>-0.4667</v>
      </c>
    </row>
    <row r="118" spans="2:12" x14ac:dyDescent="0.25">
      <c r="B118" s="250" t="s">
        <v>116</v>
      </c>
      <c r="C118" s="244" t="s">
        <v>478</v>
      </c>
      <c r="D118" s="249">
        <f t="shared" si="15"/>
        <v>1.01</v>
      </c>
      <c r="E118" s="248">
        <f>+DB!K$100</f>
        <v>0</v>
      </c>
      <c r="F118" s="249">
        <f t="shared" si="19"/>
        <v>-1.01</v>
      </c>
      <c r="H118" s="288" t="s">
        <v>119</v>
      </c>
      <c r="I118" s="290" t="s">
        <v>58</v>
      </c>
      <c r="J118" s="293">
        <f t="shared" si="20"/>
        <v>125.98</v>
      </c>
      <c r="K118" s="277">
        <f>+DB!N$151</f>
        <v>0</v>
      </c>
      <c r="L118" s="281">
        <f t="shared" si="21"/>
        <v>-125.98</v>
      </c>
    </row>
    <row r="119" spans="2:12" x14ac:dyDescent="0.25">
      <c r="B119" s="250" t="s">
        <v>116</v>
      </c>
      <c r="C119" s="247" t="s">
        <v>49</v>
      </c>
      <c r="D119" s="249">
        <f t="shared" si="15"/>
        <v>0.87030000000000007</v>
      </c>
      <c r="E119" s="248">
        <f>+DB!K$107</f>
        <v>0</v>
      </c>
      <c r="F119" s="249">
        <f t="shared" si="19"/>
        <v>-0.87030000000000007</v>
      </c>
      <c r="H119" s="288" t="s">
        <v>119</v>
      </c>
      <c r="I119" s="290" t="s">
        <v>496</v>
      </c>
      <c r="J119" s="294">
        <f t="shared" si="20"/>
        <v>4217</v>
      </c>
      <c r="K119" s="278">
        <f>+DB!N$158</f>
        <v>0</v>
      </c>
      <c r="L119" s="282">
        <f t="shared" si="21"/>
        <v>-4217</v>
      </c>
    </row>
    <row r="120" spans="2:12" ht="15.75" x14ac:dyDescent="0.25">
      <c r="B120" s="250" t="s">
        <v>117</v>
      </c>
      <c r="C120" s="243" t="s">
        <v>487</v>
      </c>
      <c r="D120" s="322">
        <f>D107</f>
        <v>1.1666666666666667E-2</v>
      </c>
      <c r="E120" s="322">
        <f>+DB!L$17</f>
        <v>0</v>
      </c>
      <c r="F120" s="322">
        <f t="shared" si="19"/>
        <v>-1.1666666666666667E-2</v>
      </c>
      <c r="H120" s="288" t="s">
        <v>119</v>
      </c>
      <c r="I120" s="290" t="s">
        <v>193</v>
      </c>
      <c r="J120" s="294">
        <f t="shared" si="20"/>
        <v>631</v>
      </c>
      <c r="K120" s="278">
        <f>+DB!N$165</f>
        <v>0</v>
      </c>
      <c r="L120" s="282">
        <f t="shared" si="21"/>
        <v>-631</v>
      </c>
    </row>
    <row r="121" spans="2:12" x14ac:dyDescent="0.25">
      <c r="B121" s="250" t="s">
        <v>117</v>
      </c>
      <c r="C121" s="244" t="s">
        <v>480</v>
      </c>
      <c r="D121" s="322">
        <f t="shared" si="15"/>
        <v>6.6590314346624121E-3</v>
      </c>
      <c r="E121" s="322">
        <f>+DB!L$27</f>
        <v>0</v>
      </c>
      <c r="F121" s="322">
        <f t="shared" si="19"/>
        <v>-6.6590314346624121E-3</v>
      </c>
      <c r="H121" s="288" t="s">
        <v>119</v>
      </c>
      <c r="I121" s="290" t="s">
        <v>216</v>
      </c>
      <c r="J121" s="293">
        <f t="shared" si="20"/>
        <v>2790480.1244999999</v>
      </c>
      <c r="K121" s="332">
        <f>+DB!N$172</f>
        <v>0</v>
      </c>
      <c r="L121" s="333">
        <f t="shared" si="21"/>
        <v>-2790480.1244999999</v>
      </c>
    </row>
    <row r="122" spans="2:12" x14ac:dyDescent="0.25">
      <c r="B122" s="250" t="s">
        <v>117</v>
      </c>
      <c r="C122" s="244" t="s">
        <v>479</v>
      </c>
      <c r="D122" s="322">
        <f t="shared" ref="D122:D132" si="22">D109</f>
        <v>2.6796599258633577E-2</v>
      </c>
      <c r="E122" s="322">
        <f>+DB!L$37</f>
        <v>0</v>
      </c>
      <c r="F122" s="322">
        <f t="shared" si="19"/>
        <v>-2.6796599258633577E-2</v>
      </c>
      <c r="H122" s="288" t="s">
        <v>119</v>
      </c>
      <c r="I122" s="291" t="s">
        <v>61</v>
      </c>
      <c r="J122" s="283">
        <f t="shared" si="20"/>
        <v>0.77970000000000006</v>
      </c>
      <c r="K122" s="284">
        <f>+DB!N$179</f>
        <v>0</v>
      </c>
      <c r="L122" s="283">
        <f t="shared" si="21"/>
        <v>-0.77970000000000006</v>
      </c>
    </row>
    <row r="123" spans="2:12" ht="15.75" x14ac:dyDescent="0.25">
      <c r="B123" s="250" t="s">
        <v>117</v>
      </c>
      <c r="C123" s="243" t="s">
        <v>488</v>
      </c>
      <c r="D123" s="249">
        <f t="shared" si="22"/>
        <v>0.12318396202279536</v>
      </c>
      <c r="E123" s="245">
        <f>+DB!L$44</f>
        <v>0</v>
      </c>
      <c r="F123" s="249">
        <f t="shared" si="19"/>
        <v>-0.12318396202279536</v>
      </c>
    </row>
    <row r="124" spans="2:12" x14ac:dyDescent="0.25">
      <c r="B124" s="250" t="s">
        <v>117</v>
      </c>
      <c r="C124" s="247" t="s">
        <v>42</v>
      </c>
      <c r="D124" s="249">
        <f t="shared" si="22"/>
        <v>0.159</v>
      </c>
      <c r="E124" s="248">
        <f>+DB!L$51</f>
        <v>0</v>
      </c>
      <c r="F124" s="249">
        <f t="shared" si="19"/>
        <v>-0.159</v>
      </c>
    </row>
    <row r="125" spans="2:12" x14ac:dyDescent="0.25">
      <c r="B125" s="250" t="s">
        <v>117</v>
      </c>
      <c r="C125" s="247" t="s">
        <v>43</v>
      </c>
      <c r="D125" s="249">
        <f t="shared" si="22"/>
        <v>0.12740000000000001</v>
      </c>
      <c r="E125" s="248">
        <f>+DB!L$58</f>
        <v>0</v>
      </c>
      <c r="F125" s="249">
        <f t="shared" si="19"/>
        <v>-0.12740000000000001</v>
      </c>
    </row>
    <row r="126" spans="2:12" x14ac:dyDescent="0.25">
      <c r="B126" s="250" t="s">
        <v>117</v>
      </c>
      <c r="C126" s="247" t="s">
        <v>483</v>
      </c>
      <c r="D126" s="249">
        <f t="shared" si="22"/>
        <v>4.4999999999999998E-2</v>
      </c>
      <c r="E126" s="248">
        <f>+DB!L$65</f>
        <v>0</v>
      </c>
      <c r="F126" s="249">
        <f t="shared" si="19"/>
        <v>-4.4999999999999998E-2</v>
      </c>
    </row>
    <row r="127" spans="2:12" x14ac:dyDescent="0.25">
      <c r="B127" s="250" t="s">
        <v>117</v>
      </c>
      <c r="C127" s="247" t="s">
        <v>484</v>
      </c>
      <c r="D127" s="249">
        <f t="shared" si="22"/>
        <v>1</v>
      </c>
      <c r="E127" s="248">
        <f>+DB!L$72</f>
        <v>0</v>
      </c>
      <c r="F127" s="249">
        <f t="shared" si="19"/>
        <v>-1</v>
      </c>
    </row>
    <row r="128" spans="2:12" x14ac:dyDescent="0.25">
      <c r="B128" s="250" t="s">
        <v>117</v>
      </c>
      <c r="C128" s="247" t="s">
        <v>45</v>
      </c>
      <c r="D128" s="249">
        <f t="shared" si="22"/>
        <v>0.1119</v>
      </c>
      <c r="E128" s="248">
        <f>+DB!L$79</f>
        <v>0</v>
      </c>
      <c r="F128" s="249">
        <f t="shared" si="19"/>
        <v>-0.1119</v>
      </c>
    </row>
    <row r="129" spans="2:6" x14ac:dyDescent="0.25">
      <c r="B129" s="250" t="s">
        <v>117</v>
      </c>
      <c r="C129" s="247" t="s">
        <v>485</v>
      </c>
      <c r="D129" s="249">
        <f t="shared" si="22"/>
        <v>0.13</v>
      </c>
      <c r="E129" s="248">
        <f>+DB!L$86</f>
        <v>0</v>
      </c>
      <c r="F129" s="249">
        <f t="shared" si="19"/>
        <v>-0.13</v>
      </c>
    </row>
    <row r="130" spans="2:6" x14ac:dyDescent="0.25">
      <c r="B130" s="250" t="s">
        <v>117</v>
      </c>
      <c r="C130" s="247" t="s">
        <v>486</v>
      </c>
      <c r="D130" s="249">
        <f t="shared" si="22"/>
        <v>8.5000000000000006E-2</v>
      </c>
      <c r="E130" s="248">
        <f>+DB!L$93</f>
        <v>0</v>
      </c>
      <c r="F130" s="249">
        <f t="shared" si="19"/>
        <v>-8.5000000000000006E-2</v>
      </c>
    </row>
    <row r="131" spans="2:6" x14ac:dyDescent="0.25">
      <c r="B131" s="250" t="s">
        <v>117</v>
      </c>
      <c r="C131" s="244" t="s">
        <v>478</v>
      </c>
      <c r="D131" s="249">
        <f t="shared" si="22"/>
        <v>1.01</v>
      </c>
      <c r="E131" s="248">
        <f>+DB!L$100</f>
        <v>0</v>
      </c>
      <c r="F131" s="249">
        <f t="shared" si="19"/>
        <v>-1.01</v>
      </c>
    </row>
    <row r="132" spans="2:6" x14ac:dyDescent="0.25">
      <c r="B132" s="250" t="s">
        <v>117</v>
      </c>
      <c r="C132" s="247" t="s">
        <v>49</v>
      </c>
      <c r="D132" s="249">
        <f t="shared" si="22"/>
        <v>0.87030000000000007</v>
      </c>
      <c r="E132" s="248">
        <f>+DB!L$107</f>
        <v>0</v>
      </c>
      <c r="F132" s="249">
        <f t="shared" si="19"/>
        <v>-0.87030000000000007</v>
      </c>
    </row>
    <row r="133" spans="2:6" ht="15.75" x14ac:dyDescent="0.25">
      <c r="B133" s="250" t="s">
        <v>118</v>
      </c>
      <c r="C133" s="243" t="s">
        <v>487</v>
      </c>
      <c r="D133" s="322">
        <f>D120</f>
        <v>1.1666666666666667E-2</v>
      </c>
      <c r="E133" s="322">
        <f>+DB!M$17</f>
        <v>0</v>
      </c>
      <c r="F133" s="322">
        <f t="shared" si="19"/>
        <v>-1.1666666666666667E-2</v>
      </c>
    </row>
    <row r="134" spans="2:6" x14ac:dyDescent="0.25">
      <c r="B134" s="250" t="s">
        <v>118</v>
      </c>
      <c r="C134" s="244" t="s">
        <v>480</v>
      </c>
      <c r="D134" s="322">
        <f t="shared" ref="D134:D145" si="23">D121</f>
        <v>6.6590314346624121E-3</v>
      </c>
      <c r="E134" s="322">
        <f>+DB!M$27</f>
        <v>0</v>
      </c>
      <c r="F134" s="322">
        <f t="shared" si="19"/>
        <v>-6.6590314346624121E-3</v>
      </c>
    </row>
    <row r="135" spans="2:6" x14ac:dyDescent="0.25">
      <c r="B135" s="250" t="s">
        <v>118</v>
      </c>
      <c r="C135" s="244" t="s">
        <v>479</v>
      </c>
      <c r="D135" s="322">
        <f t="shared" si="23"/>
        <v>2.6796599258633577E-2</v>
      </c>
      <c r="E135" s="322">
        <f>+DB!M$37</f>
        <v>0</v>
      </c>
      <c r="F135" s="322">
        <f t="shared" si="19"/>
        <v>-2.6796599258633577E-2</v>
      </c>
    </row>
    <row r="136" spans="2:6" ht="15.75" x14ac:dyDescent="0.25">
      <c r="B136" s="250" t="s">
        <v>118</v>
      </c>
      <c r="C136" s="243" t="s">
        <v>488</v>
      </c>
      <c r="D136" s="249">
        <f t="shared" si="23"/>
        <v>0.12318396202279536</v>
      </c>
      <c r="E136" s="245">
        <f>+DB!M$44</f>
        <v>0</v>
      </c>
      <c r="F136" s="249">
        <f t="shared" si="19"/>
        <v>-0.12318396202279536</v>
      </c>
    </row>
    <row r="137" spans="2:6" x14ac:dyDescent="0.25">
      <c r="B137" s="250" t="s">
        <v>118</v>
      </c>
      <c r="C137" s="247" t="s">
        <v>42</v>
      </c>
      <c r="D137" s="249">
        <f t="shared" si="23"/>
        <v>0.159</v>
      </c>
      <c r="E137" s="248">
        <f>+DB!M$51</f>
        <v>0</v>
      </c>
      <c r="F137" s="249">
        <f t="shared" si="19"/>
        <v>-0.159</v>
      </c>
    </row>
    <row r="138" spans="2:6" x14ac:dyDescent="0.25">
      <c r="B138" s="250" t="s">
        <v>118</v>
      </c>
      <c r="C138" s="247" t="s">
        <v>43</v>
      </c>
      <c r="D138" s="249">
        <f t="shared" si="23"/>
        <v>0.12740000000000001</v>
      </c>
      <c r="E138" s="248">
        <f>+DB!M$58</f>
        <v>0</v>
      </c>
      <c r="F138" s="249">
        <f t="shared" si="19"/>
        <v>-0.12740000000000001</v>
      </c>
    </row>
    <row r="139" spans="2:6" x14ac:dyDescent="0.25">
      <c r="B139" s="250" t="s">
        <v>118</v>
      </c>
      <c r="C139" s="247" t="s">
        <v>483</v>
      </c>
      <c r="D139" s="249">
        <f t="shared" si="23"/>
        <v>4.4999999999999998E-2</v>
      </c>
      <c r="E139" s="248">
        <f>+DB!M$65</f>
        <v>0</v>
      </c>
      <c r="F139" s="249">
        <f t="shared" si="19"/>
        <v>-4.4999999999999998E-2</v>
      </c>
    </row>
    <row r="140" spans="2:6" x14ac:dyDescent="0.25">
      <c r="B140" s="250" t="s">
        <v>118</v>
      </c>
      <c r="C140" s="247" t="s">
        <v>484</v>
      </c>
      <c r="D140" s="249">
        <f t="shared" si="23"/>
        <v>1</v>
      </c>
      <c r="E140" s="248">
        <f>+DB!M$72</f>
        <v>0</v>
      </c>
      <c r="F140" s="249">
        <f t="shared" si="19"/>
        <v>-1</v>
      </c>
    </row>
    <row r="141" spans="2:6" x14ac:dyDescent="0.25">
      <c r="B141" s="250" t="s">
        <v>118</v>
      </c>
      <c r="C141" s="247" t="s">
        <v>45</v>
      </c>
      <c r="D141" s="249">
        <f t="shared" si="23"/>
        <v>0.1119</v>
      </c>
      <c r="E141" s="248">
        <f>+DB!M$79</f>
        <v>0</v>
      </c>
      <c r="F141" s="249">
        <f t="shared" si="19"/>
        <v>-0.1119</v>
      </c>
    </row>
    <row r="142" spans="2:6" x14ac:dyDescent="0.25">
      <c r="B142" s="250" t="s">
        <v>118</v>
      </c>
      <c r="C142" s="247" t="s">
        <v>485</v>
      </c>
      <c r="D142" s="249">
        <f t="shared" si="23"/>
        <v>0.13</v>
      </c>
      <c r="E142" s="248">
        <f>+DB!M$86</f>
        <v>0</v>
      </c>
      <c r="F142" s="249">
        <f t="shared" si="19"/>
        <v>-0.13</v>
      </c>
    </row>
    <row r="143" spans="2:6" x14ac:dyDescent="0.25">
      <c r="B143" s="250" t="s">
        <v>118</v>
      </c>
      <c r="C143" s="247" t="s">
        <v>486</v>
      </c>
      <c r="D143" s="249">
        <f t="shared" si="23"/>
        <v>8.5000000000000006E-2</v>
      </c>
      <c r="E143" s="248">
        <f>+DB!M$93</f>
        <v>0</v>
      </c>
      <c r="F143" s="249">
        <f t="shared" si="19"/>
        <v>-8.5000000000000006E-2</v>
      </c>
    </row>
    <row r="144" spans="2:6" x14ac:dyDescent="0.25">
      <c r="B144" s="250" t="s">
        <v>118</v>
      </c>
      <c r="C144" s="244" t="s">
        <v>478</v>
      </c>
      <c r="D144" s="249">
        <f t="shared" si="23"/>
        <v>1.01</v>
      </c>
      <c r="E144" s="248">
        <f>+DB!M$100</f>
        <v>0</v>
      </c>
      <c r="F144" s="249">
        <f t="shared" si="19"/>
        <v>-1.01</v>
      </c>
    </row>
    <row r="145" spans="2:6" x14ac:dyDescent="0.25">
      <c r="B145" s="250" t="s">
        <v>118</v>
      </c>
      <c r="C145" s="247" t="s">
        <v>49</v>
      </c>
      <c r="D145" s="249">
        <f t="shared" si="23"/>
        <v>0.87030000000000007</v>
      </c>
      <c r="E145" s="248">
        <f>+DB!M$107</f>
        <v>0</v>
      </c>
      <c r="F145" s="249">
        <f t="shared" si="19"/>
        <v>-0.87030000000000007</v>
      </c>
    </row>
    <row r="146" spans="2:6" ht="15.75" x14ac:dyDescent="0.25">
      <c r="B146" s="250" t="s">
        <v>119</v>
      </c>
      <c r="C146" s="243" t="s">
        <v>487</v>
      </c>
      <c r="D146" s="249">
        <f>D133</f>
        <v>1.1666666666666667E-2</v>
      </c>
      <c r="E146" s="249">
        <f>+DB!N$17</f>
        <v>0</v>
      </c>
      <c r="F146" s="249">
        <f t="shared" ref="F146:F158" si="24">+E146-D146</f>
        <v>-1.1666666666666667E-2</v>
      </c>
    </row>
    <row r="147" spans="2:6" x14ac:dyDescent="0.25">
      <c r="B147" s="250" t="s">
        <v>119</v>
      </c>
      <c r="C147" s="244" t="s">
        <v>480</v>
      </c>
      <c r="D147" s="249">
        <f t="shared" ref="D147:D158" si="25">D134</f>
        <v>6.6590314346624121E-3</v>
      </c>
      <c r="E147" s="249">
        <f>+DB!N$27</f>
        <v>0</v>
      </c>
      <c r="F147" s="249">
        <f t="shared" si="24"/>
        <v>-6.6590314346624121E-3</v>
      </c>
    </row>
    <row r="148" spans="2:6" x14ac:dyDescent="0.25">
      <c r="B148" s="250" t="s">
        <v>119</v>
      </c>
      <c r="C148" s="244" t="s">
        <v>479</v>
      </c>
      <c r="D148" s="249">
        <f t="shared" si="25"/>
        <v>2.6796599258633577E-2</v>
      </c>
      <c r="E148" s="249">
        <f>+DB!N$37</f>
        <v>0</v>
      </c>
      <c r="F148" s="249">
        <f t="shared" si="24"/>
        <v>-2.6796599258633577E-2</v>
      </c>
    </row>
    <row r="149" spans="2:6" ht="15.75" x14ac:dyDescent="0.25">
      <c r="B149" s="250" t="s">
        <v>119</v>
      </c>
      <c r="C149" s="243" t="s">
        <v>488</v>
      </c>
      <c r="D149" s="249">
        <f t="shared" si="25"/>
        <v>0.12318396202279536</v>
      </c>
      <c r="E149" s="245">
        <f>+DB!N$44</f>
        <v>0</v>
      </c>
      <c r="F149" s="249">
        <f t="shared" si="24"/>
        <v>-0.12318396202279536</v>
      </c>
    </row>
    <row r="150" spans="2:6" x14ac:dyDescent="0.25">
      <c r="B150" s="250" t="s">
        <v>119</v>
      </c>
      <c r="C150" s="247" t="s">
        <v>42</v>
      </c>
      <c r="D150" s="249">
        <f t="shared" si="25"/>
        <v>0.159</v>
      </c>
      <c r="E150" s="248">
        <f>+DB!N$51</f>
        <v>0</v>
      </c>
      <c r="F150" s="249">
        <f t="shared" si="24"/>
        <v>-0.159</v>
      </c>
    </row>
    <row r="151" spans="2:6" x14ac:dyDescent="0.25">
      <c r="B151" s="250" t="s">
        <v>119</v>
      </c>
      <c r="C151" s="247" t="s">
        <v>43</v>
      </c>
      <c r="D151" s="249">
        <f t="shared" si="25"/>
        <v>0.12740000000000001</v>
      </c>
      <c r="E151" s="248">
        <f>+DB!N$58</f>
        <v>0</v>
      </c>
      <c r="F151" s="249">
        <f t="shared" si="24"/>
        <v>-0.12740000000000001</v>
      </c>
    </row>
    <row r="152" spans="2:6" x14ac:dyDescent="0.25">
      <c r="B152" s="250" t="s">
        <v>119</v>
      </c>
      <c r="C152" s="247" t="s">
        <v>483</v>
      </c>
      <c r="D152" s="249">
        <f t="shared" si="25"/>
        <v>4.4999999999999998E-2</v>
      </c>
      <c r="E152" s="248">
        <f>+DB!N$65</f>
        <v>0</v>
      </c>
      <c r="F152" s="249">
        <f t="shared" si="24"/>
        <v>-4.4999999999999998E-2</v>
      </c>
    </row>
    <row r="153" spans="2:6" x14ac:dyDescent="0.25">
      <c r="B153" s="250" t="s">
        <v>119</v>
      </c>
      <c r="C153" s="247" t="s">
        <v>484</v>
      </c>
      <c r="D153" s="249">
        <f t="shared" si="25"/>
        <v>1</v>
      </c>
      <c r="E153" s="248">
        <f>+DB!N$72</f>
        <v>0</v>
      </c>
      <c r="F153" s="249">
        <f t="shared" si="24"/>
        <v>-1</v>
      </c>
    </row>
    <row r="154" spans="2:6" x14ac:dyDescent="0.25">
      <c r="B154" s="250" t="s">
        <v>119</v>
      </c>
      <c r="C154" s="247" t="s">
        <v>45</v>
      </c>
      <c r="D154" s="249">
        <f t="shared" si="25"/>
        <v>0.1119</v>
      </c>
      <c r="E154" s="248">
        <f>+DB!N$79</f>
        <v>0</v>
      </c>
      <c r="F154" s="249">
        <f t="shared" si="24"/>
        <v>-0.1119</v>
      </c>
    </row>
    <row r="155" spans="2:6" x14ac:dyDescent="0.25">
      <c r="B155" s="250" t="s">
        <v>119</v>
      </c>
      <c r="C155" s="247" t="s">
        <v>485</v>
      </c>
      <c r="D155" s="249">
        <f t="shared" si="25"/>
        <v>0.13</v>
      </c>
      <c r="E155" s="248">
        <f>+DB!N$86</f>
        <v>0</v>
      </c>
      <c r="F155" s="249">
        <f t="shared" si="24"/>
        <v>-0.13</v>
      </c>
    </row>
    <row r="156" spans="2:6" x14ac:dyDescent="0.25">
      <c r="B156" s="250" t="s">
        <v>119</v>
      </c>
      <c r="C156" s="247" t="s">
        <v>486</v>
      </c>
      <c r="D156" s="249">
        <f t="shared" si="25"/>
        <v>8.5000000000000006E-2</v>
      </c>
      <c r="E156" s="248">
        <f>+DB!N$93</f>
        <v>0</v>
      </c>
      <c r="F156" s="249">
        <f t="shared" si="24"/>
        <v>-8.5000000000000006E-2</v>
      </c>
    </row>
    <row r="157" spans="2:6" x14ac:dyDescent="0.25">
      <c r="B157" s="250" t="s">
        <v>119</v>
      </c>
      <c r="C157" s="244" t="s">
        <v>478</v>
      </c>
      <c r="D157" s="249">
        <f t="shared" si="25"/>
        <v>1.01</v>
      </c>
      <c r="E157" s="248">
        <f>+DB!N$100</f>
        <v>0</v>
      </c>
      <c r="F157" s="249">
        <f t="shared" si="24"/>
        <v>-1.01</v>
      </c>
    </row>
    <row r="158" spans="2:6" x14ac:dyDescent="0.25">
      <c r="B158" s="250" t="s">
        <v>119</v>
      </c>
      <c r="C158" s="247" t="s">
        <v>49</v>
      </c>
      <c r="D158" s="249">
        <f t="shared" si="25"/>
        <v>0.87030000000000007</v>
      </c>
      <c r="E158" s="248">
        <f>+DB!N$107</f>
        <v>0</v>
      </c>
      <c r="F158" s="249">
        <f t="shared" si="24"/>
        <v>-0.87030000000000007</v>
      </c>
    </row>
  </sheetData>
  <mergeCells count="4">
    <mergeCell ref="N1:R1"/>
    <mergeCell ref="B1:F1"/>
    <mergeCell ref="H1:L1"/>
    <mergeCell ref="T1:X1"/>
  </mergeCell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B1:N17"/>
  <sheetViews>
    <sheetView showGridLines="0" workbookViewId="0">
      <pane ySplit="2" topLeftCell="A3" activePane="bottomLeft" state="frozen"/>
      <selection pane="bottomLeft"/>
    </sheetView>
  </sheetViews>
  <sheetFormatPr baseColWidth="10" defaultRowHeight="15" x14ac:dyDescent="0.25"/>
  <cols>
    <col min="1" max="1" width="2.7109375" customWidth="1"/>
    <col min="2" max="2" width="13.28515625" customWidth="1"/>
    <col min="3" max="3" width="11.85546875" customWidth="1"/>
    <col min="4" max="4" width="14.140625" customWidth="1"/>
    <col min="8" max="8" width="5.42578125" customWidth="1"/>
  </cols>
  <sheetData>
    <row r="1" spans="2:14" s="2" customFormat="1" ht="39" customHeight="1" x14ac:dyDescent="0.25"/>
    <row r="2" spans="2:14" s="1" customFormat="1" ht="30.75" customHeight="1" x14ac:dyDescent="0.25"/>
    <row r="3" spans="2:14" ht="12" customHeight="1" x14ac:dyDescent="0.25"/>
    <row r="4" spans="2:14" x14ac:dyDescent="0.25">
      <c r="B4" s="356" t="s">
        <v>0</v>
      </c>
      <c r="C4" s="356"/>
      <c r="D4" s="356"/>
      <c r="E4" s="356"/>
      <c r="F4" s="356"/>
      <c r="G4" s="356"/>
      <c r="H4" s="356"/>
      <c r="I4" s="356"/>
      <c r="J4" s="356"/>
      <c r="K4" s="356"/>
      <c r="L4" s="356"/>
      <c r="M4" s="356"/>
      <c r="N4" s="356"/>
    </row>
    <row r="5" spans="2:14" x14ac:dyDescent="0.25">
      <c r="B5" s="356"/>
      <c r="C5" s="356"/>
      <c r="D5" s="356"/>
      <c r="E5" s="356"/>
      <c r="F5" s="356"/>
      <c r="G5" s="356"/>
      <c r="H5" s="356"/>
      <c r="I5" s="356"/>
      <c r="J5" s="356"/>
      <c r="K5" s="356"/>
      <c r="L5" s="356"/>
      <c r="M5" s="356"/>
      <c r="N5" s="356"/>
    </row>
    <row r="6" spans="2:14" ht="11.25" customHeight="1" x14ac:dyDescent="0.25"/>
    <row r="7" spans="2:14" ht="17.25" customHeight="1" x14ac:dyDescent="0.25">
      <c r="B7" s="357" t="s">
        <v>1</v>
      </c>
      <c r="C7" s="357"/>
      <c r="D7" s="358">
        <v>2020</v>
      </c>
      <c r="E7" s="359"/>
      <c r="F7" s="359"/>
      <c r="G7" s="360"/>
      <c r="I7" s="357" t="s">
        <v>2</v>
      </c>
      <c r="J7" s="357"/>
      <c r="K7" s="358" t="s">
        <v>3</v>
      </c>
      <c r="L7" s="359"/>
      <c r="M7" s="359"/>
      <c r="N7" s="360"/>
    </row>
    <row r="8" spans="2:14" ht="17.25" customHeight="1" x14ac:dyDescent="0.25">
      <c r="B8" s="357"/>
      <c r="C8" s="357"/>
      <c r="D8" s="361"/>
      <c r="E8" s="362"/>
      <c r="F8" s="362"/>
      <c r="G8" s="363"/>
      <c r="I8" s="357"/>
      <c r="J8" s="357"/>
      <c r="K8" s="361"/>
      <c r="L8" s="362"/>
      <c r="M8" s="362"/>
      <c r="N8" s="363"/>
    </row>
    <row r="9" spans="2:14" ht="12" customHeight="1" x14ac:dyDescent="0.25"/>
    <row r="10" spans="2:14" ht="28.5" x14ac:dyDescent="0.25">
      <c r="B10" s="374" t="s">
        <v>7</v>
      </c>
      <c r="C10" s="374"/>
      <c r="D10" s="374"/>
      <c r="E10" s="374"/>
      <c r="F10" s="374"/>
      <c r="G10" s="374"/>
      <c r="H10" s="374"/>
      <c r="I10" s="374"/>
      <c r="J10" s="374"/>
      <c r="K10" s="374"/>
      <c r="L10" s="374"/>
      <c r="M10" s="374"/>
      <c r="N10" s="374"/>
    </row>
    <row r="11" spans="2:14" ht="18.75" customHeight="1" x14ac:dyDescent="0.25">
      <c r="B11" s="365" t="s">
        <v>71</v>
      </c>
      <c r="C11" s="366"/>
      <c r="D11" s="366"/>
      <c r="E11" s="366"/>
      <c r="F11" s="366"/>
      <c r="G11" s="366"/>
      <c r="H11" s="366"/>
      <c r="I11" s="366"/>
      <c r="J11" s="366"/>
      <c r="K11" s="366"/>
      <c r="L11" s="366"/>
      <c r="M11" s="366"/>
      <c r="N11" s="367"/>
    </row>
    <row r="12" spans="2:14" x14ac:dyDescent="0.25">
      <c r="B12" s="368"/>
      <c r="C12" s="369"/>
      <c r="D12" s="369"/>
      <c r="E12" s="369"/>
      <c r="F12" s="369"/>
      <c r="G12" s="369"/>
      <c r="H12" s="369"/>
      <c r="I12" s="369"/>
      <c r="J12" s="369"/>
      <c r="K12" s="369"/>
      <c r="L12" s="369"/>
      <c r="M12" s="369"/>
      <c r="N12" s="370"/>
    </row>
    <row r="13" spans="2:14" x14ac:dyDescent="0.25">
      <c r="B13" s="368"/>
      <c r="C13" s="369"/>
      <c r="D13" s="369"/>
      <c r="E13" s="369"/>
      <c r="F13" s="369"/>
      <c r="G13" s="369"/>
      <c r="H13" s="369"/>
      <c r="I13" s="369"/>
      <c r="J13" s="369"/>
      <c r="K13" s="369"/>
      <c r="L13" s="369"/>
      <c r="M13" s="369"/>
      <c r="N13" s="370"/>
    </row>
    <row r="14" spans="2:14" x14ac:dyDescent="0.25">
      <c r="B14" s="368"/>
      <c r="C14" s="369"/>
      <c r="D14" s="369"/>
      <c r="E14" s="369"/>
      <c r="F14" s="369"/>
      <c r="G14" s="369"/>
      <c r="H14" s="369"/>
      <c r="I14" s="369"/>
      <c r="J14" s="369"/>
      <c r="K14" s="369"/>
      <c r="L14" s="369"/>
      <c r="M14" s="369"/>
      <c r="N14" s="370"/>
    </row>
    <row r="15" spans="2:14" x14ac:dyDescent="0.25">
      <c r="B15" s="368"/>
      <c r="C15" s="369"/>
      <c r="D15" s="369"/>
      <c r="E15" s="369"/>
      <c r="F15" s="369"/>
      <c r="G15" s="369"/>
      <c r="H15" s="369"/>
      <c r="I15" s="369"/>
      <c r="J15" s="369"/>
      <c r="K15" s="369"/>
      <c r="L15" s="369"/>
      <c r="M15" s="369"/>
      <c r="N15" s="370"/>
    </row>
    <row r="16" spans="2:14" x14ac:dyDescent="0.25">
      <c r="B16" s="368"/>
      <c r="C16" s="369"/>
      <c r="D16" s="369"/>
      <c r="E16" s="369"/>
      <c r="F16" s="369"/>
      <c r="G16" s="369"/>
      <c r="H16" s="369"/>
      <c r="I16" s="369"/>
      <c r="J16" s="369"/>
      <c r="K16" s="369"/>
      <c r="L16" s="369"/>
      <c r="M16" s="369"/>
      <c r="N16" s="370"/>
    </row>
    <row r="17" spans="2:14" x14ac:dyDescent="0.25">
      <c r="B17" s="371"/>
      <c r="C17" s="372"/>
      <c r="D17" s="372"/>
      <c r="E17" s="372"/>
      <c r="F17" s="372"/>
      <c r="G17" s="372"/>
      <c r="H17" s="372"/>
      <c r="I17" s="372"/>
      <c r="J17" s="372"/>
      <c r="K17" s="372"/>
      <c r="L17" s="372"/>
      <c r="M17" s="372"/>
      <c r="N17" s="373"/>
    </row>
  </sheetData>
  <mergeCells count="7">
    <mergeCell ref="B11:N17"/>
    <mergeCell ref="B4:N5"/>
    <mergeCell ref="B7:C8"/>
    <mergeCell ref="D7:G8"/>
    <mergeCell ref="I7:J8"/>
    <mergeCell ref="K7:N8"/>
    <mergeCell ref="B10:N10"/>
  </mergeCells>
  <dataValidations count="1">
    <dataValidation type="list" allowBlank="1" showInputMessage="1" showErrorMessage="1" sqref="K7:N8">
      <formula1>"1 año, 2 años, 3 años, 4 años"</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B1:O28"/>
  <sheetViews>
    <sheetView showGridLines="0" zoomScaleNormal="100" workbookViewId="0">
      <pane ySplit="2" topLeftCell="A6" activePane="bottomLeft" state="frozen"/>
      <selection pane="bottomLeft"/>
    </sheetView>
  </sheetViews>
  <sheetFormatPr baseColWidth="10" defaultRowHeight="15" x14ac:dyDescent="0.25"/>
  <cols>
    <col min="1" max="1" width="2.7109375" customWidth="1"/>
    <col min="2" max="2" width="13.28515625" customWidth="1"/>
    <col min="3" max="3" width="11.85546875" customWidth="1"/>
    <col min="4" max="4" width="14.140625" customWidth="1"/>
    <col min="8" max="8" width="5.42578125" customWidth="1"/>
  </cols>
  <sheetData>
    <row r="1" spans="2:15" s="2" customFormat="1" ht="39" customHeight="1" x14ac:dyDescent="0.25"/>
    <row r="2" spans="2:15" s="1" customFormat="1" ht="30.75" customHeight="1" x14ac:dyDescent="0.25"/>
    <row r="3" spans="2:15" ht="12" customHeight="1" x14ac:dyDescent="0.25"/>
    <row r="4" spans="2:15" x14ac:dyDescent="0.25">
      <c r="B4" s="356" t="s">
        <v>0</v>
      </c>
      <c r="C4" s="356"/>
      <c r="D4" s="356"/>
      <c r="E4" s="356"/>
      <c r="F4" s="356"/>
      <c r="G4" s="356"/>
      <c r="H4" s="356"/>
      <c r="I4" s="356"/>
      <c r="J4" s="356"/>
      <c r="K4" s="356"/>
      <c r="L4" s="356"/>
      <c r="M4" s="356"/>
      <c r="N4" s="356"/>
    </row>
    <row r="5" spans="2:15" x14ac:dyDescent="0.25">
      <c r="B5" s="356"/>
      <c r="C5" s="356"/>
      <c r="D5" s="356"/>
      <c r="E5" s="356"/>
      <c r="F5" s="356"/>
      <c r="G5" s="356"/>
      <c r="H5" s="356"/>
      <c r="I5" s="356"/>
      <c r="J5" s="356"/>
      <c r="K5" s="356"/>
      <c r="L5" s="356"/>
      <c r="M5" s="356"/>
      <c r="N5" s="356"/>
    </row>
    <row r="6" spans="2:15" ht="11.25" customHeight="1" x14ac:dyDescent="0.25"/>
    <row r="7" spans="2:15" ht="17.25" customHeight="1" x14ac:dyDescent="0.25">
      <c r="B7" s="357" t="s">
        <v>1</v>
      </c>
      <c r="C7" s="357"/>
      <c r="D7" s="358">
        <v>2020</v>
      </c>
      <c r="E7" s="359"/>
      <c r="F7" s="359"/>
      <c r="G7" s="360"/>
      <c r="I7" s="357" t="s">
        <v>2</v>
      </c>
      <c r="J7" s="357"/>
      <c r="K7" s="358" t="s">
        <v>3</v>
      </c>
      <c r="L7" s="359"/>
      <c r="M7" s="359"/>
      <c r="N7" s="360"/>
    </row>
    <row r="8" spans="2:15" ht="17.25" customHeight="1" x14ac:dyDescent="0.25">
      <c r="B8" s="357"/>
      <c r="C8" s="357"/>
      <c r="D8" s="361"/>
      <c r="E8" s="362"/>
      <c r="F8" s="362"/>
      <c r="G8" s="363"/>
      <c r="I8" s="357"/>
      <c r="J8" s="357"/>
      <c r="K8" s="361"/>
      <c r="L8" s="362"/>
      <c r="M8" s="362"/>
      <c r="N8" s="363"/>
    </row>
    <row r="9" spans="2:15" ht="10.5" customHeight="1" x14ac:dyDescent="0.25"/>
    <row r="10" spans="2:15" ht="28.5" x14ac:dyDescent="0.25">
      <c r="B10" s="364" t="s">
        <v>8</v>
      </c>
      <c r="C10" s="364"/>
      <c r="D10" s="364"/>
      <c r="E10" s="364"/>
      <c r="F10" s="364"/>
      <c r="G10" s="364"/>
      <c r="H10" s="364"/>
      <c r="I10" s="364"/>
      <c r="J10" s="364"/>
      <c r="K10" s="364"/>
      <c r="L10" s="364"/>
      <c r="M10" s="364"/>
      <c r="N10" s="364"/>
      <c r="O10" s="4"/>
    </row>
    <row r="11" spans="2:15" ht="18.75" customHeight="1" x14ac:dyDescent="0.25">
      <c r="B11" s="365" t="s">
        <v>9</v>
      </c>
      <c r="C11" s="366"/>
      <c r="D11" s="366"/>
      <c r="E11" s="366"/>
      <c r="F11" s="366"/>
      <c r="G11" s="366"/>
      <c r="H11" s="366"/>
      <c r="I11" s="366"/>
      <c r="J11" s="366"/>
      <c r="K11" s="366"/>
      <c r="L11" s="366"/>
      <c r="M11" s="366"/>
      <c r="N11" s="367"/>
      <c r="O11" s="3"/>
    </row>
    <row r="12" spans="2:15" ht="15" customHeight="1" x14ac:dyDescent="0.25">
      <c r="B12" s="368"/>
      <c r="C12" s="369"/>
      <c r="D12" s="369"/>
      <c r="E12" s="369"/>
      <c r="F12" s="369"/>
      <c r="G12" s="369"/>
      <c r="H12" s="369"/>
      <c r="I12" s="369"/>
      <c r="J12" s="369"/>
      <c r="K12" s="369"/>
      <c r="L12" s="369"/>
      <c r="M12" s="369"/>
      <c r="N12" s="370"/>
      <c r="O12" s="3"/>
    </row>
    <row r="13" spans="2:15" ht="15" customHeight="1" x14ac:dyDescent="0.25">
      <c r="B13" s="368"/>
      <c r="C13" s="369"/>
      <c r="D13" s="369"/>
      <c r="E13" s="369"/>
      <c r="F13" s="369"/>
      <c r="G13" s="369"/>
      <c r="H13" s="369"/>
      <c r="I13" s="369"/>
      <c r="J13" s="369"/>
      <c r="K13" s="369"/>
      <c r="L13" s="369"/>
      <c r="M13" s="369"/>
      <c r="N13" s="370"/>
      <c r="O13" s="3"/>
    </row>
    <row r="14" spans="2:15" ht="15" customHeight="1" x14ac:dyDescent="0.25">
      <c r="B14" s="371"/>
      <c r="C14" s="372"/>
      <c r="D14" s="372"/>
      <c r="E14" s="372"/>
      <c r="F14" s="372"/>
      <c r="G14" s="372"/>
      <c r="H14" s="372"/>
      <c r="I14" s="372"/>
      <c r="J14" s="372"/>
      <c r="K14" s="372"/>
      <c r="L14" s="372"/>
      <c r="M14" s="372"/>
      <c r="N14" s="373"/>
      <c r="O14" s="3"/>
    </row>
    <row r="15" spans="2:15" ht="15" customHeight="1" x14ac:dyDescent="0.25">
      <c r="B15" s="3"/>
      <c r="C15" s="3"/>
      <c r="D15" s="3"/>
      <c r="E15" s="3"/>
      <c r="F15" s="3"/>
      <c r="G15" s="3"/>
      <c r="H15" s="3"/>
      <c r="I15" s="3"/>
      <c r="J15" s="3"/>
      <c r="K15" s="3"/>
      <c r="L15" s="3"/>
      <c r="M15" s="3"/>
      <c r="N15" s="3"/>
      <c r="O15" s="3"/>
    </row>
    <row r="16" spans="2:15" ht="30.75" customHeight="1" x14ac:dyDescent="0.25">
      <c r="B16" s="401" t="s">
        <v>10</v>
      </c>
      <c r="C16" s="401"/>
      <c r="D16" s="401"/>
      <c r="E16" s="401"/>
      <c r="F16" s="411" t="s">
        <v>11</v>
      </c>
      <c r="G16" s="411"/>
      <c r="H16" s="411"/>
      <c r="I16" s="411"/>
      <c r="J16" s="411"/>
      <c r="K16" s="411"/>
      <c r="L16" s="411"/>
      <c r="M16" s="411"/>
      <c r="N16" s="411"/>
    </row>
    <row r="17" spans="2:14" ht="37.5" customHeight="1" x14ac:dyDescent="0.25">
      <c r="B17" s="402" t="s">
        <v>12</v>
      </c>
      <c r="C17" s="403"/>
      <c r="D17" s="403"/>
      <c r="E17" s="404"/>
      <c r="F17" s="375" t="s">
        <v>13</v>
      </c>
      <c r="G17" s="376"/>
      <c r="H17" s="376"/>
      <c r="I17" s="376"/>
      <c r="J17" s="376"/>
      <c r="K17" s="376"/>
      <c r="L17" s="376"/>
      <c r="M17" s="376"/>
      <c r="N17" s="377"/>
    </row>
    <row r="18" spans="2:14" ht="42" customHeight="1" x14ac:dyDescent="0.25">
      <c r="B18" s="405"/>
      <c r="C18" s="406"/>
      <c r="D18" s="406"/>
      <c r="E18" s="407"/>
      <c r="F18" s="378" t="s">
        <v>14</v>
      </c>
      <c r="G18" s="379"/>
      <c r="H18" s="379"/>
      <c r="I18" s="379"/>
      <c r="J18" s="379"/>
      <c r="K18" s="379"/>
      <c r="L18" s="379"/>
      <c r="M18" s="379"/>
      <c r="N18" s="380"/>
    </row>
    <row r="19" spans="2:14" ht="45" customHeight="1" x14ac:dyDescent="0.25">
      <c r="B19" s="408"/>
      <c r="C19" s="409"/>
      <c r="D19" s="409"/>
      <c r="E19" s="410"/>
      <c r="F19" s="412" t="s">
        <v>15</v>
      </c>
      <c r="G19" s="399"/>
      <c r="H19" s="399"/>
      <c r="I19" s="399"/>
      <c r="J19" s="399"/>
      <c r="K19" s="399"/>
      <c r="L19" s="399"/>
      <c r="M19" s="399"/>
      <c r="N19" s="400"/>
    </row>
    <row r="20" spans="2:14" ht="54" customHeight="1" x14ac:dyDescent="0.25">
      <c r="B20" s="381" t="s">
        <v>16</v>
      </c>
      <c r="C20" s="382"/>
      <c r="D20" s="382"/>
      <c r="E20" s="383"/>
      <c r="F20" s="375" t="s">
        <v>17</v>
      </c>
      <c r="G20" s="376"/>
      <c r="H20" s="376"/>
      <c r="I20" s="376"/>
      <c r="J20" s="376"/>
      <c r="K20" s="376"/>
      <c r="L20" s="376"/>
      <c r="M20" s="376"/>
      <c r="N20" s="377"/>
    </row>
    <row r="21" spans="2:14" ht="43.5" customHeight="1" x14ac:dyDescent="0.25">
      <c r="B21" s="384"/>
      <c r="C21" s="385"/>
      <c r="D21" s="385"/>
      <c r="E21" s="386"/>
      <c r="F21" s="378" t="s">
        <v>18</v>
      </c>
      <c r="G21" s="379"/>
      <c r="H21" s="379"/>
      <c r="I21" s="379"/>
      <c r="J21" s="379"/>
      <c r="K21" s="379"/>
      <c r="L21" s="379"/>
      <c r="M21" s="379"/>
      <c r="N21" s="380"/>
    </row>
    <row r="22" spans="2:14" ht="43.5" customHeight="1" x14ac:dyDescent="0.25">
      <c r="B22" s="384"/>
      <c r="C22" s="385"/>
      <c r="D22" s="385"/>
      <c r="E22" s="386"/>
      <c r="F22" s="378" t="s">
        <v>19</v>
      </c>
      <c r="G22" s="379"/>
      <c r="H22" s="379"/>
      <c r="I22" s="379"/>
      <c r="J22" s="379"/>
      <c r="K22" s="379"/>
      <c r="L22" s="379"/>
      <c r="M22" s="379"/>
      <c r="N22" s="380"/>
    </row>
    <row r="23" spans="2:14" ht="44.25" customHeight="1" x14ac:dyDescent="0.25">
      <c r="B23" s="381" t="s">
        <v>20</v>
      </c>
      <c r="C23" s="382"/>
      <c r="D23" s="382"/>
      <c r="E23" s="383"/>
      <c r="F23" s="376" t="s">
        <v>21</v>
      </c>
      <c r="G23" s="376"/>
      <c r="H23" s="376"/>
      <c r="I23" s="376"/>
      <c r="J23" s="376"/>
      <c r="K23" s="376"/>
      <c r="L23" s="376"/>
      <c r="M23" s="376"/>
      <c r="N23" s="377"/>
    </row>
    <row r="24" spans="2:14" ht="79.5" customHeight="1" x14ac:dyDescent="0.25">
      <c r="B24" s="384"/>
      <c r="C24" s="385"/>
      <c r="D24" s="385"/>
      <c r="E24" s="386"/>
      <c r="F24" s="379" t="s">
        <v>27</v>
      </c>
      <c r="G24" s="379"/>
      <c r="H24" s="379"/>
      <c r="I24" s="379"/>
      <c r="J24" s="379"/>
      <c r="K24" s="379"/>
      <c r="L24" s="379"/>
      <c r="M24" s="379"/>
      <c r="N24" s="380"/>
    </row>
    <row r="25" spans="2:14" ht="60.75" customHeight="1" x14ac:dyDescent="0.25">
      <c r="B25" s="387"/>
      <c r="C25" s="388"/>
      <c r="D25" s="388"/>
      <c r="E25" s="389"/>
      <c r="F25" s="399" t="s">
        <v>22</v>
      </c>
      <c r="G25" s="399"/>
      <c r="H25" s="399"/>
      <c r="I25" s="399"/>
      <c r="J25" s="399"/>
      <c r="K25" s="399"/>
      <c r="L25" s="399"/>
      <c r="M25" s="399"/>
      <c r="N25" s="400"/>
    </row>
    <row r="26" spans="2:14" ht="44.25" customHeight="1" x14ac:dyDescent="0.25">
      <c r="B26" s="390" t="s">
        <v>23</v>
      </c>
      <c r="C26" s="391"/>
      <c r="D26" s="391"/>
      <c r="E26" s="392"/>
      <c r="F26" s="376" t="s">
        <v>24</v>
      </c>
      <c r="G26" s="376"/>
      <c r="H26" s="376"/>
      <c r="I26" s="376"/>
      <c r="J26" s="376"/>
      <c r="K26" s="376"/>
      <c r="L26" s="376"/>
      <c r="M26" s="376"/>
      <c r="N26" s="377"/>
    </row>
    <row r="27" spans="2:14" ht="44.25" customHeight="1" x14ac:dyDescent="0.25">
      <c r="B27" s="393"/>
      <c r="C27" s="394"/>
      <c r="D27" s="394"/>
      <c r="E27" s="395"/>
      <c r="F27" s="379" t="s">
        <v>25</v>
      </c>
      <c r="G27" s="379"/>
      <c r="H27" s="379"/>
      <c r="I27" s="379"/>
      <c r="J27" s="379"/>
      <c r="K27" s="379"/>
      <c r="L27" s="379"/>
      <c r="M27" s="379"/>
      <c r="N27" s="380"/>
    </row>
    <row r="28" spans="2:14" ht="64.5" customHeight="1" x14ac:dyDescent="0.25">
      <c r="B28" s="396"/>
      <c r="C28" s="397"/>
      <c r="D28" s="397"/>
      <c r="E28" s="398"/>
      <c r="F28" s="399" t="s">
        <v>26</v>
      </c>
      <c r="G28" s="399"/>
      <c r="H28" s="399"/>
      <c r="I28" s="399"/>
      <c r="J28" s="399"/>
      <c r="K28" s="399"/>
      <c r="L28" s="399"/>
      <c r="M28" s="399"/>
      <c r="N28" s="400"/>
    </row>
  </sheetData>
  <mergeCells count="25">
    <mergeCell ref="B16:E16"/>
    <mergeCell ref="B17:E19"/>
    <mergeCell ref="B10:N10"/>
    <mergeCell ref="B11:N14"/>
    <mergeCell ref="B4:N5"/>
    <mergeCell ref="B7:C8"/>
    <mergeCell ref="D7:G8"/>
    <mergeCell ref="I7:J8"/>
    <mergeCell ref="K7:N8"/>
    <mergeCell ref="F16:N16"/>
    <mergeCell ref="F17:N17"/>
    <mergeCell ref="F18:N18"/>
    <mergeCell ref="F19:N19"/>
    <mergeCell ref="F20:N20"/>
    <mergeCell ref="F22:N22"/>
    <mergeCell ref="B23:E25"/>
    <mergeCell ref="B26:E28"/>
    <mergeCell ref="F23:N23"/>
    <mergeCell ref="B20:E22"/>
    <mergeCell ref="F21:N21"/>
    <mergeCell ref="F24:N24"/>
    <mergeCell ref="F25:N25"/>
    <mergeCell ref="F26:N26"/>
    <mergeCell ref="F27:N27"/>
    <mergeCell ref="F28:N28"/>
  </mergeCells>
  <dataValidations count="1">
    <dataValidation type="list" allowBlank="1" showInputMessage="1" showErrorMessage="1" sqref="K7:N8">
      <formula1>"1 año, 2 años, 3 años, 4 años"</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5"/>
  <dimension ref="B1:N8"/>
  <sheetViews>
    <sheetView showGridLines="0" zoomScaleNormal="100" workbookViewId="0">
      <pane ySplit="2" topLeftCell="A3" activePane="bottomLeft" state="frozen"/>
      <selection pane="bottomLeft"/>
    </sheetView>
  </sheetViews>
  <sheetFormatPr baseColWidth="10" defaultRowHeight="15" x14ac:dyDescent="0.25"/>
  <cols>
    <col min="1" max="1" width="2.7109375" customWidth="1"/>
    <col min="2" max="2" width="13.28515625" customWidth="1"/>
    <col min="3" max="3" width="11.85546875" customWidth="1"/>
    <col min="4" max="4" width="14.140625" customWidth="1"/>
    <col min="8" max="8" width="5.42578125" customWidth="1"/>
  </cols>
  <sheetData>
    <row r="1" spans="2:14" s="2" customFormat="1" ht="39" customHeight="1" x14ac:dyDescent="0.25"/>
    <row r="2" spans="2:14" s="1" customFormat="1" ht="30.75" customHeight="1" x14ac:dyDescent="0.25"/>
    <row r="3" spans="2:14" ht="12" customHeight="1" x14ac:dyDescent="0.25"/>
    <row r="4" spans="2:14" x14ac:dyDescent="0.25">
      <c r="B4" s="356" t="s">
        <v>0</v>
      </c>
      <c r="C4" s="356"/>
      <c r="D4" s="356"/>
      <c r="E4" s="356"/>
      <c r="F4" s="356"/>
      <c r="G4" s="356"/>
      <c r="H4" s="356"/>
      <c r="I4" s="356"/>
      <c r="J4" s="356"/>
      <c r="K4" s="356"/>
      <c r="L4" s="356"/>
      <c r="M4" s="356"/>
      <c r="N4" s="356"/>
    </row>
    <row r="5" spans="2:14" x14ac:dyDescent="0.25">
      <c r="B5" s="356"/>
      <c r="C5" s="356"/>
      <c r="D5" s="356"/>
      <c r="E5" s="356"/>
      <c r="F5" s="356"/>
      <c r="G5" s="356"/>
      <c r="H5" s="356"/>
      <c r="I5" s="356"/>
      <c r="J5" s="356"/>
      <c r="K5" s="356"/>
      <c r="L5" s="356"/>
      <c r="M5" s="356"/>
      <c r="N5" s="356"/>
    </row>
    <row r="6" spans="2:14" ht="11.25" customHeight="1" x14ac:dyDescent="0.25"/>
    <row r="7" spans="2:14" ht="17.25" customHeight="1" x14ac:dyDescent="0.25">
      <c r="B7" s="357" t="s">
        <v>1</v>
      </c>
      <c r="C7" s="357"/>
      <c r="D7" s="358">
        <v>2020</v>
      </c>
      <c r="E7" s="359"/>
      <c r="F7" s="359"/>
      <c r="G7" s="360"/>
      <c r="I7" s="357" t="s">
        <v>2</v>
      </c>
      <c r="J7" s="357"/>
      <c r="K7" s="358" t="s">
        <v>3</v>
      </c>
      <c r="L7" s="359"/>
      <c r="M7" s="359"/>
      <c r="N7" s="360"/>
    </row>
    <row r="8" spans="2:14" ht="17.25" customHeight="1" x14ac:dyDescent="0.25">
      <c r="B8" s="357"/>
      <c r="C8" s="357"/>
      <c r="D8" s="361"/>
      <c r="E8" s="362"/>
      <c r="F8" s="362"/>
      <c r="G8" s="363"/>
      <c r="I8" s="357"/>
      <c r="J8" s="357"/>
      <c r="K8" s="361"/>
      <c r="L8" s="362"/>
      <c r="M8" s="362"/>
      <c r="N8" s="363"/>
    </row>
  </sheetData>
  <mergeCells count="5">
    <mergeCell ref="B4:N5"/>
    <mergeCell ref="B7:C8"/>
    <mergeCell ref="D7:G8"/>
    <mergeCell ref="I7:J8"/>
    <mergeCell ref="K7:N8"/>
  </mergeCells>
  <dataValidations count="1">
    <dataValidation type="list" allowBlank="1" showInputMessage="1" showErrorMessage="1" sqref="K7:N8">
      <formula1>"1 año, 2 años, 3 años, 4 años"</formula1>
    </dataValidation>
  </dataValidations>
  <pageMargins left="0.7" right="0.7" top="0.75" bottom="0.75" header="0.3" footer="0.3"/>
  <drawing r:id="rId1"/>
  <legacyDrawing r:id="rId2"/>
  <oleObjects>
    <mc:AlternateContent xmlns:mc="http://schemas.openxmlformats.org/markup-compatibility/2006">
      <mc:Choice Requires="x14">
        <oleObject progId="Visio.Drawing.15" shapeId="10241" r:id="rId3">
          <objectPr defaultSize="0" autoPict="0" r:id="rId4">
            <anchor moveWithCells="1">
              <from>
                <xdr:col>1</xdr:col>
                <xdr:colOff>0</xdr:colOff>
                <xdr:row>9</xdr:row>
                <xdr:rowOff>0</xdr:rowOff>
              </from>
              <to>
                <xdr:col>14</xdr:col>
                <xdr:colOff>0</xdr:colOff>
                <xdr:row>44</xdr:row>
                <xdr:rowOff>66675</xdr:rowOff>
              </to>
            </anchor>
          </objectPr>
        </oleObject>
      </mc:Choice>
      <mc:Fallback>
        <oleObject progId="Visio.Drawing.15" shapeId="10241" r:id="rId3"/>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R83"/>
  <sheetViews>
    <sheetView showGridLines="0" workbookViewId="0">
      <pane ySplit="2" topLeftCell="A9" activePane="bottomLeft" state="frozen"/>
      <selection pane="bottomLeft"/>
    </sheetView>
  </sheetViews>
  <sheetFormatPr baseColWidth="10" defaultRowHeight="15" x14ac:dyDescent="0.25"/>
  <cols>
    <col min="1" max="1" width="2.7109375" customWidth="1"/>
    <col min="2" max="2" width="13.28515625" customWidth="1"/>
    <col min="3" max="3" width="11.85546875" customWidth="1"/>
    <col min="4" max="4" width="14.140625" customWidth="1"/>
    <col min="8" max="8" width="10.28515625" customWidth="1"/>
  </cols>
  <sheetData>
    <row r="1" spans="1:16" s="2" customFormat="1" ht="39" customHeight="1" x14ac:dyDescent="0.25"/>
    <row r="2" spans="1:16" s="1" customFormat="1" ht="30.75" customHeight="1" x14ac:dyDescent="0.25"/>
    <row r="3" spans="1:16" ht="12" customHeight="1" x14ac:dyDescent="0.25"/>
    <row r="4" spans="1:16" x14ac:dyDescent="0.25">
      <c r="B4" s="356" t="s">
        <v>0</v>
      </c>
      <c r="C4" s="356"/>
      <c r="D4" s="356"/>
      <c r="E4" s="356"/>
      <c r="F4" s="356"/>
      <c r="G4" s="356"/>
      <c r="H4" s="356"/>
      <c r="I4" s="356"/>
      <c r="J4" s="356"/>
      <c r="K4" s="356"/>
      <c r="L4" s="356"/>
      <c r="M4" s="356"/>
      <c r="N4" s="356"/>
    </row>
    <row r="5" spans="1:16" x14ac:dyDescent="0.25">
      <c r="B5" s="356"/>
      <c r="C5" s="356"/>
      <c r="D5" s="356"/>
      <c r="E5" s="356"/>
      <c r="F5" s="356"/>
      <c r="G5" s="356"/>
      <c r="H5" s="356"/>
      <c r="I5" s="356"/>
      <c r="J5" s="356"/>
      <c r="K5" s="356"/>
      <c r="L5" s="356"/>
      <c r="M5" s="356"/>
      <c r="N5" s="356"/>
    </row>
    <row r="6" spans="1:16" ht="11.25" customHeight="1" x14ac:dyDescent="0.25"/>
    <row r="7" spans="1:16" ht="17.25" customHeight="1" x14ac:dyDescent="0.25">
      <c r="B7" s="357" t="s">
        <v>1</v>
      </c>
      <c r="C7" s="357"/>
      <c r="D7" s="358">
        <v>2020</v>
      </c>
      <c r="E7" s="359"/>
      <c r="F7" s="359"/>
      <c r="G7" s="360"/>
      <c r="I7" s="357" t="s">
        <v>2</v>
      </c>
      <c r="J7" s="357"/>
      <c r="K7" s="358" t="s">
        <v>3</v>
      </c>
      <c r="L7" s="359"/>
      <c r="M7" s="359"/>
      <c r="N7" s="360"/>
    </row>
    <row r="8" spans="1:16" ht="17.25" customHeight="1" x14ac:dyDescent="0.25">
      <c r="B8" s="357"/>
      <c r="C8" s="357"/>
      <c r="D8" s="361"/>
      <c r="E8" s="362"/>
      <c r="F8" s="362"/>
      <c r="G8" s="363"/>
      <c r="I8" s="357"/>
      <c r="J8" s="357"/>
      <c r="K8" s="361"/>
      <c r="L8" s="362"/>
      <c r="M8" s="362"/>
      <c r="N8" s="363"/>
    </row>
    <row r="9" spans="1:16" ht="9.75" customHeight="1" x14ac:dyDescent="0.25"/>
    <row r="10" spans="1:16" ht="18" customHeight="1" x14ac:dyDescent="0.25">
      <c r="A10" s="437" t="s">
        <v>422</v>
      </c>
      <c r="B10" s="437"/>
      <c r="C10" s="437"/>
      <c r="D10" s="437"/>
      <c r="E10" s="437"/>
      <c r="F10" s="437"/>
      <c r="G10" s="437"/>
      <c r="H10" s="437"/>
      <c r="I10" s="437"/>
      <c r="J10" s="437"/>
      <c r="K10" s="437"/>
      <c r="L10" s="437"/>
      <c r="M10" s="437"/>
      <c r="N10" s="437"/>
      <c r="O10" s="437"/>
      <c r="P10" s="437"/>
    </row>
    <row r="11" spans="1:16" ht="21" customHeight="1" x14ac:dyDescent="0.25">
      <c r="A11" s="427" t="s">
        <v>400</v>
      </c>
      <c r="B11" s="428"/>
      <c r="C11" s="428"/>
      <c r="D11" s="428"/>
      <c r="E11" s="428"/>
      <c r="F11" s="428"/>
      <c r="G11" s="428"/>
      <c r="H11" s="428"/>
      <c r="I11" s="428"/>
      <c r="J11" s="428"/>
      <c r="K11" s="428"/>
      <c r="L11" s="428"/>
      <c r="M11" s="428"/>
      <c r="N11" s="428"/>
      <c r="O11" s="428"/>
      <c r="P11" s="429"/>
    </row>
    <row r="12" spans="1:16" ht="30" customHeight="1" x14ac:dyDescent="0.25">
      <c r="A12" s="434"/>
      <c r="B12" s="435"/>
      <c r="C12" s="435"/>
      <c r="D12" s="436"/>
      <c r="E12" s="432" t="s">
        <v>401</v>
      </c>
      <c r="F12" s="433"/>
      <c r="G12" s="430" t="s">
        <v>402</v>
      </c>
      <c r="H12" s="431"/>
      <c r="I12" s="430" t="s">
        <v>403</v>
      </c>
      <c r="J12" s="431"/>
      <c r="K12" s="430" t="s">
        <v>404</v>
      </c>
      <c r="L12" s="431"/>
      <c r="M12" s="430" t="s">
        <v>405</v>
      </c>
      <c r="N12" s="431"/>
      <c r="O12" s="430" t="s">
        <v>406</v>
      </c>
      <c r="P12" s="431"/>
    </row>
    <row r="13" spans="1:16" ht="30" customHeight="1" x14ac:dyDescent="0.25">
      <c r="A13" s="422" t="s">
        <v>407</v>
      </c>
      <c r="B13" s="423"/>
      <c r="C13" s="202" t="s">
        <v>418</v>
      </c>
      <c r="D13" s="202" t="s">
        <v>419</v>
      </c>
      <c r="E13" s="202" t="s">
        <v>420</v>
      </c>
      <c r="F13" s="202" t="s">
        <v>421</v>
      </c>
      <c r="G13" s="202" t="s">
        <v>420</v>
      </c>
      <c r="H13" s="202" t="s">
        <v>421</v>
      </c>
      <c r="I13" s="202" t="s">
        <v>420</v>
      </c>
      <c r="J13" s="202" t="s">
        <v>421</v>
      </c>
      <c r="K13" s="202" t="s">
        <v>420</v>
      </c>
      <c r="L13" s="202" t="s">
        <v>421</v>
      </c>
      <c r="M13" s="202" t="s">
        <v>420</v>
      </c>
      <c r="N13" s="202" t="s">
        <v>421</v>
      </c>
      <c r="O13" s="202" t="s">
        <v>420</v>
      </c>
      <c r="P13" s="202" t="s">
        <v>421</v>
      </c>
    </row>
    <row r="14" spans="1:16" ht="30" x14ac:dyDescent="0.25">
      <c r="A14" s="190">
        <v>1</v>
      </c>
      <c r="B14" s="191" t="s">
        <v>408</v>
      </c>
      <c r="C14" s="193">
        <v>10</v>
      </c>
      <c r="D14" s="193">
        <v>0.11</v>
      </c>
      <c r="E14" s="193">
        <v>1</v>
      </c>
      <c r="F14" s="193">
        <v>0.11</v>
      </c>
      <c r="G14" s="193">
        <v>3</v>
      </c>
      <c r="H14" s="193">
        <v>0.33</v>
      </c>
      <c r="I14" s="193">
        <v>3</v>
      </c>
      <c r="J14" s="193">
        <v>0.33</v>
      </c>
      <c r="K14" s="193">
        <v>-3</v>
      </c>
      <c r="L14" s="193">
        <v>-0.33</v>
      </c>
      <c r="M14" s="193">
        <v>1</v>
      </c>
      <c r="N14" s="193">
        <v>0.11</v>
      </c>
      <c r="O14" s="193">
        <v>1</v>
      </c>
      <c r="P14" s="193">
        <v>0.11</v>
      </c>
    </row>
    <row r="15" spans="1:16" x14ac:dyDescent="0.25">
      <c r="A15" s="190">
        <v>2</v>
      </c>
      <c r="B15" s="191" t="s">
        <v>409</v>
      </c>
      <c r="C15" s="188">
        <v>10</v>
      </c>
      <c r="D15" s="188">
        <v>0.11</v>
      </c>
      <c r="E15" s="188">
        <v>3</v>
      </c>
      <c r="F15" s="188">
        <v>0.33</v>
      </c>
      <c r="G15" s="188">
        <v>3</v>
      </c>
      <c r="H15" s="188">
        <v>0.33</v>
      </c>
      <c r="I15" s="188">
        <v>1</v>
      </c>
      <c r="J15" s="188">
        <v>0.11</v>
      </c>
      <c r="K15" s="188">
        <v>-1</v>
      </c>
      <c r="L15" s="188">
        <v>-0.11</v>
      </c>
      <c r="M15" s="188">
        <v>-1</v>
      </c>
      <c r="N15" s="188">
        <v>-0.11</v>
      </c>
      <c r="O15" s="188">
        <v>1</v>
      </c>
      <c r="P15" s="188">
        <v>0.11</v>
      </c>
    </row>
    <row r="16" spans="1:16" ht="30" x14ac:dyDescent="0.25">
      <c r="A16" s="190">
        <v>3</v>
      </c>
      <c r="B16" s="191" t="s">
        <v>410</v>
      </c>
      <c r="C16" s="188">
        <v>10</v>
      </c>
      <c r="D16" s="188">
        <v>0.11</v>
      </c>
      <c r="E16" s="188">
        <v>-3</v>
      </c>
      <c r="F16" s="188">
        <v>-0.33</v>
      </c>
      <c r="G16" s="188">
        <v>1</v>
      </c>
      <c r="H16" s="188">
        <v>0.11</v>
      </c>
      <c r="I16" s="188">
        <v>-1</v>
      </c>
      <c r="J16" s="188">
        <v>-0.11</v>
      </c>
      <c r="K16" s="188">
        <v>3</v>
      </c>
      <c r="L16" s="188">
        <v>0.33</v>
      </c>
      <c r="M16" s="188">
        <v>1</v>
      </c>
      <c r="N16" s="188">
        <v>0.11</v>
      </c>
      <c r="O16" s="188">
        <v>3</v>
      </c>
      <c r="P16" s="188">
        <v>0.33</v>
      </c>
    </row>
    <row r="17" spans="1:16" ht="30" x14ac:dyDescent="0.25">
      <c r="A17" s="190">
        <v>4</v>
      </c>
      <c r="B17" s="191" t="s">
        <v>411</v>
      </c>
      <c r="C17" s="188">
        <v>10</v>
      </c>
      <c r="D17" s="188">
        <v>0.11</v>
      </c>
      <c r="E17" s="188">
        <v>1</v>
      </c>
      <c r="F17" s="188">
        <v>0.11</v>
      </c>
      <c r="G17" s="188">
        <v>1</v>
      </c>
      <c r="H17" s="188">
        <v>0.11</v>
      </c>
      <c r="I17" s="188">
        <v>-1</v>
      </c>
      <c r="J17" s="188">
        <v>-0.11</v>
      </c>
      <c r="K17" s="188">
        <v>3</v>
      </c>
      <c r="L17" s="188">
        <v>0.33</v>
      </c>
      <c r="M17" s="188">
        <v>1</v>
      </c>
      <c r="N17" s="188">
        <v>0.11</v>
      </c>
      <c r="O17" s="188">
        <v>3</v>
      </c>
      <c r="P17" s="188">
        <v>0.33</v>
      </c>
    </row>
    <row r="18" spans="1:16" ht="30" x14ac:dyDescent="0.25">
      <c r="A18" s="190">
        <v>5</v>
      </c>
      <c r="B18" s="191" t="s">
        <v>412</v>
      </c>
      <c r="C18" s="188">
        <v>10</v>
      </c>
      <c r="D18" s="188">
        <v>0.11</v>
      </c>
      <c r="E18" s="188">
        <v>1</v>
      </c>
      <c r="F18" s="188">
        <v>0.11</v>
      </c>
      <c r="G18" s="188">
        <v>3</v>
      </c>
      <c r="H18" s="188">
        <v>0.33</v>
      </c>
      <c r="I18" s="188">
        <v>1</v>
      </c>
      <c r="J18" s="188">
        <v>0.11</v>
      </c>
      <c r="K18" s="188">
        <v>1</v>
      </c>
      <c r="L18" s="188">
        <v>0.11</v>
      </c>
      <c r="M18" s="188">
        <v>1</v>
      </c>
      <c r="N18" s="188">
        <v>0.11</v>
      </c>
      <c r="O18" s="188">
        <v>3</v>
      </c>
      <c r="P18" s="188">
        <v>0.33</v>
      </c>
    </row>
    <row r="19" spans="1:16" ht="45" x14ac:dyDescent="0.25">
      <c r="A19" s="190">
        <v>6</v>
      </c>
      <c r="B19" s="191" t="s">
        <v>413</v>
      </c>
      <c r="C19" s="188">
        <v>10</v>
      </c>
      <c r="D19" s="188">
        <v>0.11</v>
      </c>
      <c r="E19" s="188">
        <v>3</v>
      </c>
      <c r="F19" s="188">
        <v>0.33</v>
      </c>
      <c r="G19" s="188">
        <v>3</v>
      </c>
      <c r="H19" s="188">
        <v>0.33</v>
      </c>
      <c r="I19" s="188">
        <v>1</v>
      </c>
      <c r="J19" s="188">
        <v>0.11</v>
      </c>
      <c r="K19" s="188">
        <v>-3</v>
      </c>
      <c r="L19" s="188">
        <v>-0.33</v>
      </c>
      <c r="M19" s="188">
        <v>1</v>
      </c>
      <c r="N19" s="188">
        <v>0.11</v>
      </c>
      <c r="O19" s="188">
        <v>1</v>
      </c>
      <c r="P19" s="188">
        <v>0.11</v>
      </c>
    </row>
    <row r="20" spans="1:16" ht="30" x14ac:dyDescent="0.25">
      <c r="A20" s="190">
        <v>7</v>
      </c>
      <c r="B20" s="191" t="s">
        <v>414</v>
      </c>
      <c r="C20" s="188">
        <v>10</v>
      </c>
      <c r="D20" s="188">
        <v>0.11</v>
      </c>
      <c r="E20" s="188">
        <v>3</v>
      </c>
      <c r="F20" s="188">
        <v>0.33</v>
      </c>
      <c r="G20" s="188">
        <v>-1</v>
      </c>
      <c r="H20" s="188">
        <v>-0.11</v>
      </c>
      <c r="I20" s="188">
        <v>1</v>
      </c>
      <c r="J20" s="188">
        <v>0.11</v>
      </c>
      <c r="K20" s="188">
        <v>-3</v>
      </c>
      <c r="L20" s="188">
        <v>-0.33</v>
      </c>
      <c r="M20" s="188">
        <v>3</v>
      </c>
      <c r="N20" s="188">
        <v>0.33</v>
      </c>
      <c r="O20" s="188">
        <v>3</v>
      </c>
      <c r="P20" s="188">
        <v>0.33</v>
      </c>
    </row>
    <row r="21" spans="1:16" ht="60" x14ac:dyDescent="0.25">
      <c r="A21" s="190">
        <v>8</v>
      </c>
      <c r="B21" s="191" t="s">
        <v>415</v>
      </c>
      <c r="C21" s="188">
        <v>10</v>
      </c>
      <c r="D21" s="188">
        <v>0.11</v>
      </c>
      <c r="E21" s="188">
        <v>-1</v>
      </c>
      <c r="F21" s="188">
        <v>-0.11</v>
      </c>
      <c r="G21" s="188">
        <v>1</v>
      </c>
      <c r="H21" s="188">
        <v>0.11</v>
      </c>
      <c r="I21" s="188">
        <v>1</v>
      </c>
      <c r="J21" s="188">
        <v>0.11</v>
      </c>
      <c r="K21" s="188">
        <v>1</v>
      </c>
      <c r="L21" s="188">
        <v>0.11</v>
      </c>
      <c r="M21" s="188">
        <v>1</v>
      </c>
      <c r="N21" s="188">
        <v>0.11</v>
      </c>
      <c r="O21" s="188">
        <v>1</v>
      </c>
      <c r="P21" s="188">
        <v>0.11</v>
      </c>
    </row>
    <row r="22" spans="1:16" ht="30" x14ac:dyDescent="0.25">
      <c r="A22" s="190">
        <v>9</v>
      </c>
      <c r="B22" s="191" t="s">
        <v>416</v>
      </c>
      <c r="C22" s="188">
        <v>10</v>
      </c>
      <c r="D22" s="188">
        <v>0.11</v>
      </c>
      <c r="E22" s="188">
        <v>3</v>
      </c>
      <c r="F22" s="188">
        <v>0.33</v>
      </c>
      <c r="G22" s="188">
        <v>-3</v>
      </c>
      <c r="H22" s="188">
        <v>-0.33</v>
      </c>
      <c r="I22" s="188">
        <v>3</v>
      </c>
      <c r="J22" s="188">
        <v>0.33</v>
      </c>
      <c r="K22" s="188">
        <v>3</v>
      </c>
      <c r="L22" s="188">
        <v>0.33</v>
      </c>
      <c r="M22" s="188">
        <v>3</v>
      </c>
      <c r="N22" s="188">
        <v>0.33</v>
      </c>
      <c r="O22" s="188">
        <v>-1</v>
      </c>
      <c r="P22" s="188">
        <v>-0.11</v>
      </c>
    </row>
    <row r="23" spans="1:16" x14ac:dyDescent="0.25">
      <c r="A23" s="426" t="s">
        <v>417</v>
      </c>
      <c r="B23" s="426"/>
      <c r="C23" s="189">
        <v>90</v>
      </c>
      <c r="D23" s="189">
        <v>1</v>
      </c>
      <c r="E23" s="189"/>
      <c r="F23" s="194">
        <v>1.22</v>
      </c>
      <c r="G23" s="189"/>
      <c r="H23" s="194">
        <v>1.22</v>
      </c>
      <c r="I23" s="189"/>
      <c r="J23" s="194">
        <v>1</v>
      </c>
      <c r="K23" s="189"/>
      <c r="L23" s="194">
        <v>0.11</v>
      </c>
      <c r="M23" s="189"/>
      <c r="N23" s="194">
        <v>1.22</v>
      </c>
      <c r="O23" s="189"/>
      <c r="P23" s="195">
        <v>1.67</v>
      </c>
    </row>
    <row r="25" spans="1:16" ht="18" customHeight="1" x14ac:dyDescent="0.25">
      <c r="A25" s="437" t="s">
        <v>423</v>
      </c>
      <c r="B25" s="437"/>
      <c r="C25" s="437"/>
      <c r="D25" s="437"/>
      <c r="E25" s="437"/>
      <c r="F25" s="437"/>
      <c r="G25" s="437"/>
      <c r="H25" s="437"/>
      <c r="I25" s="437"/>
      <c r="J25" s="437"/>
      <c r="K25" s="437"/>
      <c r="L25" s="437"/>
      <c r="M25" s="437"/>
      <c r="N25" s="437"/>
      <c r="O25" s="437"/>
      <c r="P25" s="437"/>
    </row>
    <row r="26" spans="1:16" ht="21" customHeight="1" x14ac:dyDescent="0.25">
      <c r="A26" s="415" t="s">
        <v>400</v>
      </c>
      <c r="B26" s="415"/>
      <c r="C26" s="415"/>
      <c r="D26" s="415"/>
      <c r="E26" s="415"/>
      <c r="F26" s="415"/>
      <c r="G26" s="415"/>
      <c r="H26" s="415"/>
      <c r="I26" s="415"/>
      <c r="J26" s="415"/>
      <c r="K26" s="415"/>
      <c r="L26" s="415"/>
      <c r="M26" s="415"/>
      <c r="N26" s="415"/>
      <c r="O26" s="415"/>
      <c r="P26" s="415"/>
    </row>
    <row r="27" spans="1:16" ht="30" customHeight="1" x14ac:dyDescent="0.25">
      <c r="A27" s="415"/>
      <c r="B27" s="415"/>
      <c r="C27" s="415"/>
      <c r="D27" s="415"/>
      <c r="E27" s="417" t="s">
        <v>401</v>
      </c>
      <c r="F27" s="417"/>
      <c r="G27" s="413" t="s">
        <v>424</v>
      </c>
      <c r="H27" s="413"/>
      <c r="I27" s="413" t="s">
        <v>404</v>
      </c>
      <c r="J27" s="413"/>
      <c r="K27" s="413" t="s">
        <v>425</v>
      </c>
      <c r="L27" s="413"/>
      <c r="M27" s="413" t="s">
        <v>426</v>
      </c>
      <c r="N27" s="413"/>
      <c r="O27" s="413" t="s">
        <v>405</v>
      </c>
      <c r="P27" s="413"/>
    </row>
    <row r="28" spans="1:16" ht="25.5" x14ac:dyDescent="0.25">
      <c r="A28" s="420" t="s">
        <v>427</v>
      </c>
      <c r="B28" s="421"/>
      <c r="C28" s="202" t="s">
        <v>418</v>
      </c>
      <c r="D28" s="202" t="s">
        <v>419</v>
      </c>
      <c r="E28" s="202" t="s">
        <v>420</v>
      </c>
      <c r="F28" s="202" t="s">
        <v>421</v>
      </c>
      <c r="G28" s="202" t="s">
        <v>420</v>
      </c>
      <c r="H28" s="202" t="s">
        <v>421</v>
      </c>
      <c r="I28" s="202" t="s">
        <v>420</v>
      </c>
      <c r="J28" s="202" t="s">
        <v>421</v>
      </c>
      <c r="K28" s="202" t="s">
        <v>420</v>
      </c>
      <c r="L28" s="202" t="s">
        <v>421</v>
      </c>
      <c r="M28" s="202" t="s">
        <v>420</v>
      </c>
      <c r="N28" s="202" t="s">
        <v>421</v>
      </c>
      <c r="O28" s="202" t="s">
        <v>420</v>
      </c>
      <c r="P28" s="202" t="s">
        <v>421</v>
      </c>
    </row>
    <row r="29" spans="1:16" ht="30" x14ac:dyDescent="0.25">
      <c r="A29" s="190">
        <v>1</v>
      </c>
      <c r="B29" s="191" t="s">
        <v>408</v>
      </c>
      <c r="C29" s="188">
        <v>10</v>
      </c>
      <c r="D29" s="188">
        <v>0.11</v>
      </c>
      <c r="E29" s="188">
        <v>1</v>
      </c>
      <c r="F29" s="188">
        <v>0.11</v>
      </c>
      <c r="G29" s="188">
        <v>3</v>
      </c>
      <c r="H29" s="188">
        <v>0.33</v>
      </c>
      <c r="I29" s="188">
        <v>-3</v>
      </c>
      <c r="J29" s="188">
        <v>-0.33</v>
      </c>
      <c r="K29" s="188">
        <v>1</v>
      </c>
      <c r="L29" s="188">
        <v>0.11</v>
      </c>
      <c r="M29" s="188">
        <v>1</v>
      </c>
      <c r="N29" s="188">
        <v>0.11</v>
      </c>
      <c r="O29" s="188">
        <v>1</v>
      </c>
      <c r="P29" s="188">
        <v>0.11</v>
      </c>
    </row>
    <row r="30" spans="1:16" x14ac:dyDescent="0.25">
      <c r="A30" s="190">
        <v>2</v>
      </c>
      <c r="B30" s="191" t="s">
        <v>409</v>
      </c>
      <c r="C30" s="188">
        <v>10</v>
      </c>
      <c r="D30" s="188">
        <v>0.11</v>
      </c>
      <c r="E30" s="188">
        <v>3</v>
      </c>
      <c r="F30" s="188">
        <v>0.33</v>
      </c>
      <c r="G30" s="188">
        <v>3</v>
      </c>
      <c r="H30" s="188">
        <v>0.33</v>
      </c>
      <c r="I30" s="188">
        <v>-1</v>
      </c>
      <c r="J30" s="188">
        <v>-0.11</v>
      </c>
      <c r="K30" s="188">
        <v>1</v>
      </c>
      <c r="L30" s="188">
        <v>0.11</v>
      </c>
      <c r="M30" s="188">
        <v>1</v>
      </c>
      <c r="N30" s="188">
        <v>0.11</v>
      </c>
      <c r="O30" s="188">
        <v>-1</v>
      </c>
      <c r="P30" s="188">
        <v>-0.11</v>
      </c>
    </row>
    <row r="31" spans="1:16" ht="30" x14ac:dyDescent="0.25">
      <c r="A31" s="190">
        <v>3</v>
      </c>
      <c r="B31" s="191" t="s">
        <v>410</v>
      </c>
      <c r="C31" s="188">
        <v>10</v>
      </c>
      <c r="D31" s="188">
        <v>0.11</v>
      </c>
      <c r="E31" s="188">
        <v>1</v>
      </c>
      <c r="F31" s="188">
        <v>0.11</v>
      </c>
      <c r="G31" s="188">
        <v>3</v>
      </c>
      <c r="H31" s="188">
        <v>0.33</v>
      </c>
      <c r="I31" s="188">
        <v>3</v>
      </c>
      <c r="J31" s="188">
        <v>0.33</v>
      </c>
      <c r="K31" s="188">
        <v>1</v>
      </c>
      <c r="L31" s="188">
        <v>0.11</v>
      </c>
      <c r="M31" s="188">
        <v>3</v>
      </c>
      <c r="N31" s="188">
        <v>0.33</v>
      </c>
      <c r="O31" s="188">
        <v>1</v>
      </c>
      <c r="P31" s="188">
        <v>0.11</v>
      </c>
    </row>
    <row r="32" spans="1:16" ht="30" x14ac:dyDescent="0.25">
      <c r="A32" s="190">
        <v>4</v>
      </c>
      <c r="B32" s="191" t="s">
        <v>411</v>
      </c>
      <c r="C32" s="188">
        <v>10</v>
      </c>
      <c r="D32" s="188">
        <v>0.11</v>
      </c>
      <c r="E32" s="188">
        <v>1</v>
      </c>
      <c r="F32" s="188">
        <v>0.11</v>
      </c>
      <c r="G32" s="188">
        <v>1</v>
      </c>
      <c r="H32" s="188">
        <v>0.11</v>
      </c>
      <c r="I32" s="188">
        <v>3</v>
      </c>
      <c r="J32" s="188">
        <v>0.33</v>
      </c>
      <c r="K32" s="188">
        <v>1</v>
      </c>
      <c r="L32" s="188">
        <v>0.11</v>
      </c>
      <c r="M32" s="188">
        <v>3</v>
      </c>
      <c r="N32" s="188">
        <v>0.33</v>
      </c>
      <c r="O32" s="188">
        <v>1</v>
      </c>
      <c r="P32" s="188">
        <v>0.11</v>
      </c>
    </row>
    <row r="33" spans="1:18" ht="30" x14ac:dyDescent="0.25">
      <c r="A33" s="190">
        <v>5</v>
      </c>
      <c r="B33" s="191" t="s">
        <v>412</v>
      </c>
      <c r="C33" s="188">
        <v>10</v>
      </c>
      <c r="D33" s="188">
        <v>0.11</v>
      </c>
      <c r="E33" s="188">
        <v>1</v>
      </c>
      <c r="F33" s="188">
        <v>0.11</v>
      </c>
      <c r="G33" s="188">
        <v>3</v>
      </c>
      <c r="H33" s="188">
        <v>0.33</v>
      </c>
      <c r="I33" s="188">
        <v>1</v>
      </c>
      <c r="J33" s="188">
        <v>0.11</v>
      </c>
      <c r="K33" s="188">
        <v>1</v>
      </c>
      <c r="L33" s="188">
        <v>0.11</v>
      </c>
      <c r="M33" s="188">
        <v>3</v>
      </c>
      <c r="N33" s="188">
        <v>0.33</v>
      </c>
      <c r="O33" s="188">
        <v>1</v>
      </c>
      <c r="P33" s="188">
        <v>0.11</v>
      </c>
    </row>
    <row r="34" spans="1:18" ht="45" x14ac:dyDescent="0.25">
      <c r="A34" s="190">
        <v>6</v>
      </c>
      <c r="B34" s="191" t="s">
        <v>413</v>
      </c>
      <c r="C34" s="188">
        <v>10</v>
      </c>
      <c r="D34" s="188">
        <v>0.11</v>
      </c>
      <c r="E34" s="188">
        <v>1</v>
      </c>
      <c r="F34" s="188">
        <v>0.11</v>
      </c>
      <c r="G34" s="188">
        <v>1</v>
      </c>
      <c r="H34" s="188">
        <v>0.11</v>
      </c>
      <c r="I34" s="188">
        <v>1</v>
      </c>
      <c r="J34" s="188">
        <v>0.11</v>
      </c>
      <c r="K34" s="188">
        <v>3</v>
      </c>
      <c r="L34" s="188">
        <v>0.33</v>
      </c>
      <c r="M34" s="188">
        <v>3</v>
      </c>
      <c r="N34" s="188">
        <v>0.33</v>
      </c>
      <c r="O34" s="188">
        <v>-1</v>
      </c>
      <c r="P34" s="188">
        <v>-0.11</v>
      </c>
    </row>
    <row r="35" spans="1:18" ht="30" x14ac:dyDescent="0.25">
      <c r="A35" s="190">
        <v>7</v>
      </c>
      <c r="B35" s="191" t="s">
        <v>414</v>
      </c>
      <c r="C35" s="188">
        <v>10</v>
      </c>
      <c r="D35" s="188">
        <v>0.11</v>
      </c>
      <c r="E35" s="188">
        <v>-1</v>
      </c>
      <c r="F35" s="188">
        <v>-0.11</v>
      </c>
      <c r="G35" s="188">
        <v>3</v>
      </c>
      <c r="H35" s="188">
        <v>0.33</v>
      </c>
      <c r="I35" s="188">
        <v>3</v>
      </c>
      <c r="J35" s="188">
        <v>0.33</v>
      </c>
      <c r="K35" s="188">
        <v>1</v>
      </c>
      <c r="L35" s="188">
        <v>0.11</v>
      </c>
      <c r="M35" s="188">
        <v>3</v>
      </c>
      <c r="N35" s="188">
        <v>0.33</v>
      </c>
      <c r="O35" s="188">
        <v>3</v>
      </c>
      <c r="P35" s="188">
        <v>0.33</v>
      </c>
    </row>
    <row r="36" spans="1:18" ht="60" x14ac:dyDescent="0.25">
      <c r="A36" s="190">
        <v>8</v>
      </c>
      <c r="B36" s="191" t="s">
        <v>415</v>
      </c>
      <c r="C36" s="188">
        <v>10</v>
      </c>
      <c r="D36" s="188">
        <v>0.11</v>
      </c>
      <c r="E36" s="188">
        <v>-1</v>
      </c>
      <c r="F36" s="188">
        <v>-0.11</v>
      </c>
      <c r="G36" s="188">
        <v>3</v>
      </c>
      <c r="H36" s="188">
        <v>0.33</v>
      </c>
      <c r="I36" s="188">
        <v>1</v>
      </c>
      <c r="J36" s="188">
        <v>0.11</v>
      </c>
      <c r="K36" s="188">
        <v>3</v>
      </c>
      <c r="L36" s="188">
        <v>0.33</v>
      </c>
      <c r="M36" s="188">
        <v>3</v>
      </c>
      <c r="N36" s="188">
        <v>0.33</v>
      </c>
      <c r="O36" s="188">
        <v>1</v>
      </c>
      <c r="P36" s="188">
        <v>0.11</v>
      </c>
    </row>
    <row r="37" spans="1:18" ht="30" x14ac:dyDescent="0.25">
      <c r="A37" s="190">
        <v>9</v>
      </c>
      <c r="B37" s="191" t="s">
        <v>416</v>
      </c>
      <c r="C37" s="188">
        <v>10</v>
      </c>
      <c r="D37" s="188">
        <v>0.11</v>
      </c>
      <c r="E37" s="188">
        <v>3</v>
      </c>
      <c r="F37" s="197">
        <v>0.33</v>
      </c>
      <c r="G37" s="188">
        <v>-3</v>
      </c>
      <c r="H37" s="188">
        <v>-0.33</v>
      </c>
      <c r="I37" s="188">
        <v>3</v>
      </c>
      <c r="J37" s="188">
        <v>0.33</v>
      </c>
      <c r="K37" s="188">
        <v>-1</v>
      </c>
      <c r="L37" s="188">
        <v>-0.11</v>
      </c>
      <c r="M37" s="188">
        <v>-3</v>
      </c>
      <c r="N37" s="188">
        <v>-0.33</v>
      </c>
      <c r="O37" s="188">
        <v>3</v>
      </c>
      <c r="P37" s="188">
        <v>0.33</v>
      </c>
    </row>
    <row r="38" spans="1:18" ht="30" x14ac:dyDescent="0.25">
      <c r="A38" s="196"/>
      <c r="B38" s="192" t="s">
        <v>417</v>
      </c>
      <c r="C38" s="189">
        <v>90</v>
      </c>
      <c r="D38" s="189">
        <v>1</v>
      </c>
      <c r="E38" s="189"/>
      <c r="F38" s="194">
        <v>1</v>
      </c>
      <c r="G38" s="189"/>
      <c r="H38" s="195">
        <v>1.89</v>
      </c>
      <c r="I38" s="189"/>
      <c r="J38" s="194">
        <v>1.22</v>
      </c>
      <c r="K38" s="189"/>
      <c r="L38" s="194">
        <v>1.22</v>
      </c>
      <c r="M38" s="189"/>
      <c r="N38" s="195">
        <v>1.89</v>
      </c>
      <c r="O38" s="189"/>
      <c r="P38" s="194">
        <v>1</v>
      </c>
      <c r="Q38" s="178"/>
    </row>
    <row r="40" spans="1:18" ht="18" customHeight="1" x14ac:dyDescent="0.25">
      <c r="A40" s="414" t="s">
        <v>428</v>
      </c>
      <c r="B40" s="414"/>
      <c r="C40" s="414"/>
      <c r="D40" s="414"/>
      <c r="E40" s="414"/>
      <c r="F40" s="414"/>
      <c r="G40" s="414"/>
      <c r="H40" s="414"/>
      <c r="I40" s="414"/>
      <c r="J40" s="414"/>
      <c r="K40" s="414"/>
      <c r="L40" s="414"/>
      <c r="M40" s="414"/>
      <c r="N40" s="414"/>
      <c r="O40" s="414"/>
      <c r="P40" s="414"/>
    </row>
    <row r="41" spans="1:18" s="199" customFormat="1" ht="21" customHeight="1" x14ac:dyDescent="0.25">
      <c r="A41" s="415" t="s">
        <v>400</v>
      </c>
      <c r="B41" s="415"/>
      <c r="C41" s="415"/>
      <c r="D41" s="415"/>
      <c r="E41" s="415"/>
      <c r="F41" s="415"/>
      <c r="G41" s="415"/>
      <c r="H41" s="415"/>
      <c r="I41" s="415"/>
      <c r="J41" s="415"/>
      <c r="K41" s="415"/>
      <c r="L41" s="415"/>
      <c r="M41" s="415"/>
      <c r="N41" s="415"/>
      <c r="O41" s="415"/>
      <c r="P41" s="415"/>
      <c r="Q41" s="415"/>
      <c r="R41" s="415"/>
    </row>
    <row r="42" spans="1:18" s="199" customFormat="1" ht="30" customHeight="1" x14ac:dyDescent="0.25">
      <c r="A42" s="416"/>
      <c r="B42" s="416"/>
      <c r="C42" s="416"/>
      <c r="D42" s="416"/>
      <c r="E42" s="424" t="s">
        <v>401</v>
      </c>
      <c r="F42" s="424"/>
      <c r="G42" s="425" t="s">
        <v>402</v>
      </c>
      <c r="H42" s="425"/>
      <c r="I42" s="425" t="s">
        <v>404</v>
      </c>
      <c r="J42" s="425"/>
      <c r="K42" s="425" t="s">
        <v>425</v>
      </c>
      <c r="L42" s="425"/>
      <c r="M42" s="425" t="s">
        <v>429</v>
      </c>
      <c r="N42" s="425"/>
      <c r="O42" s="425" t="s">
        <v>430</v>
      </c>
      <c r="P42" s="425"/>
      <c r="Q42" s="425" t="s">
        <v>405</v>
      </c>
      <c r="R42" s="425"/>
    </row>
    <row r="43" spans="1:18" s="199" customFormat="1" ht="24" customHeight="1" x14ac:dyDescent="0.25">
      <c r="A43" s="419" t="s">
        <v>427</v>
      </c>
      <c r="B43" s="419"/>
      <c r="C43" s="202" t="s">
        <v>418</v>
      </c>
      <c r="D43" s="202" t="s">
        <v>419</v>
      </c>
      <c r="E43" s="202" t="s">
        <v>420</v>
      </c>
      <c r="F43" s="202" t="s">
        <v>421</v>
      </c>
      <c r="G43" s="202" t="s">
        <v>420</v>
      </c>
      <c r="H43" s="202" t="s">
        <v>421</v>
      </c>
      <c r="I43" s="202" t="s">
        <v>420</v>
      </c>
      <c r="J43" s="202" t="s">
        <v>421</v>
      </c>
      <c r="K43" s="202" t="s">
        <v>420</v>
      </c>
      <c r="L43" s="202" t="s">
        <v>421</v>
      </c>
      <c r="M43" s="202" t="s">
        <v>420</v>
      </c>
      <c r="N43" s="202" t="s">
        <v>421</v>
      </c>
      <c r="O43" s="202" t="s">
        <v>420</v>
      </c>
      <c r="P43" s="202" t="s">
        <v>421</v>
      </c>
      <c r="Q43" s="202" t="s">
        <v>420</v>
      </c>
      <c r="R43" s="202" t="s">
        <v>421</v>
      </c>
    </row>
    <row r="44" spans="1:18" s="199" customFormat="1" ht="30" x14ac:dyDescent="0.25">
      <c r="A44" s="190">
        <v>1</v>
      </c>
      <c r="B44" s="191" t="s">
        <v>408</v>
      </c>
      <c r="C44" s="188">
        <v>10</v>
      </c>
      <c r="D44" s="188">
        <v>0.11</v>
      </c>
      <c r="E44" s="188">
        <v>1</v>
      </c>
      <c r="F44" s="188">
        <v>0.11</v>
      </c>
      <c r="G44" s="188">
        <v>3</v>
      </c>
      <c r="H44" s="188">
        <v>0.33</v>
      </c>
      <c r="I44" s="188">
        <v>-3</v>
      </c>
      <c r="J44" s="188">
        <v>-0.33</v>
      </c>
      <c r="K44" s="188">
        <v>1</v>
      </c>
      <c r="L44" s="188">
        <v>0.11</v>
      </c>
      <c r="M44" s="188">
        <v>3</v>
      </c>
      <c r="N44" s="188">
        <v>0.33</v>
      </c>
      <c r="O44" s="188">
        <v>-1</v>
      </c>
      <c r="P44" s="188">
        <v>-0.11</v>
      </c>
      <c r="Q44" s="188">
        <v>1</v>
      </c>
      <c r="R44" s="188">
        <v>0.11</v>
      </c>
    </row>
    <row r="45" spans="1:18" s="199" customFormat="1" x14ac:dyDescent="0.25">
      <c r="A45" s="190">
        <v>2</v>
      </c>
      <c r="B45" s="191" t="s">
        <v>409</v>
      </c>
      <c r="C45" s="188">
        <v>10</v>
      </c>
      <c r="D45" s="188">
        <v>0.11</v>
      </c>
      <c r="E45" s="188">
        <v>3</v>
      </c>
      <c r="F45" s="188">
        <v>0.33</v>
      </c>
      <c r="G45" s="188">
        <v>3</v>
      </c>
      <c r="H45" s="188">
        <v>0.33</v>
      </c>
      <c r="I45" s="188">
        <v>-1</v>
      </c>
      <c r="J45" s="188">
        <v>-0.11</v>
      </c>
      <c r="K45" s="188">
        <v>1</v>
      </c>
      <c r="L45" s="188">
        <v>0.11</v>
      </c>
      <c r="M45" s="188">
        <v>1</v>
      </c>
      <c r="N45" s="188">
        <v>0.11</v>
      </c>
      <c r="O45" s="188">
        <v>-1</v>
      </c>
      <c r="P45" s="188">
        <v>-0.11</v>
      </c>
      <c r="Q45" s="188">
        <v>-1</v>
      </c>
      <c r="R45" s="188">
        <v>-0.11</v>
      </c>
    </row>
    <row r="46" spans="1:18" s="199" customFormat="1" ht="30" x14ac:dyDescent="0.25">
      <c r="A46" s="190">
        <v>3</v>
      </c>
      <c r="B46" s="191" t="s">
        <v>410</v>
      </c>
      <c r="C46" s="188">
        <v>10</v>
      </c>
      <c r="D46" s="188">
        <v>0.11</v>
      </c>
      <c r="E46" s="188">
        <v>-1</v>
      </c>
      <c r="F46" s="188">
        <v>-0.11</v>
      </c>
      <c r="G46" s="188">
        <v>3</v>
      </c>
      <c r="H46" s="188">
        <v>0.33</v>
      </c>
      <c r="I46" s="188">
        <v>3</v>
      </c>
      <c r="J46" s="188">
        <v>0.33</v>
      </c>
      <c r="K46" s="188">
        <v>1</v>
      </c>
      <c r="L46" s="188">
        <v>0.11</v>
      </c>
      <c r="M46" s="188">
        <v>3</v>
      </c>
      <c r="N46" s="188">
        <v>0.33</v>
      </c>
      <c r="O46" s="188">
        <v>1</v>
      </c>
      <c r="P46" s="188">
        <v>0.11</v>
      </c>
      <c r="Q46" s="188">
        <v>1</v>
      </c>
      <c r="R46" s="188">
        <v>0.11</v>
      </c>
    </row>
    <row r="47" spans="1:18" s="199" customFormat="1" ht="30" x14ac:dyDescent="0.25">
      <c r="A47" s="190">
        <v>4</v>
      </c>
      <c r="B47" s="191" t="s">
        <v>411</v>
      </c>
      <c r="C47" s="188">
        <v>10</v>
      </c>
      <c r="D47" s="188">
        <v>0.11</v>
      </c>
      <c r="E47" s="188">
        <v>1</v>
      </c>
      <c r="F47" s="188">
        <v>0.11</v>
      </c>
      <c r="G47" s="188">
        <v>1</v>
      </c>
      <c r="H47" s="188">
        <v>0.11</v>
      </c>
      <c r="I47" s="188">
        <v>3</v>
      </c>
      <c r="J47" s="188">
        <v>0.33</v>
      </c>
      <c r="K47" s="188">
        <v>1</v>
      </c>
      <c r="L47" s="188">
        <v>0.11</v>
      </c>
      <c r="M47" s="188">
        <v>3</v>
      </c>
      <c r="N47" s="188">
        <v>0.33</v>
      </c>
      <c r="O47" s="188">
        <v>3</v>
      </c>
      <c r="P47" s="188">
        <v>0.33</v>
      </c>
      <c r="Q47" s="188">
        <v>1</v>
      </c>
      <c r="R47" s="188">
        <v>0.11</v>
      </c>
    </row>
    <row r="48" spans="1:18" s="199" customFormat="1" ht="30" x14ac:dyDescent="0.25">
      <c r="A48" s="190">
        <v>5</v>
      </c>
      <c r="B48" s="191" t="s">
        <v>412</v>
      </c>
      <c r="C48" s="188">
        <v>10</v>
      </c>
      <c r="D48" s="188">
        <v>0.11</v>
      </c>
      <c r="E48" s="188">
        <v>1</v>
      </c>
      <c r="F48" s="188">
        <v>0.11</v>
      </c>
      <c r="G48" s="188">
        <v>3</v>
      </c>
      <c r="H48" s="188">
        <v>0.33</v>
      </c>
      <c r="I48" s="188">
        <v>1</v>
      </c>
      <c r="J48" s="188">
        <v>0.11</v>
      </c>
      <c r="K48" s="188">
        <v>1</v>
      </c>
      <c r="L48" s="188">
        <v>0.11</v>
      </c>
      <c r="M48" s="188">
        <v>3</v>
      </c>
      <c r="N48" s="188">
        <v>0.33</v>
      </c>
      <c r="O48" s="188">
        <v>1</v>
      </c>
      <c r="P48" s="188">
        <v>0.11</v>
      </c>
      <c r="Q48" s="188">
        <v>1</v>
      </c>
      <c r="R48" s="188">
        <v>0.11</v>
      </c>
    </row>
    <row r="49" spans="1:18" s="199" customFormat="1" ht="45" x14ac:dyDescent="0.25">
      <c r="A49" s="190">
        <v>6</v>
      </c>
      <c r="B49" s="191" t="s">
        <v>413</v>
      </c>
      <c r="C49" s="188">
        <v>10</v>
      </c>
      <c r="D49" s="188">
        <v>0.11</v>
      </c>
      <c r="E49" s="188">
        <v>1</v>
      </c>
      <c r="F49" s="188">
        <v>0.11</v>
      </c>
      <c r="G49" s="188">
        <v>3</v>
      </c>
      <c r="H49" s="188">
        <v>0.33</v>
      </c>
      <c r="I49" s="188">
        <v>1</v>
      </c>
      <c r="J49" s="188">
        <v>0.11</v>
      </c>
      <c r="K49" s="188">
        <v>3</v>
      </c>
      <c r="L49" s="188">
        <v>0.33</v>
      </c>
      <c r="M49" s="188">
        <v>3</v>
      </c>
      <c r="N49" s="188">
        <v>0.33</v>
      </c>
      <c r="O49" s="188">
        <v>1</v>
      </c>
      <c r="P49" s="188">
        <v>0.11</v>
      </c>
      <c r="Q49" s="188">
        <v>3</v>
      </c>
      <c r="R49" s="188">
        <v>0.33</v>
      </c>
    </row>
    <row r="50" spans="1:18" s="199" customFormat="1" ht="30" x14ac:dyDescent="0.25">
      <c r="A50" s="190">
        <v>7</v>
      </c>
      <c r="B50" s="191" t="s">
        <v>414</v>
      </c>
      <c r="C50" s="188">
        <v>10</v>
      </c>
      <c r="D50" s="188">
        <v>0.11</v>
      </c>
      <c r="E50" s="188">
        <v>3</v>
      </c>
      <c r="F50" s="188">
        <v>0.33</v>
      </c>
      <c r="G50" s="188">
        <v>3</v>
      </c>
      <c r="H50" s="188">
        <v>0.33</v>
      </c>
      <c r="I50" s="188">
        <v>3</v>
      </c>
      <c r="J50" s="188">
        <v>0.33</v>
      </c>
      <c r="K50" s="188">
        <v>3</v>
      </c>
      <c r="L50" s="188">
        <v>0.33</v>
      </c>
      <c r="M50" s="188">
        <v>3</v>
      </c>
      <c r="N50" s="188">
        <v>0.33</v>
      </c>
      <c r="O50" s="188">
        <v>1</v>
      </c>
      <c r="P50" s="188">
        <v>0.11</v>
      </c>
      <c r="Q50" s="188">
        <v>3</v>
      </c>
      <c r="R50" s="188">
        <v>0.33</v>
      </c>
    </row>
    <row r="51" spans="1:18" s="199" customFormat="1" ht="60" x14ac:dyDescent="0.25">
      <c r="A51" s="190">
        <v>8</v>
      </c>
      <c r="B51" s="191" t="s">
        <v>415</v>
      </c>
      <c r="C51" s="188">
        <v>10</v>
      </c>
      <c r="D51" s="188">
        <v>0.11</v>
      </c>
      <c r="E51" s="188">
        <v>-1</v>
      </c>
      <c r="F51" s="188">
        <v>-0.11</v>
      </c>
      <c r="G51" s="188">
        <v>3</v>
      </c>
      <c r="H51" s="188">
        <v>0.33</v>
      </c>
      <c r="I51" s="188">
        <v>1</v>
      </c>
      <c r="J51" s="188">
        <v>0.11</v>
      </c>
      <c r="K51" s="188">
        <v>3</v>
      </c>
      <c r="L51" s="188">
        <v>0.33</v>
      </c>
      <c r="M51" s="188">
        <v>3</v>
      </c>
      <c r="N51" s="188">
        <v>0.33</v>
      </c>
      <c r="O51" s="188">
        <v>1</v>
      </c>
      <c r="P51" s="188">
        <v>0.11</v>
      </c>
      <c r="Q51" s="188">
        <v>1</v>
      </c>
      <c r="R51" s="188">
        <v>0.11</v>
      </c>
    </row>
    <row r="52" spans="1:18" s="199" customFormat="1" ht="30" x14ac:dyDescent="0.25">
      <c r="A52" s="190">
        <v>9</v>
      </c>
      <c r="B52" s="191" t="s">
        <v>416</v>
      </c>
      <c r="C52" s="188">
        <v>10</v>
      </c>
      <c r="D52" s="188">
        <v>0.11</v>
      </c>
      <c r="E52" s="188">
        <v>3</v>
      </c>
      <c r="F52" s="197">
        <v>0.33</v>
      </c>
      <c r="G52" s="188">
        <v>-3</v>
      </c>
      <c r="H52" s="188">
        <v>-0.33</v>
      </c>
      <c r="I52" s="188">
        <v>3</v>
      </c>
      <c r="J52" s="188">
        <v>0.33</v>
      </c>
      <c r="K52" s="188">
        <v>-1</v>
      </c>
      <c r="L52" s="188">
        <v>-0.11</v>
      </c>
      <c r="M52" s="188">
        <v>-3</v>
      </c>
      <c r="N52" s="188">
        <v>-0.33</v>
      </c>
      <c r="O52" s="188">
        <v>3</v>
      </c>
      <c r="P52" s="188">
        <v>0.33</v>
      </c>
      <c r="Q52" s="188">
        <v>3</v>
      </c>
      <c r="R52" s="188">
        <v>0.33</v>
      </c>
    </row>
    <row r="53" spans="1:18" s="199" customFormat="1" ht="30" x14ac:dyDescent="0.25">
      <c r="A53" s="196"/>
      <c r="B53" s="192" t="s">
        <v>431</v>
      </c>
      <c r="C53" s="189">
        <v>90</v>
      </c>
      <c r="D53" s="189">
        <v>1</v>
      </c>
      <c r="E53" s="198"/>
      <c r="F53" s="194">
        <v>1.22</v>
      </c>
      <c r="G53" s="198"/>
      <c r="H53" s="195">
        <v>2.11</v>
      </c>
      <c r="I53" s="198"/>
      <c r="J53" s="194">
        <v>1.22</v>
      </c>
      <c r="K53" s="198"/>
      <c r="L53" s="194">
        <v>1.44</v>
      </c>
      <c r="M53" s="198"/>
      <c r="N53" s="194">
        <v>2.11</v>
      </c>
      <c r="O53" s="198"/>
      <c r="P53" s="194">
        <v>1</v>
      </c>
      <c r="Q53" s="198"/>
      <c r="R53" s="194">
        <v>1.44</v>
      </c>
    </row>
    <row r="55" spans="1:18" ht="18" customHeight="1" x14ac:dyDescent="0.25">
      <c r="A55" s="414" t="s">
        <v>428</v>
      </c>
      <c r="B55" s="414"/>
      <c r="C55" s="414"/>
      <c r="D55" s="414"/>
      <c r="E55" s="414"/>
      <c r="F55" s="414"/>
      <c r="G55" s="414"/>
      <c r="H55" s="414"/>
      <c r="I55" s="414"/>
      <c r="J55" s="414"/>
      <c r="K55" s="414"/>
      <c r="L55" s="414"/>
      <c r="M55" s="414"/>
      <c r="N55" s="414"/>
      <c r="O55" s="414"/>
      <c r="P55" s="414"/>
    </row>
    <row r="56" spans="1:18" ht="21" customHeight="1" x14ac:dyDescent="0.25">
      <c r="A56" s="415" t="s">
        <v>400</v>
      </c>
      <c r="B56" s="415"/>
      <c r="C56" s="415"/>
      <c r="D56" s="415"/>
      <c r="E56" s="415"/>
      <c r="F56" s="415"/>
      <c r="G56" s="415"/>
      <c r="H56" s="415"/>
      <c r="I56" s="415"/>
      <c r="J56" s="415"/>
      <c r="K56" s="415"/>
      <c r="L56" s="415"/>
      <c r="M56" s="415"/>
      <c r="N56" s="415"/>
    </row>
    <row r="57" spans="1:18" ht="30" customHeight="1" x14ac:dyDescent="0.25">
      <c r="A57" s="418"/>
      <c r="B57" s="418"/>
      <c r="C57" s="418"/>
      <c r="D57" s="418"/>
      <c r="E57" s="417" t="s">
        <v>401</v>
      </c>
      <c r="F57" s="417"/>
      <c r="G57" s="413" t="s">
        <v>404</v>
      </c>
      <c r="H57" s="413"/>
      <c r="I57" s="413" t="s">
        <v>426</v>
      </c>
      <c r="J57" s="413"/>
      <c r="K57" s="413" t="s">
        <v>432</v>
      </c>
      <c r="L57" s="413"/>
      <c r="M57" s="413" t="s">
        <v>433</v>
      </c>
      <c r="N57" s="413"/>
    </row>
    <row r="58" spans="1:18" ht="30.75" customHeight="1" x14ac:dyDescent="0.25">
      <c r="A58" s="413" t="s">
        <v>427</v>
      </c>
      <c r="B58" s="413"/>
      <c r="C58" s="202" t="s">
        <v>418</v>
      </c>
      <c r="D58" s="202" t="s">
        <v>419</v>
      </c>
      <c r="E58" s="202" t="s">
        <v>420</v>
      </c>
      <c r="F58" s="202" t="s">
        <v>421</v>
      </c>
      <c r="G58" s="202" t="s">
        <v>420</v>
      </c>
      <c r="H58" s="202" t="s">
        <v>421</v>
      </c>
      <c r="I58" s="202" t="s">
        <v>420</v>
      </c>
      <c r="J58" s="202" t="s">
        <v>421</v>
      </c>
      <c r="K58" s="202" t="s">
        <v>420</v>
      </c>
      <c r="L58" s="202" t="s">
        <v>421</v>
      </c>
      <c r="M58" s="202" t="s">
        <v>420</v>
      </c>
      <c r="N58" s="202" t="s">
        <v>421</v>
      </c>
    </row>
    <row r="59" spans="1:18" ht="30" x14ac:dyDescent="0.25">
      <c r="A59" s="201">
        <v>1</v>
      </c>
      <c r="B59" s="191" t="s">
        <v>408</v>
      </c>
      <c r="C59" s="188">
        <v>10</v>
      </c>
      <c r="D59" s="188">
        <v>0.11</v>
      </c>
      <c r="E59" s="188">
        <v>1</v>
      </c>
      <c r="F59" s="188">
        <v>0.11</v>
      </c>
      <c r="G59" s="188">
        <v>-3</v>
      </c>
      <c r="H59" s="188">
        <v>-0.33</v>
      </c>
      <c r="I59" s="188">
        <v>3</v>
      </c>
      <c r="J59" s="188">
        <v>0.33</v>
      </c>
      <c r="K59" s="188">
        <v>1</v>
      </c>
      <c r="L59" s="188">
        <v>0.11</v>
      </c>
      <c r="M59" s="188">
        <v>3</v>
      </c>
      <c r="N59" s="188">
        <v>0.33</v>
      </c>
    </row>
    <row r="60" spans="1:18" x14ac:dyDescent="0.25">
      <c r="A60" s="201">
        <v>2</v>
      </c>
      <c r="B60" s="191" t="s">
        <v>434</v>
      </c>
      <c r="C60" s="188">
        <v>10</v>
      </c>
      <c r="D60" s="188">
        <v>0.11</v>
      </c>
      <c r="E60" s="188">
        <v>3</v>
      </c>
      <c r="F60" s="188">
        <v>0.33</v>
      </c>
      <c r="G60" s="188">
        <v>-1</v>
      </c>
      <c r="H60" s="188">
        <v>-0.11</v>
      </c>
      <c r="I60" s="188">
        <v>1</v>
      </c>
      <c r="J60" s="188">
        <v>0.11</v>
      </c>
      <c r="K60" s="188">
        <v>3</v>
      </c>
      <c r="L60" s="188">
        <v>0.33</v>
      </c>
      <c r="M60" s="188">
        <v>1</v>
      </c>
      <c r="N60" s="188">
        <v>0.11</v>
      </c>
    </row>
    <row r="61" spans="1:18" ht="30" x14ac:dyDescent="0.25">
      <c r="A61" s="201">
        <v>3</v>
      </c>
      <c r="B61" s="191" t="s">
        <v>435</v>
      </c>
      <c r="C61" s="188">
        <v>10</v>
      </c>
      <c r="D61" s="188">
        <v>0.11</v>
      </c>
      <c r="E61" s="188">
        <v>1</v>
      </c>
      <c r="F61" s="188">
        <v>0.11</v>
      </c>
      <c r="G61" s="188">
        <v>3</v>
      </c>
      <c r="H61" s="188">
        <v>0.33</v>
      </c>
      <c r="I61" s="188">
        <v>3</v>
      </c>
      <c r="J61" s="188">
        <v>0.33</v>
      </c>
      <c r="K61" s="188">
        <v>1</v>
      </c>
      <c r="L61" s="188">
        <v>0.11</v>
      </c>
      <c r="M61" s="188">
        <v>3</v>
      </c>
      <c r="N61" s="188">
        <v>0.33</v>
      </c>
    </row>
    <row r="62" spans="1:18" ht="30" x14ac:dyDescent="0.25">
      <c r="A62" s="201">
        <v>4</v>
      </c>
      <c r="B62" s="191" t="s">
        <v>411</v>
      </c>
      <c r="C62" s="188">
        <v>10</v>
      </c>
      <c r="D62" s="188">
        <v>0.11</v>
      </c>
      <c r="E62" s="188">
        <v>1</v>
      </c>
      <c r="F62" s="188">
        <v>0.11</v>
      </c>
      <c r="G62" s="188">
        <v>3</v>
      </c>
      <c r="H62" s="188">
        <v>0.33</v>
      </c>
      <c r="I62" s="188">
        <v>3</v>
      </c>
      <c r="J62" s="188">
        <v>0.33</v>
      </c>
      <c r="K62" s="188">
        <v>1</v>
      </c>
      <c r="L62" s="188">
        <v>0.11</v>
      </c>
      <c r="M62" s="188">
        <v>3</v>
      </c>
      <c r="N62" s="188">
        <v>0.33</v>
      </c>
    </row>
    <row r="63" spans="1:18" ht="30" x14ac:dyDescent="0.25">
      <c r="A63" s="201">
        <v>5</v>
      </c>
      <c r="B63" s="191" t="s">
        <v>436</v>
      </c>
      <c r="C63" s="188">
        <v>10</v>
      </c>
      <c r="D63" s="188">
        <v>0.11</v>
      </c>
      <c r="E63" s="188">
        <v>1</v>
      </c>
      <c r="F63" s="188">
        <v>0.11</v>
      </c>
      <c r="G63" s="188">
        <v>1</v>
      </c>
      <c r="H63" s="188">
        <v>0.11</v>
      </c>
      <c r="I63" s="188">
        <v>3</v>
      </c>
      <c r="J63" s="188">
        <v>0.33</v>
      </c>
      <c r="K63" s="188">
        <v>1</v>
      </c>
      <c r="L63" s="188">
        <v>0.11</v>
      </c>
      <c r="M63" s="188">
        <v>3</v>
      </c>
      <c r="N63" s="188">
        <v>0.33</v>
      </c>
    </row>
    <row r="64" spans="1:18" ht="45" x14ac:dyDescent="0.25">
      <c r="A64" s="201">
        <v>6</v>
      </c>
      <c r="B64" s="191" t="s">
        <v>413</v>
      </c>
      <c r="C64" s="188">
        <v>10</v>
      </c>
      <c r="D64" s="188">
        <v>0.11</v>
      </c>
      <c r="E64" s="188">
        <v>1</v>
      </c>
      <c r="F64" s="188">
        <v>0.11</v>
      </c>
      <c r="G64" s="188">
        <v>-3</v>
      </c>
      <c r="H64" s="188">
        <v>-0.33</v>
      </c>
      <c r="I64" s="188">
        <v>3</v>
      </c>
      <c r="J64" s="188">
        <v>0.33</v>
      </c>
      <c r="K64" s="188">
        <v>1</v>
      </c>
      <c r="L64" s="188">
        <v>0.11</v>
      </c>
      <c r="M64" s="188">
        <v>1</v>
      </c>
      <c r="N64" s="188">
        <v>0.11</v>
      </c>
    </row>
    <row r="65" spans="1:16" ht="30" x14ac:dyDescent="0.25">
      <c r="A65" s="201">
        <v>7</v>
      </c>
      <c r="B65" s="191" t="s">
        <v>437</v>
      </c>
      <c r="C65" s="188">
        <v>10</v>
      </c>
      <c r="D65" s="188">
        <v>0.11</v>
      </c>
      <c r="E65" s="188">
        <v>1</v>
      </c>
      <c r="F65" s="188">
        <v>0.11</v>
      </c>
      <c r="G65" s="188">
        <v>-3</v>
      </c>
      <c r="H65" s="188">
        <v>-0.33</v>
      </c>
      <c r="I65" s="188">
        <v>3</v>
      </c>
      <c r="J65" s="188">
        <v>0.33</v>
      </c>
      <c r="K65" s="188">
        <v>1</v>
      </c>
      <c r="L65" s="188">
        <v>0.11</v>
      </c>
      <c r="M65" s="188">
        <v>3</v>
      </c>
      <c r="N65" s="188">
        <v>0.33</v>
      </c>
    </row>
    <row r="66" spans="1:16" ht="60" x14ac:dyDescent="0.25">
      <c r="A66" s="201">
        <v>8</v>
      </c>
      <c r="B66" s="191" t="s">
        <v>415</v>
      </c>
      <c r="C66" s="188">
        <v>10</v>
      </c>
      <c r="D66" s="188">
        <v>0.11</v>
      </c>
      <c r="E66" s="188">
        <v>-1</v>
      </c>
      <c r="F66" s="188">
        <v>-0.11</v>
      </c>
      <c r="G66" s="188">
        <v>1</v>
      </c>
      <c r="H66" s="188">
        <v>0.11</v>
      </c>
      <c r="I66" s="188">
        <v>3</v>
      </c>
      <c r="J66" s="188">
        <v>0.33</v>
      </c>
      <c r="K66" s="188">
        <v>3</v>
      </c>
      <c r="L66" s="188">
        <v>0.33</v>
      </c>
      <c r="M66" s="188">
        <v>3</v>
      </c>
      <c r="N66" s="188">
        <v>0.33</v>
      </c>
    </row>
    <row r="67" spans="1:16" ht="30" x14ac:dyDescent="0.25">
      <c r="A67" s="201">
        <v>9</v>
      </c>
      <c r="B67" s="191" t="s">
        <v>438</v>
      </c>
      <c r="C67" s="188">
        <v>10</v>
      </c>
      <c r="D67" s="188">
        <v>0.11</v>
      </c>
      <c r="E67" s="188">
        <v>3</v>
      </c>
      <c r="F67" s="197">
        <v>0.33</v>
      </c>
      <c r="G67" s="188">
        <v>3</v>
      </c>
      <c r="H67" s="188">
        <v>0.33</v>
      </c>
      <c r="I67" s="188">
        <v>-3</v>
      </c>
      <c r="J67" s="188">
        <v>-0.33</v>
      </c>
      <c r="K67" s="188">
        <v>-1</v>
      </c>
      <c r="L67" s="188">
        <v>-0.11</v>
      </c>
      <c r="M67" s="188">
        <v>-3</v>
      </c>
      <c r="N67" s="188">
        <v>-0.33</v>
      </c>
    </row>
    <row r="68" spans="1:16" ht="30" x14ac:dyDescent="0.25">
      <c r="A68" s="200"/>
      <c r="B68" s="192" t="s">
        <v>431</v>
      </c>
      <c r="C68" s="189">
        <v>90</v>
      </c>
      <c r="D68" s="189">
        <v>1</v>
      </c>
      <c r="E68" s="198"/>
      <c r="F68" s="194">
        <v>1.22</v>
      </c>
      <c r="G68" s="198"/>
      <c r="H68" s="194">
        <v>0.11</v>
      </c>
      <c r="I68" s="198"/>
      <c r="J68" s="195">
        <v>2.11</v>
      </c>
      <c r="K68" s="198"/>
      <c r="L68" s="194">
        <v>1.22</v>
      </c>
      <c r="M68" s="198"/>
      <c r="N68" s="194">
        <v>1.89</v>
      </c>
    </row>
    <row r="70" spans="1:16" ht="18" customHeight="1" x14ac:dyDescent="0.25">
      <c r="A70" s="414" t="s">
        <v>439</v>
      </c>
      <c r="B70" s="414"/>
      <c r="C70" s="414"/>
      <c r="D70" s="414"/>
      <c r="E70" s="414"/>
      <c r="F70" s="414"/>
      <c r="G70" s="414"/>
      <c r="H70" s="414"/>
      <c r="I70" s="414"/>
      <c r="J70" s="414"/>
      <c r="K70" s="414"/>
      <c r="L70" s="414"/>
      <c r="M70" s="414"/>
      <c r="N70" s="414"/>
      <c r="O70" s="414"/>
      <c r="P70" s="414"/>
    </row>
    <row r="71" spans="1:16" ht="21" customHeight="1" x14ac:dyDescent="0.25">
      <c r="A71" s="415" t="s">
        <v>400</v>
      </c>
      <c r="B71" s="415"/>
      <c r="C71" s="415"/>
      <c r="D71" s="415"/>
      <c r="E71" s="415"/>
      <c r="F71" s="415"/>
      <c r="G71" s="415"/>
      <c r="H71" s="415"/>
      <c r="I71" s="415"/>
      <c r="J71" s="415"/>
      <c r="K71" s="415"/>
      <c r="L71" s="415"/>
      <c r="M71" s="415"/>
      <c r="N71" s="415"/>
    </row>
    <row r="72" spans="1:16" ht="30" customHeight="1" x14ac:dyDescent="0.25">
      <c r="A72" s="416"/>
      <c r="B72" s="416"/>
      <c r="C72" s="416"/>
      <c r="D72" s="416"/>
      <c r="E72" s="417" t="s">
        <v>401</v>
      </c>
      <c r="F72" s="417"/>
      <c r="G72" s="413" t="s">
        <v>404</v>
      </c>
      <c r="H72" s="413"/>
      <c r="I72" s="413" t="s">
        <v>426</v>
      </c>
      <c r="J72" s="413"/>
      <c r="K72" s="413" t="s">
        <v>432</v>
      </c>
      <c r="L72" s="413"/>
      <c r="M72" s="413" t="s">
        <v>440</v>
      </c>
      <c r="N72" s="413"/>
    </row>
    <row r="73" spans="1:16" ht="45" x14ac:dyDescent="0.25">
      <c r="A73" s="188"/>
      <c r="B73" s="189" t="s">
        <v>427</v>
      </c>
      <c r="C73" s="202" t="s">
        <v>418</v>
      </c>
      <c r="D73" s="202" t="s">
        <v>419</v>
      </c>
      <c r="E73" s="202" t="s">
        <v>420</v>
      </c>
      <c r="F73" s="202" t="s">
        <v>421</v>
      </c>
      <c r="G73" s="202" t="s">
        <v>420</v>
      </c>
      <c r="H73" s="202" t="s">
        <v>421</v>
      </c>
      <c r="I73" s="202" t="s">
        <v>420</v>
      </c>
      <c r="J73" s="202" t="s">
        <v>421</v>
      </c>
      <c r="K73" s="202" t="s">
        <v>420</v>
      </c>
      <c r="L73" s="202" t="s">
        <v>421</v>
      </c>
      <c r="M73" s="202" t="s">
        <v>420</v>
      </c>
      <c r="N73" s="202" t="s">
        <v>421</v>
      </c>
    </row>
    <row r="74" spans="1:16" ht="30" x14ac:dyDescent="0.25">
      <c r="A74" s="190">
        <v>1</v>
      </c>
      <c r="B74" s="191" t="s">
        <v>408</v>
      </c>
      <c r="C74" s="188">
        <v>10</v>
      </c>
      <c r="D74" s="188">
        <v>0.11</v>
      </c>
      <c r="E74" s="188">
        <v>1</v>
      </c>
      <c r="F74" s="188">
        <v>0.11</v>
      </c>
      <c r="G74" s="188">
        <v>-3</v>
      </c>
      <c r="H74" s="188">
        <v>-0.33</v>
      </c>
      <c r="I74" s="188">
        <v>3</v>
      </c>
      <c r="J74" s="188">
        <v>0.33</v>
      </c>
      <c r="K74" s="188">
        <v>3</v>
      </c>
      <c r="L74" s="188">
        <v>0.33</v>
      </c>
      <c r="M74" s="188">
        <v>-1</v>
      </c>
      <c r="N74" s="188">
        <v>-0.11</v>
      </c>
    </row>
    <row r="75" spans="1:16" x14ac:dyDescent="0.25">
      <c r="A75" s="190">
        <v>2</v>
      </c>
      <c r="B75" s="191" t="s">
        <v>409</v>
      </c>
      <c r="C75" s="188">
        <v>10</v>
      </c>
      <c r="D75" s="188">
        <v>0.11</v>
      </c>
      <c r="E75" s="188">
        <v>3</v>
      </c>
      <c r="F75" s="188">
        <v>0.33</v>
      </c>
      <c r="G75" s="188">
        <v>-1</v>
      </c>
      <c r="H75" s="188">
        <v>-0.11</v>
      </c>
      <c r="I75" s="188">
        <v>1</v>
      </c>
      <c r="J75" s="188">
        <v>0.11</v>
      </c>
      <c r="K75" s="188">
        <v>3</v>
      </c>
      <c r="L75" s="188">
        <v>0.33</v>
      </c>
      <c r="M75" s="188">
        <v>1</v>
      </c>
      <c r="N75" s="188">
        <v>0.11</v>
      </c>
    </row>
    <row r="76" spans="1:16" ht="30" x14ac:dyDescent="0.25">
      <c r="A76" s="190">
        <v>3</v>
      </c>
      <c r="B76" s="191" t="s">
        <v>410</v>
      </c>
      <c r="C76" s="188">
        <v>10</v>
      </c>
      <c r="D76" s="188">
        <v>0.11</v>
      </c>
      <c r="E76" s="188">
        <v>1</v>
      </c>
      <c r="F76" s="188">
        <v>0.11</v>
      </c>
      <c r="G76" s="188">
        <v>3</v>
      </c>
      <c r="H76" s="188">
        <v>0.33</v>
      </c>
      <c r="I76" s="188">
        <v>-1</v>
      </c>
      <c r="J76" s="188">
        <v>-0.11</v>
      </c>
      <c r="K76" s="188">
        <v>-1</v>
      </c>
      <c r="L76" s="188">
        <v>-0.11</v>
      </c>
      <c r="M76" s="188">
        <v>-1</v>
      </c>
      <c r="N76" s="188">
        <v>-0.11</v>
      </c>
    </row>
    <row r="77" spans="1:16" ht="30" x14ac:dyDescent="0.25">
      <c r="A77" s="190">
        <v>4</v>
      </c>
      <c r="B77" s="191" t="s">
        <v>411</v>
      </c>
      <c r="C77" s="188">
        <v>10</v>
      </c>
      <c r="D77" s="188">
        <v>0.11</v>
      </c>
      <c r="E77" s="188">
        <v>1</v>
      </c>
      <c r="F77" s="188">
        <v>0.11</v>
      </c>
      <c r="G77" s="188">
        <v>3</v>
      </c>
      <c r="H77" s="188">
        <v>0.33</v>
      </c>
      <c r="I77" s="188">
        <v>-1</v>
      </c>
      <c r="J77" s="188">
        <v>-0.11</v>
      </c>
      <c r="K77" s="188">
        <v>-1</v>
      </c>
      <c r="L77" s="188">
        <v>-0.11</v>
      </c>
      <c r="M77" s="188">
        <v>1</v>
      </c>
      <c r="N77" s="188">
        <v>0.11</v>
      </c>
    </row>
    <row r="78" spans="1:16" ht="30" x14ac:dyDescent="0.25">
      <c r="A78" s="190">
        <v>5</v>
      </c>
      <c r="B78" s="191" t="s">
        <v>412</v>
      </c>
      <c r="C78" s="188">
        <v>10</v>
      </c>
      <c r="D78" s="188">
        <v>0.11</v>
      </c>
      <c r="E78" s="188">
        <v>1</v>
      </c>
      <c r="F78" s="188">
        <v>0.11</v>
      </c>
      <c r="G78" s="188">
        <v>1</v>
      </c>
      <c r="H78" s="188">
        <v>0.11</v>
      </c>
      <c r="I78" s="188">
        <v>3</v>
      </c>
      <c r="J78" s="188">
        <v>0.33</v>
      </c>
      <c r="K78" s="188">
        <v>1</v>
      </c>
      <c r="L78" s="188">
        <v>0.11</v>
      </c>
      <c r="M78" s="188">
        <v>1</v>
      </c>
      <c r="N78" s="188">
        <v>0.11</v>
      </c>
    </row>
    <row r="79" spans="1:16" ht="45" x14ac:dyDescent="0.25">
      <c r="A79" s="190">
        <v>6</v>
      </c>
      <c r="B79" s="191" t="s">
        <v>413</v>
      </c>
      <c r="C79" s="188">
        <v>10</v>
      </c>
      <c r="D79" s="188">
        <v>0.11</v>
      </c>
      <c r="E79" s="188">
        <v>3</v>
      </c>
      <c r="F79" s="188">
        <v>0.33</v>
      </c>
      <c r="G79" s="188">
        <v>-3</v>
      </c>
      <c r="H79" s="188">
        <v>-0.33</v>
      </c>
      <c r="I79" s="188">
        <v>-3</v>
      </c>
      <c r="J79" s="188">
        <v>-0.33</v>
      </c>
      <c r="K79" s="188">
        <v>-3</v>
      </c>
      <c r="L79" s="188">
        <v>-0.33</v>
      </c>
      <c r="M79" s="188">
        <v>-1</v>
      </c>
      <c r="N79" s="188">
        <v>-0.11</v>
      </c>
    </row>
    <row r="80" spans="1:16" ht="30" x14ac:dyDescent="0.25">
      <c r="A80" s="190">
        <v>7</v>
      </c>
      <c r="B80" s="191" t="s">
        <v>414</v>
      </c>
      <c r="C80" s="188">
        <v>10</v>
      </c>
      <c r="D80" s="188">
        <v>0.11</v>
      </c>
      <c r="E80" s="188">
        <v>3</v>
      </c>
      <c r="F80" s="188">
        <v>0.33</v>
      </c>
      <c r="G80" s="188">
        <v>-3</v>
      </c>
      <c r="H80" s="188">
        <v>-0.33</v>
      </c>
      <c r="I80" s="188">
        <v>-3</v>
      </c>
      <c r="J80" s="188">
        <v>-0.33</v>
      </c>
      <c r="K80" s="188">
        <v>-3</v>
      </c>
      <c r="L80" s="188">
        <v>-0.33</v>
      </c>
      <c r="M80" s="188">
        <v>-1</v>
      </c>
      <c r="N80" s="188">
        <v>-0.11</v>
      </c>
    </row>
    <row r="81" spans="1:14" ht="60" x14ac:dyDescent="0.25">
      <c r="A81" s="190">
        <v>8</v>
      </c>
      <c r="B81" s="191" t="s">
        <v>415</v>
      </c>
      <c r="C81" s="188">
        <v>10</v>
      </c>
      <c r="D81" s="188">
        <v>0.11</v>
      </c>
      <c r="E81" s="188">
        <v>-1</v>
      </c>
      <c r="F81" s="188">
        <v>-0.11</v>
      </c>
      <c r="G81" s="188">
        <v>1</v>
      </c>
      <c r="H81" s="188">
        <v>0.11</v>
      </c>
      <c r="I81" s="188">
        <v>3</v>
      </c>
      <c r="J81" s="188">
        <v>0.33</v>
      </c>
      <c r="K81" s="188">
        <v>3</v>
      </c>
      <c r="L81" s="188">
        <v>0.33</v>
      </c>
      <c r="M81" s="188">
        <v>-1</v>
      </c>
      <c r="N81" s="188">
        <v>-0.11</v>
      </c>
    </row>
    <row r="82" spans="1:14" ht="30" x14ac:dyDescent="0.25">
      <c r="A82" s="190">
        <v>9</v>
      </c>
      <c r="B82" s="191" t="s">
        <v>416</v>
      </c>
      <c r="C82" s="188">
        <v>10</v>
      </c>
      <c r="D82" s="188">
        <v>0.11</v>
      </c>
      <c r="E82" s="188">
        <v>3</v>
      </c>
      <c r="F82" s="197">
        <v>0.33</v>
      </c>
      <c r="G82" s="188">
        <v>1</v>
      </c>
      <c r="H82" s="188">
        <v>0.11</v>
      </c>
      <c r="I82" s="188">
        <v>-3</v>
      </c>
      <c r="J82" s="188">
        <v>-0.33</v>
      </c>
      <c r="K82" s="188">
        <v>-3</v>
      </c>
      <c r="L82" s="188">
        <v>-0.33</v>
      </c>
      <c r="M82" s="188">
        <v>3</v>
      </c>
      <c r="N82" s="188">
        <v>0.33</v>
      </c>
    </row>
    <row r="83" spans="1:14" ht="30" x14ac:dyDescent="0.25">
      <c r="A83" s="196"/>
      <c r="B83" s="192" t="s">
        <v>431</v>
      </c>
      <c r="C83" s="189">
        <v>90</v>
      </c>
      <c r="D83" s="189">
        <v>1</v>
      </c>
      <c r="E83" s="198"/>
      <c r="F83" s="194">
        <v>1.67</v>
      </c>
      <c r="G83" s="198"/>
      <c r="H83" s="194">
        <v>-0.11</v>
      </c>
      <c r="I83" s="198"/>
      <c r="J83" s="194">
        <v>-0.11</v>
      </c>
      <c r="K83" s="198"/>
      <c r="L83" s="194">
        <v>-0.11</v>
      </c>
      <c r="M83" s="198"/>
      <c r="N83" s="195">
        <v>0.11</v>
      </c>
    </row>
  </sheetData>
  <mergeCells count="54">
    <mergeCell ref="A10:P10"/>
    <mergeCell ref="B4:N5"/>
    <mergeCell ref="B7:C8"/>
    <mergeCell ref="D7:G8"/>
    <mergeCell ref="I7:J8"/>
    <mergeCell ref="K7:N8"/>
    <mergeCell ref="A25:P25"/>
    <mergeCell ref="A26:P26"/>
    <mergeCell ref="A27:D27"/>
    <mergeCell ref="E27:F27"/>
    <mergeCell ref="G27:H27"/>
    <mergeCell ref="I27:J27"/>
    <mergeCell ref="K27:L27"/>
    <mergeCell ref="M27:N27"/>
    <mergeCell ref="O27:P27"/>
    <mergeCell ref="A11:P11"/>
    <mergeCell ref="G12:H12"/>
    <mergeCell ref="I12:J12"/>
    <mergeCell ref="K12:L12"/>
    <mergeCell ref="M12:N12"/>
    <mergeCell ref="O12:P12"/>
    <mergeCell ref="E12:F12"/>
    <mergeCell ref="A12:D12"/>
    <mergeCell ref="A43:B43"/>
    <mergeCell ref="A28:B28"/>
    <mergeCell ref="A13:B13"/>
    <mergeCell ref="A55:P55"/>
    <mergeCell ref="A56:N56"/>
    <mergeCell ref="A40:P40"/>
    <mergeCell ref="A41:R41"/>
    <mergeCell ref="A42:D42"/>
    <mergeCell ref="E42:F42"/>
    <mergeCell ref="G42:H42"/>
    <mergeCell ref="I42:J42"/>
    <mergeCell ref="K42:L42"/>
    <mergeCell ref="M42:N42"/>
    <mergeCell ref="O42:P42"/>
    <mergeCell ref="Q42:R42"/>
    <mergeCell ref="A23:B23"/>
    <mergeCell ref="M57:N57"/>
    <mergeCell ref="A58:B58"/>
    <mergeCell ref="A70:P70"/>
    <mergeCell ref="A71:N71"/>
    <mergeCell ref="A72:D72"/>
    <mergeCell ref="E72:F72"/>
    <mergeCell ref="G72:H72"/>
    <mergeCell ref="I72:J72"/>
    <mergeCell ref="K72:L72"/>
    <mergeCell ref="M72:N72"/>
    <mergeCell ref="A57:D57"/>
    <mergeCell ref="E57:F57"/>
    <mergeCell ref="G57:H57"/>
    <mergeCell ref="I57:J57"/>
    <mergeCell ref="K57:L57"/>
  </mergeCells>
  <dataValidations count="1">
    <dataValidation type="list" allowBlank="1" showInputMessage="1" showErrorMessage="1" sqref="K7:N8">
      <formula1>"1 año, 2 años, 3 años, 4 años"</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9"/>
  <sheetViews>
    <sheetView showGridLines="0" zoomScaleNormal="100" workbookViewId="0">
      <pane ySplit="2" topLeftCell="A3" activePane="bottomLeft" state="frozen"/>
      <selection pane="bottomLeft"/>
    </sheetView>
  </sheetViews>
  <sheetFormatPr baseColWidth="10" defaultRowHeight="15" x14ac:dyDescent="0.25"/>
  <cols>
    <col min="1" max="1" width="2.7109375" customWidth="1"/>
    <col min="2" max="2" width="13.28515625" customWidth="1"/>
    <col min="3" max="3" width="11.85546875" customWidth="1"/>
    <col min="4" max="4" width="14.140625" customWidth="1"/>
    <col min="8" max="8" width="10.28515625" customWidth="1"/>
  </cols>
  <sheetData>
    <row r="1" spans="2:14" s="2" customFormat="1" ht="39" customHeight="1" x14ac:dyDescent="0.25"/>
    <row r="2" spans="2:14" s="1" customFormat="1" ht="30.75" customHeight="1" x14ac:dyDescent="0.25"/>
    <row r="3" spans="2:14" ht="12" customHeight="1" x14ac:dyDescent="0.25"/>
    <row r="4" spans="2:14" x14ac:dyDescent="0.25">
      <c r="B4" s="356" t="s">
        <v>0</v>
      </c>
      <c r="C4" s="356"/>
      <c r="D4" s="356"/>
      <c r="E4" s="356"/>
      <c r="F4" s="356"/>
      <c r="G4" s="356"/>
      <c r="H4" s="356"/>
      <c r="I4" s="356"/>
      <c r="J4" s="356"/>
      <c r="K4" s="356"/>
      <c r="L4" s="356"/>
      <c r="M4" s="356"/>
      <c r="N4" s="356"/>
    </row>
    <row r="5" spans="2:14" x14ac:dyDescent="0.25">
      <c r="B5" s="356"/>
      <c r="C5" s="356"/>
      <c r="D5" s="356"/>
      <c r="E5" s="356"/>
      <c r="F5" s="356"/>
      <c r="G5" s="356"/>
      <c r="H5" s="356"/>
      <c r="I5" s="356"/>
      <c r="J5" s="356"/>
      <c r="K5" s="356"/>
      <c r="L5" s="356"/>
      <c r="M5" s="356"/>
      <c r="N5" s="356"/>
    </row>
    <row r="6" spans="2:14" ht="11.25" customHeight="1" x14ac:dyDescent="0.25"/>
    <row r="7" spans="2:14" ht="17.25" customHeight="1" x14ac:dyDescent="0.25">
      <c r="B7" s="357" t="s">
        <v>1</v>
      </c>
      <c r="C7" s="357"/>
      <c r="D7" s="358">
        <v>2020</v>
      </c>
      <c r="E7" s="359"/>
      <c r="F7" s="359"/>
      <c r="G7" s="360"/>
      <c r="I7" s="357" t="s">
        <v>2</v>
      </c>
      <c r="J7" s="357"/>
      <c r="K7" s="358" t="s">
        <v>3</v>
      </c>
      <c r="L7" s="359"/>
      <c r="M7" s="359"/>
      <c r="N7" s="360"/>
    </row>
    <row r="8" spans="2:14" ht="17.25" customHeight="1" x14ac:dyDescent="0.25">
      <c r="B8" s="357"/>
      <c r="C8" s="357"/>
      <c r="D8" s="361"/>
      <c r="E8" s="362"/>
      <c r="F8" s="362"/>
      <c r="G8" s="363"/>
      <c r="I8" s="357"/>
      <c r="J8" s="357"/>
      <c r="K8" s="361"/>
      <c r="L8" s="362"/>
      <c r="M8" s="362"/>
      <c r="N8" s="363"/>
    </row>
    <row r="9" spans="2:14" ht="9.75" customHeight="1" x14ac:dyDescent="0.25"/>
  </sheetData>
  <mergeCells count="5">
    <mergeCell ref="B4:N5"/>
    <mergeCell ref="B7:C8"/>
    <mergeCell ref="D7:G8"/>
    <mergeCell ref="I7:J8"/>
    <mergeCell ref="K7:N8"/>
  </mergeCells>
  <dataValidations disablePrompts="1" count="1">
    <dataValidation type="list" allowBlank="1" showInputMessage="1" showErrorMessage="1" sqref="K7:N8">
      <formula1>"1 año, 2 años, 3 años, 4 años"</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B1:P19"/>
  <sheetViews>
    <sheetView showGridLines="0" workbookViewId="0">
      <pane ySplit="2" topLeftCell="A24" activePane="bottomLeft" state="frozen"/>
      <selection pane="bottomLeft"/>
    </sheetView>
  </sheetViews>
  <sheetFormatPr baseColWidth="10" defaultRowHeight="15" x14ac:dyDescent="0.25"/>
  <cols>
    <col min="1" max="1" width="2.7109375" customWidth="1"/>
    <col min="2" max="2" width="13.28515625" customWidth="1"/>
    <col min="3" max="3" width="11.85546875" customWidth="1"/>
    <col min="4" max="4" width="12.140625" customWidth="1"/>
    <col min="5" max="5" width="1.85546875" customWidth="1"/>
    <col min="9" max="9" width="5.42578125" customWidth="1"/>
    <col min="13" max="13" width="2.140625" customWidth="1"/>
    <col min="14" max="14" width="11.42578125" customWidth="1"/>
  </cols>
  <sheetData>
    <row r="1" spans="2:16" s="2" customFormat="1" ht="39" customHeight="1" x14ac:dyDescent="0.25"/>
    <row r="2" spans="2:16" s="1" customFormat="1" ht="30.75" customHeight="1" x14ac:dyDescent="0.25"/>
    <row r="3" spans="2:16" ht="7.5" customHeight="1" x14ac:dyDescent="0.25"/>
    <row r="4" spans="2:16" ht="20.25" customHeight="1" x14ac:dyDescent="0.25">
      <c r="B4" s="450" t="s">
        <v>28</v>
      </c>
      <c r="C4" s="450"/>
      <c r="D4" s="450"/>
      <c r="E4" s="450"/>
      <c r="F4" s="450"/>
      <c r="G4" s="450"/>
      <c r="H4" s="450"/>
      <c r="I4" s="8"/>
      <c r="J4" s="450" t="s">
        <v>29</v>
      </c>
      <c r="K4" s="450"/>
      <c r="L4" s="450"/>
      <c r="M4" s="450"/>
      <c r="N4" s="450"/>
      <c r="O4" s="450"/>
      <c r="P4" s="450"/>
    </row>
    <row r="5" spans="2:16" ht="6" customHeight="1" x14ac:dyDescent="0.25">
      <c r="B5" s="7"/>
      <c r="C5" s="7"/>
      <c r="D5" s="7"/>
      <c r="E5" s="7"/>
      <c r="F5" s="7"/>
      <c r="G5" s="7"/>
      <c r="H5" s="7"/>
    </row>
    <row r="6" spans="2:16" ht="18.75" customHeight="1" x14ac:dyDescent="0.25">
      <c r="B6" s="442" t="s">
        <v>36</v>
      </c>
      <c r="C6" s="442"/>
      <c r="D6" s="442"/>
      <c r="E6" s="442"/>
      <c r="F6" s="442"/>
      <c r="G6" s="442"/>
      <c r="H6" s="442"/>
      <c r="I6" s="6"/>
      <c r="J6" s="445" t="s">
        <v>37</v>
      </c>
      <c r="K6" s="445"/>
      <c r="L6" s="445"/>
      <c r="M6" s="445"/>
      <c r="N6" s="445"/>
      <c r="O6" s="445"/>
      <c r="P6" s="445"/>
    </row>
    <row r="7" spans="2:16" ht="32.25" customHeight="1" x14ac:dyDescent="0.25">
      <c r="B7" s="443" t="s">
        <v>30</v>
      </c>
      <c r="C7" s="443"/>
      <c r="D7" s="443"/>
      <c r="E7" s="443"/>
      <c r="F7" s="443"/>
      <c r="G7" s="443"/>
      <c r="H7" s="443"/>
      <c r="I7" s="5"/>
      <c r="J7" s="446" t="s">
        <v>38</v>
      </c>
      <c r="K7" s="446"/>
      <c r="L7" s="446"/>
      <c r="M7" s="446"/>
      <c r="N7" s="446"/>
      <c r="O7" s="446"/>
      <c r="P7" s="446"/>
    </row>
    <row r="8" spans="2:16" ht="32.25" customHeight="1" x14ac:dyDescent="0.25">
      <c r="B8" s="444" t="s">
        <v>31</v>
      </c>
      <c r="C8" s="348"/>
      <c r="D8" s="348"/>
      <c r="E8" s="348"/>
      <c r="F8" s="348"/>
      <c r="G8" s="348"/>
      <c r="H8" s="349"/>
      <c r="I8" s="5"/>
      <c r="J8" s="446" t="s">
        <v>215</v>
      </c>
      <c r="K8" s="446"/>
      <c r="L8" s="446"/>
      <c r="M8" s="446"/>
      <c r="N8" s="446"/>
      <c r="O8" s="446"/>
      <c r="P8" s="446"/>
    </row>
    <row r="9" spans="2:16" ht="32.25" customHeight="1" x14ac:dyDescent="0.25">
      <c r="B9" s="353"/>
      <c r="C9" s="354"/>
      <c r="D9" s="354"/>
      <c r="E9" s="354"/>
      <c r="F9" s="354"/>
      <c r="G9" s="354"/>
      <c r="H9" s="355"/>
      <c r="I9" s="5"/>
      <c r="J9" s="451" t="s">
        <v>40</v>
      </c>
      <c r="K9" s="452"/>
      <c r="L9" s="452"/>
      <c r="M9" s="452"/>
      <c r="N9" s="452"/>
      <c r="O9" s="452"/>
      <c r="P9" s="453"/>
    </row>
    <row r="10" spans="2:16" ht="32.25" customHeight="1" x14ac:dyDescent="0.25">
      <c r="B10" s="443" t="s">
        <v>32</v>
      </c>
      <c r="C10" s="443"/>
      <c r="D10" s="443"/>
      <c r="E10" s="443"/>
      <c r="F10" s="443"/>
      <c r="G10" s="443"/>
      <c r="H10" s="443"/>
      <c r="I10" s="5"/>
      <c r="J10" s="438" t="s">
        <v>41</v>
      </c>
      <c r="K10" s="438"/>
      <c r="L10" s="438"/>
      <c r="M10" s="438"/>
      <c r="N10" s="438"/>
      <c r="O10" s="438"/>
      <c r="P10" s="438"/>
    </row>
    <row r="11" spans="2:16" ht="32.25" customHeight="1" x14ac:dyDescent="0.25">
      <c r="B11" s="444" t="s">
        <v>33</v>
      </c>
      <c r="C11" s="348"/>
      <c r="D11" s="348"/>
      <c r="E11" s="348"/>
      <c r="F11" s="348"/>
      <c r="G11" s="348"/>
      <c r="H11" s="349"/>
      <c r="I11" s="5"/>
      <c r="J11" s="438" t="s">
        <v>42</v>
      </c>
      <c r="K11" s="438"/>
      <c r="L11" s="438"/>
      <c r="M11" s="438"/>
      <c r="N11" s="438"/>
      <c r="O11" s="438"/>
      <c r="P11" s="438"/>
    </row>
    <row r="12" spans="2:16" ht="32.25" customHeight="1" x14ac:dyDescent="0.25">
      <c r="B12" s="353"/>
      <c r="C12" s="354"/>
      <c r="D12" s="354"/>
      <c r="E12" s="354"/>
      <c r="F12" s="354"/>
      <c r="G12" s="354"/>
      <c r="H12" s="355"/>
      <c r="I12" s="5"/>
      <c r="J12" s="454" t="s">
        <v>43</v>
      </c>
      <c r="K12" s="455"/>
      <c r="L12" s="455"/>
      <c r="M12" s="455"/>
      <c r="N12" s="455"/>
      <c r="O12" s="455"/>
      <c r="P12" s="456"/>
    </row>
    <row r="13" spans="2:16" ht="32.25" customHeight="1" x14ac:dyDescent="0.25">
      <c r="B13" s="444" t="s">
        <v>34</v>
      </c>
      <c r="C13" s="348"/>
      <c r="D13" s="348"/>
      <c r="E13" s="348"/>
      <c r="F13" s="348"/>
      <c r="G13" s="348"/>
      <c r="H13" s="349"/>
      <c r="I13" s="5"/>
      <c r="J13" s="438" t="s">
        <v>44</v>
      </c>
      <c r="K13" s="438"/>
      <c r="L13" s="438"/>
      <c r="M13" s="438"/>
      <c r="N13" s="438"/>
      <c r="O13" s="438"/>
      <c r="P13" s="438"/>
    </row>
    <row r="14" spans="2:16" ht="32.25" customHeight="1" x14ac:dyDescent="0.25">
      <c r="B14" s="350"/>
      <c r="C14" s="351"/>
      <c r="D14" s="351"/>
      <c r="E14" s="351"/>
      <c r="F14" s="351"/>
      <c r="G14" s="351"/>
      <c r="H14" s="352"/>
      <c r="I14" s="5"/>
      <c r="J14" s="439" t="s">
        <v>274</v>
      </c>
      <c r="K14" s="440"/>
      <c r="L14" s="440"/>
      <c r="M14" s="440"/>
      <c r="N14" s="440"/>
      <c r="O14" s="440"/>
      <c r="P14" s="441"/>
    </row>
    <row r="15" spans="2:16" ht="32.25" customHeight="1" x14ac:dyDescent="0.25">
      <c r="B15" s="353"/>
      <c r="C15" s="354"/>
      <c r="D15" s="354"/>
      <c r="E15" s="354"/>
      <c r="F15" s="354"/>
      <c r="G15" s="354"/>
      <c r="H15" s="355"/>
      <c r="I15" s="5"/>
      <c r="J15" s="439" t="s">
        <v>45</v>
      </c>
      <c r="K15" s="440"/>
      <c r="L15" s="440"/>
      <c r="M15" s="440"/>
      <c r="N15" s="440"/>
      <c r="O15" s="440"/>
      <c r="P15" s="441"/>
    </row>
    <row r="16" spans="2:16" ht="32.25" customHeight="1" x14ac:dyDescent="0.25">
      <c r="B16" s="444" t="s">
        <v>35</v>
      </c>
      <c r="C16" s="348"/>
      <c r="D16" s="348"/>
      <c r="E16" s="348"/>
      <c r="F16" s="348"/>
      <c r="G16" s="348"/>
      <c r="H16" s="349"/>
      <c r="I16" s="5"/>
      <c r="J16" s="439" t="s">
        <v>46</v>
      </c>
      <c r="K16" s="440"/>
      <c r="L16" s="440"/>
      <c r="M16" s="440"/>
      <c r="N16" s="440"/>
      <c r="O16" s="440"/>
      <c r="P16" s="441"/>
    </row>
    <row r="17" spans="2:16" ht="32.25" customHeight="1" x14ac:dyDescent="0.25">
      <c r="B17" s="350"/>
      <c r="C17" s="351"/>
      <c r="D17" s="351"/>
      <c r="E17" s="351"/>
      <c r="F17" s="351"/>
      <c r="G17" s="351"/>
      <c r="H17" s="352"/>
      <c r="I17" s="5"/>
      <c r="J17" s="439" t="s">
        <v>47</v>
      </c>
      <c r="K17" s="440"/>
      <c r="L17" s="440"/>
      <c r="M17" s="440"/>
      <c r="N17" s="440"/>
      <c r="O17" s="440"/>
      <c r="P17" s="441"/>
    </row>
    <row r="18" spans="2:16" ht="32.25" customHeight="1" x14ac:dyDescent="0.25">
      <c r="B18" s="350"/>
      <c r="C18" s="351"/>
      <c r="D18" s="351"/>
      <c r="E18" s="351"/>
      <c r="F18" s="351"/>
      <c r="G18" s="351"/>
      <c r="H18" s="352"/>
      <c r="I18" s="5"/>
      <c r="J18" s="447" t="s">
        <v>48</v>
      </c>
      <c r="K18" s="448"/>
      <c r="L18" s="448"/>
      <c r="M18" s="448"/>
      <c r="N18" s="448"/>
      <c r="O18" s="448"/>
      <c r="P18" s="449"/>
    </row>
    <row r="19" spans="2:16" ht="32.25" customHeight="1" x14ac:dyDescent="0.25">
      <c r="B19" s="353"/>
      <c r="C19" s="354"/>
      <c r="D19" s="354"/>
      <c r="E19" s="354"/>
      <c r="F19" s="354"/>
      <c r="G19" s="354"/>
      <c r="H19" s="355"/>
      <c r="I19" s="5"/>
      <c r="J19" s="439" t="s">
        <v>49</v>
      </c>
      <c r="K19" s="440"/>
      <c r="L19" s="440"/>
      <c r="M19" s="440"/>
      <c r="N19" s="440"/>
      <c r="O19" s="440"/>
      <c r="P19" s="441"/>
    </row>
  </sheetData>
  <mergeCells count="23">
    <mergeCell ref="J4:P4"/>
    <mergeCell ref="B4:H4"/>
    <mergeCell ref="J9:P9"/>
    <mergeCell ref="B11:H12"/>
    <mergeCell ref="J12:P12"/>
    <mergeCell ref="J11:P11"/>
    <mergeCell ref="B8:H9"/>
    <mergeCell ref="J13:P13"/>
    <mergeCell ref="J19:P19"/>
    <mergeCell ref="B6:H6"/>
    <mergeCell ref="B7:H7"/>
    <mergeCell ref="B10:H10"/>
    <mergeCell ref="B13:H15"/>
    <mergeCell ref="J14:P14"/>
    <mergeCell ref="J15:P15"/>
    <mergeCell ref="B16:H19"/>
    <mergeCell ref="J16:P16"/>
    <mergeCell ref="J17:P17"/>
    <mergeCell ref="J6:P6"/>
    <mergeCell ref="J7:P7"/>
    <mergeCell ref="J8:P8"/>
    <mergeCell ref="J10:P10"/>
    <mergeCell ref="J18:P18"/>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Q17"/>
  <sheetViews>
    <sheetView showGridLines="0" workbookViewId="0">
      <pane ySplit="2" topLeftCell="A12" activePane="bottomLeft" state="frozen"/>
      <selection pane="bottomLeft"/>
    </sheetView>
  </sheetViews>
  <sheetFormatPr baseColWidth="10" defaultRowHeight="15" x14ac:dyDescent="0.25"/>
  <cols>
    <col min="1" max="1" width="2.7109375" customWidth="1"/>
    <col min="2" max="2" width="13.28515625" customWidth="1"/>
    <col min="3" max="3" width="11.85546875" customWidth="1"/>
    <col min="4" max="4" width="14.140625" customWidth="1"/>
    <col min="8" max="8" width="5.42578125" customWidth="1"/>
  </cols>
  <sheetData>
    <row r="1" spans="1:17" s="2" customFormat="1" ht="39" customHeight="1" x14ac:dyDescent="0.25"/>
    <row r="2" spans="1:17" s="1" customFormat="1" ht="30.75" customHeight="1" x14ac:dyDescent="0.25"/>
    <row r="3" spans="1:17" ht="7.5" customHeight="1" x14ac:dyDescent="0.25"/>
    <row r="4" spans="1:17" ht="20.25" customHeight="1" x14ac:dyDescent="0.25">
      <c r="B4" s="450" t="s">
        <v>50</v>
      </c>
      <c r="C4" s="450"/>
      <c r="D4" s="450"/>
      <c r="E4" s="450"/>
      <c r="F4" s="450"/>
      <c r="G4" s="450"/>
      <c r="H4" s="450"/>
      <c r="I4" s="8"/>
      <c r="J4" s="450" t="s">
        <v>29</v>
      </c>
      <c r="K4" s="450"/>
      <c r="L4" s="450"/>
      <c r="M4" s="450"/>
      <c r="N4" s="450"/>
      <c r="O4" s="450"/>
      <c r="P4" s="450"/>
    </row>
    <row r="5" spans="1:17" ht="6" customHeight="1" x14ac:dyDescent="0.25">
      <c r="B5" s="7"/>
      <c r="C5" s="7"/>
      <c r="D5" s="7"/>
      <c r="E5" s="7"/>
      <c r="F5" s="7"/>
      <c r="G5" s="7"/>
      <c r="H5" s="7"/>
    </row>
    <row r="6" spans="1:17" ht="18.75" customHeight="1" x14ac:dyDescent="0.25">
      <c r="B6" s="442" t="s">
        <v>36</v>
      </c>
      <c r="C6" s="442"/>
      <c r="D6" s="442"/>
      <c r="E6" s="442"/>
      <c r="F6" s="442"/>
      <c r="G6" s="442"/>
      <c r="H6" s="442"/>
      <c r="I6" s="6"/>
      <c r="J6" s="445" t="s">
        <v>37</v>
      </c>
      <c r="K6" s="445"/>
      <c r="L6" s="445"/>
      <c r="M6" s="445"/>
      <c r="N6" s="445"/>
      <c r="O6" s="445"/>
      <c r="P6" s="445"/>
    </row>
    <row r="7" spans="1:17" ht="32.25" customHeight="1" x14ac:dyDescent="0.25">
      <c r="B7" s="490" t="s">
        <v>51</v>
      </c>
      <c r="C7" s="491"/>
      <c r="D7" s="491"/>
      <c r="E7" s="491"/>
      <c r="F7" s="491"/>
      <c r="G7" s="491"/>
      <c r="H7" s="492"/>
      <c r="I7" s="5"/>
      <c r="J7" s="460" t="s">
        <v>55</v>
      </c>
      <c r="K7" s="461"/>
      <c r="L7" s="461"/>
      <c r="M7" s="461"/>
      <c r="N7" s="461"/>
      <c r="O7" s="461"/>
      <c r="P7" s="462"/>
    </row>
    <row r="8" spans="1:17" ht="32.25" customHeight="1" x14ac:dyDescent="0.25">
      <c r="B8" s="493"/>
      <c r="C8" s="494"/>
      <c r="D8" s="494"/>
      <c r="E8" s="494"/>
      <c r="F8" s="494"/>
      <c r="G8" s="494"/>
      <c r="H8" s="495"/>
      <c r="I8" s="5"/>
      <c r="J8" s="460" t="s">
        <v>52</v>
      </c>
      <c r="K8" s="461"/>
      <c r="L8" s="461"/>
      <c r="M8" s="461"/>
      <c r="N8" s="461"/>
      <c r="O8" s="461"/>
      <c r="P8" s="462"/>
    </row>
    <row r="9" spans="1:17" ht="32.25" customHeight="1" x14ac:dyDescent="0.25">
      <c r="B9" s="493"/>
      <c r="C9" s="494"/>
      <c r="D9" s="494"/>
      <c r="E9" s="494"/>
      <c r="F9" s="494"/>
      <c r="G9" s="494"/>
      <c r="H9" s="495"/>
      <c r="I9" s="5"/>
      <c r="J9" s="460" t="s">
        <v>53</v>
      </c>
      <c r="K9" s="461"/>
      <c r="L9" s="461"/>
      <c r="M9" s="461"/>
      <c r="N9" s="461"/>
      <c r="O9" s="461"/>
      <c r="P9" s="462"/>
    </row>
    <row r="10" spans="1:17" ht="32.25" customHeight="1" x14ac:dyDescent="0.25">
      <c r="B10" s="493"/>
      <c r="C10" s="494"/>
      <c r="D10" s="494"/>
      <c r="E10" s="494"/>
      <c r="F10" s="494"/>
      <c r="G10" s="494"/>
      <c r="H10" s="495"/>
      <c r="I10" s="5"/>
      <c r="J10" s="460" t="s">
        <v>54</v>
      </c>
      <c r="K10" s="461"/>
      <c r="L10" s="461"/>
      <c r="M10" s="461"/>
      <c r="N10" s="461"/>
      <c r="O10" s="461"/>
      <c r="P10" s="462"/>
    </row>
    <row r="11" spans="1:17" ht="32.25" customHeight="1" x14ac:dyDescent="0.25">
      <c r="B11" s="464" t="s">
        <v>56</v>
      </c>
      <c r="C11" s="465"/>
      <c r="D11" s="465"/>
      <c r="E11" s="465"/>
      <c r="F11" s="465"/>
      <c r="G11" s="465"/>
      <c r="H11" s="466"/>
      <c r="I11" s="5"/>
      <c r="J11" s="463" t="s">
        <v>57</v>
      </c>
      <c r="K11" s="463"/>
      <c r="L11" s="463"/>
      <c r="M11" s="463"/>
      <c r="N11" s="463"/>
      <c r="O11" s="463"/>
      <c r="P11" s="463"/>
    </row>
    <row r="12" spans="1:17" ht="32.25" customHeight="1" x14ac:dyDescent="0.25">
      <c r="B12" s="467"/>
      <c r="C12" s="468"/>
      <c r="D12" s="468"/>
      <c r="E12" s="468"/>
      <c r="F12" s="468"/>
      <c r="G12" s="468"/>
      <c r="H12" s="469"/>
      <c r="I12" s="5"/>
      <c r="J12" s="470" t="s">
        <v>58</v>
      </c>
      <c r="K12" s="471"/>
      <c r="L12" s="471"/>
      <c r="M12" s="471"/>
      <c r="N12" s="471"/>
      <c r="O12" s="471"/>
      <c r="P12" s="472"/>
    </row>
    <row r="13" spans="1:17" ht="29.25" customHeight="1" x14ac:dyDescent="0.25">
      <c r="A13" s="184"/>
      <c r="B13" s="481" t="s">
        <v>59</v>
      </c>
      <c r="C13" s="482"/>
      <c r="D13" s="482"/>
      <c r="E13" s="482"/>
      <c r="F13" s="482"/>
      <c r="G13" s="482"/>
      <c r="H13" s="483"/>
      <c r="I13" s="184"/>
      <c r="J13" s="463" t="s">
        <v>192</v>
      </c>
      <c r="K13" s="463"/>
      <c r="L13" s="463"/>
      <c r="M13" s="463"/>
      <c r="N13" s="463"/>
      <c r="O13" s="463"/>
      <c r="P13" s="463"/>
      <c r="Q13" s="184"/>
    </row>
    <row r="14" spans="1:17" ht="29.25" customHeight="1" x14ac:dyDescent="0.25">
      <c r="A14" s="184"/>
      <c r="B14" s="484"/>
      <c r="C14" s="485"/>
      <c r="D14" s="485"/>
      <c r="E14" s="485"/>
      <c r="F14" s="485"/>
      <c r="G14" s="485"/>
      <c r="H14" s="486"/>
      <c r="I14" s="184"/>
      <c r="J14" s="463" t="s">
        <v>193</v>
      </c>
      <c r="K14" s="463"/>
      <c r="L14" s="463"/>
      <c r="M14" s="463"/>
      <c r="N14" s="463"/>
      <c r="O14" s="463"/>
      <c r="P14" s="463"/>
      <c r="Q14" s="184"/>
    </row>
    <row r="15" spans="1:17" ht="29.25" customHeight="1" x14ac:dyDescent="0.25">
      <c r="A15" s="184"/>
      <c r="B15" s="487"/>
      <c r="C15" s="488"/>
      <c r="D15" s="488"/>
      <c r="E15" s="488"/>
      <c r="F15" s="488"/>
      <c r="G15" s="488"/>
      <c r="H15" s="489"/>
      <c r="I15" s="184"/>
      <c r="J15" s="463" t="s">
        <v>216</v>
      </c>
      <c r="K15" s="463"/>
      <c r="L15" s="463"/>
      <c r="M15" s="463"/>
      <c r="N15" s="463"/>
      <c r="O15" s="463"/>
      <c r="P15" s="463"/>
      <c r="Q15" s="184"/>
    </row>
    <row r="16" spans="1:17" ht="29.25" customHeight="1" x14ac:dyDescent="0.25">
      <c r="A16" s="177"/>
      <c r="B16" s="473" t="s">
        <v>60</v>
      </c>
      <c r="C16" s="474"/>
      <c r="D16" s="474"/>
      <c r="E16" s="474"/>
      <c r="F16" s="474"/>
      <c r="G16" s="474"/>
      <c r="H16" s="475"/>
      <c r="I16" s="177"/>
      <c r="J16" s="478" t="s">
        <v>61</v>
      </c>
      <c r="K16" s="479"/>
      <c r="L16" s="479"/>
      <c r="M16" s="479"/>
      <c r="N16" s="479"/>
      <c r="O16" s="479"/>
      <c r="P16" s="480"/>
      <c r="Q16" s="177"/>
    </row>
    <row r="17" spans="2:16" ht="28.5" customHeight="1" x14ac:dyDescent="0.25">
      <c r="B17" s="476"/>
      <c r="C17" s="458"/>
      <c r="D17" s="458"/>
      <c r="E17" s="458"/>
      <c r="F17" s="458"/>
      <c r="G17" s="458"/>
      <c r="H17" s="477"/>
      <c r="J17" s="457" t="s">
        <v>135</v>
      </c>
      <c r="K17" s="458"/>
      <c r="L17" s="458"/>
      <c r="M17" s="458"/>
      <c r="N17" s="458"/>
      <c r="O17" s="458"/>
      <c r="P17" s="459"/>
    </row>
  </sheetData>
  <mergeCells count="19">
    <mergeCell ref="J4:P4"/>
    <mergeCell ref="B4:H4"/>
    <mergeCell ref="B7:H10"/>
    <mergeCell ref="J8:P8"/>
    <mergeCell ref="J9:P9"/>
    <mergeCell ref="J10:P10"/>
    <mergeCell ref="B6:H6"/>
    <mergeCell ref="J6:P6"/>
    <mergeCell ref="J17:P17"/>
    <mergeCell ref="J7:P7"/>
    <mergeCell ref="J11:P11"/>
    <mergeCell ref="B11:H12"/>
    <mergeCell ref="J12:P12"/>
    <mergeCell ref="B16:H17"/>
    <mergeCell ref="J16:P16"/>
    <mergeCell ref="B13:H15"/>
    <mergeCell ref="J14:P14"/>
    <mergeCell ref="J15:P15"/>
    <mergeCell ref="J13:P1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27</vt:i4>
      </vt:variant>
    </vt:vector>
  </HeadingPairs>
  <TitlesOfParts>
    <vt:vector size="27" baseType="lpstr">
      <vt:lpstr>GE.O</vt:lpstr>
      <vt:lpstr>MI</vt:lpstr>
      <vt:lpstr>VI</vt:lpstr>
      <vt:lpstr>VA</vt:lpstr>
      <vt:lpstr>M.P</vt:lpstr>
      <vt:lpstr>PERFIL COMPETI</vt:lpstr>
      <vt:lpstr>FODA</vt:lpstr>
      <vt:lpstr>OB.</vt:lpstr>
      <vt:lpstr>CL</vt:lpstr>
      <vt:lpstr>PR</vt:lpstr>
      <vt:lpstr>AP</vt:lpstr>
      <vt:lpstr>ES</vt:lpstr>
      <vt:lpstr>ES.CL</vt:lpstr>
      <vt:lpstr>ES.PR</vt:lpstr>
      <vt:lpstr>ES.AP</vt:lpstr>
      <vt:lpstr>POA 21</vt:lpstr>
      <vt:lpstr>POA 22</vt:lpstr>
      <vt:lpstr>POA 23</vt:lpstr>
      <vt:lpstr>POA 24</vt:lpstr>
      <vt:lpstr>DB</vt:lpstr>
      <vt:lpstr>GRÁFICOS</vt:lpstr>
      <vt:lpstr>TABLA FI</vt:lpstr>
      <vt:lpstr>TABLA CL</vt:lpstr>
      <vt:lpstr>TABLA PR</vt:lpstr>
      <vt:lpstr>TABLA AP </vt:lpstr>
      <vt:lpstr>Hoja2</vt: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USUARIO310719</dc:creator>
  <cp:lastModifiedBy>Gerencia</cp:lastModifiedBy>
  <dcterms:created xsi:type="dcterms:W3CDTF">2020-10-23T15:01:07Z</dcterms:created>
  <dcterms:modified xsi:type="dcterms:W3CDTF">2021-07-13T15:31:30Z</dcterms:modified>
</cp:coreProperties>
</file>