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ate1904="1" filterPrivacy="1"/>
  <xr:revisionPtr revIDLastSave="0" documentId="13_ncr:1_{E74BE03C-82D7-4A88-AB1B-7ECE681A53DF}" xr6:coauthVersionLast="46" xr6:coauthVersionMax="46" xr10:uidLastSave="{00000000-0000-0000-0000-000000000000}"/>
  <bookViews>
    <workbookView xWindow="-110" yWindow="-110" windowWidth="22780" windowHeight="14660" xr2:uid="{00000000-000D-0000-FFFF-FFFF00000000}"/>
  </bookViews>
  <sheets>
    <sheet name="Valuation" sheetId="5" r:id="rId1"/>
    <sheet name="Key Operating Metrics" sheetId="8" r:id="rId2"/>
    <sheet name="Income Statement" sheetId="1" r:id="rId3"/>
    <sheet name="Balance Sheet" sheetId="2" r:id="rId4"/>
    <sheet name="Cash Flow Statement" sheetId="3" r:id="rId5"/>
    <sheet name="Estimates" sheetId="6" r:id="rId6"/>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9" i="5" l="1"/>
  <c r="B5" i="5"/>
  <c r="O4" i="5"/>
  <c r="L20" i="5"/>
  <c r="K20" i="5"/>
  <c r="L19" i="5"/>
  <c r="K19" i="5"/>
  <c r="J19" i="5"/>
  <c r="U64" i="8"/>
  <c r="V64" i="8"/>
  <c r="X45" i="8"/>
  <c r="X64" i="8" l="1"/>
  <c r="W64" i="8"/>
  <c r="V66" i="8"/>
  <c r="W66" i="8"/>
  <c r="W67" i="8" s="1"/>
  <c r="V67" i="8"/>
  <c r="U66" i="8"/>
  <c r="U67" i="8" s="1"/>
  <c r="W60" i="8"/>
  <c r="W45" i="8"/>
  <c r="V45" i="8"/>
  <c r="U45" i="8"/>
  <c r="T45" i="8"/>
  <c r="S45" i="8"/>
  <c r="R45" i="8"/>
  <c r="Q45" i="8"/>
  <c r="P45" i="8"/>
  <c r="O45" i="8"/>
  <c r="N45" i="8"/>
  <c r="M45" i="8"/>
  <c r="L45" i="8"/>
  <c r="K45" i="8"/>
  <c r="J45" i="8"/>
  <c r="I45" i="8"/>
  <c r="H45" i="8"/>
  <c r="F45" i="8"/>
  <c r="V16" i="8"/>
  <c r="AB17" i="8"/>
  <c r="AC17" i="8" s="1"/>
  <c r="AD17" i="8" s="1"/>
  <c r="AE17" i="8" s="1"/>
  <c r="AC38" i="8" l="1"/>
  <c r="AD38" i="8" s="1"/>
  <c r="AE38" i="8" s="1"/>
  <c r="AB38" i="8"/>
  <c r="AA38" i="8"/>
  <c r="AB78" i="8" s="1"/>
  <c r="W4" i="8"/>
  <c r="R4" i="8"/>
  <c r="M4" i="8"/>
  <c r="H4" i="8"/>
  <c r="U4" i="8"/>
  <c r="T4" i="8"/>
  <c r="S4" i="8"/>
  <c r="P4" i="8"/>
  <c r="O4" i="8"/>
  <c r="N4" i="8"/>
  <c r="K4" i="8"/>
  <c r="J4" i="8"/>
  <c r="I4" i="8"/>
  <c r="F4" i="8"/>
  <c r="E4" i="8"/>
  <c r="D4" i="8"/>
  <c r="C4" i="8"/>
  <c r="W9" i="8"/>
  <c r="U9" i="8"/>
  <c r="T9" i="8"/>
  <c r="S9" i="8"/>
  <c r="R9" i="8"/>
  <c r="P9" i="8"/>
  <c r="O9" i="8"/>
  <c r="N9" i="8"/>
  <c r="S10" i="8" s="1"/>
  <c r="M9" i="8"/>
  <c r="K9" i="8"/>
  <c r="J9" i="8"/>
  <c r="I9" i="8"/>
  <c r="H9" i="8"/>
  <c r="F9" i="8"/>
  <c r="K10" i="8" s="1"/>
  <c r="E9" i="8"/>
  <c r="D9" i="8"/>
  <c r="C9" i="8"/>
  <c r="B9" i="8"/>
  <c r="T94" i="8"/>
  <c r="T84" i="8"/>
  <c r="W12" i="8"/>
  <c r="W3" i="8"/>
  <c r="U3" i="8"/>
  <c r="B73" i="8"/>
  <c r="B74" i="8"/>
  <c r="B71" i="8"/>
  <c r="B72" i="8" s="1"/>
  <c r="X49" i="8"/>
  <c r="Z58" i="8"/>
  <c r="Y58" i="8"/>
  <c r="X58" i="8"/>
  <c r="Z56" i="8"/>
  <c r="Y56" i="8"/>
  <c r="X56" i="8"/>
  <c r="Z54" i="8"/>
  <c r="Y54" i="8"/>
  <c r="X54" i="8"/>
  <c r="Z52" i="8"/>
  <c r="Y52" i="8"/>
  <c r="X52" i="8"/>
  <c r="W57" i="8"/>
  <c r="U57" i="8"/>
  <c r="V55" i="8"/>
  <c r="V53" i="8"/>
  <c r="V51" i="8"/>
  <c r="W42" i="8"/>
  <c r="W44" i="8"/>
  <c r="V43" i="8"/>
  <c r="V41" i="8"/>
  <c r="U42" i="8"/>
  <c r="U44" i="8"/>
  <c r="U60" i="8" s="1"/>
  <c r="W38" i="8"/>
  <c r="W52" i="8" s="1"/>
  <c r="W36" i="8"/>
  <c r="V37" i="8"/>
  <c r="V35" i="8"/>
  <c r="V38" i="8" s="1"/>
  <c r="U38" i="8"/>
  <c r="U56" i="8" s="1"/>
  <c r="U36" i="8"/>
  <c r="W28" i="8"/>
  <c r="U28" i="8"/>
  <c r="T28" i="8"/>
  <c r="S28" i="8"/>
  <c r="R28" i="8"/>
  <c r="P28" i="8"/>
  <c r="O28" i="8"/>
  <c r="N28" i="8"/>
  <c r="M28" i="8"/>
  <c r="K28" i="8"/>
  <c r="J28" i="8"/>
  <c r="I28" i="8"/>
  <c r="H28" i="8"/>
  <c r="F28" i="8"/>
  <c r="W25" i="8"/>
  <c r="U25" i="8"/>
  <c r="T25" i="8"/>
  <c r="S25" i="8"/>
  <c r="R25" i="8"/>
  <c r="P25" i="8"/>
  <c r="O25" i="8"/>
  <c r="N25" i="8"/>
  <c r="M25" i="8"/>
  <c r="K25" i="8"/>
  <c r="J25" i="8"/>
  <c r="I25" i="8"/>
  <c r="H25" i="8"/>
  <c r="F25" i="8"/>
  <c r="W22" i="8"/>
  <c r="U22" i="8"/>
  <c r="T22" i="8"/>
  <c r="T31" i="8" s="1"/>
  <c r="S22" i="8"/>
  <c r="R22" i="8"/>
  <c r="P22" i="8"/>
  <c r="O22" i="8"/>
  <c r="N22" i="8"/>
  <c r="M22" i="8"/>
  <c r="K22" i="8"/>
  <c r="J22" i="8"/>
  <c r="I22" i="8"/>
  <c r="H22" i="8"/>
  <c r="F22" i="8"/>
  <c r="W19" i="8"/>
  <c r="U19" i="8"/>
  <c r="T19" i="8"/>
  <c r="S19" i="8"/>
  <c r="R19" i="8"/>
  <c r="W20" i="8" s="1"/>
  <c r="P19" i="8"/>
  <c r="O19" i="8"/>
  <c r="N19" i="8"/>
  <c r="M19" i="8"/>
  <c r="M31" i="8" s="1"/>
  <c r="K19" i="8"/>
  <c r="J19" i="8"/>
  <c r="I19" i="8"/>
  <c r="H19" i="8"/>
  <c r="H31" i="8" s="1"/>
  <c r="F19" i="8"/>
  <c r="U12" i="8"/>
  <c r="W7" i="8"/>
  <c r="U7" i="8"/>
  <c r="V12" i="8"/>
  <c r="V6" i="8"/>
  <c r="V2" i="8"/>
  <c r="V22" i="8" s="1"/>
  <c r="G110" i="8"/>
  <c r="E109" i="8"/>
  <c r="D109" i="8"/>
  <c r="F109" i="8" s="1"/>
  <c r="G108" i="8"/>
  <c r="F108" i="8"/>
  <c r="G107" i="8"/>
  <c r="D107" i="8"/>
  <c r="B107" i="8"/>
  <c r="E107" i="8" s="1"/>
  <c r="D106" i="8"/>
  <c r="B106" i="8"/>
  <c r="D99" i="8"/>
  <c r="D98" i="8"/>
  <c r="D97" i="8"/>
  <c r="D96" i="8"/>
  <c r="D95" i="8"/>
  <c r="AE94" i="8"/>
  <c r="AD94" i="8"/>
  <c r="AC94" i="8"/>
  <c r="AB94" i="8"/>
  <c r="AA94" i="8"/>
  <c r="S94" i="8"/>
  <c r="R94" i="8"/>
  <c r="Q94" i="8"/>
  <c r="P94" i="8"/>
  <c r="O94" i="8"/>
  <c r="D94" i="8"/>
  <c r="D93" i="8"/>
  <c r="D92" i="8"/>
  <c r="B91" i="8"/>
  <c r="D91" i="8" s="1"/>
  <c r="D90" i="8"/>
  <c r="AE89" i="8"/>
  <c r="AD89" i="8"/>
  <c r="AC89" i="8"/>
  <c r="AB89" i="8"/>
  <c r="AA89" i="8"/>
  <c r="T89" i="8"/>
  <c r="S89" i="8"/>
  <c r="R89" i="8"/>
  <c r="Q89" i="8"/>
  <c r="P89" i="8"/>
  <c r="O89" i="8"/>
  <c r="AE84" i="8"/>
  <c r="AD84" i="8"/>
  <c r="AC84" i="8"/>
  <c r="AB84" i="8"/>
  <c r="AA84" i="8"/>
  <c r="S84" i="8"/>
  <c r="R84" i="8"/>
  <c r="Q84" i="8"/>
  <c r="P84" i="8"/>
  <c r="O84" i="8"/>
  <c r="C79" i="8"/>
  <c r="T66" i="8"/>
  <c r="S66" i="8"/>
  <c r="R66" i="8"/>
  <c r="P66" i="8"/>
  <c r="O66" i="8"/>
  <c r="N66" i="8"/>
  <c r="M66" i="8"/>
  <c r="K66" i="8"/>
  <c r="J66" i="8"/>
  <c r="I66" i="8"/>
  <c r="H66" i="8"/>
  <c r="F66" i="8"/>
  <c r="E66" i="8"/>
  <c r="D66" i="8"/>
  <c r="C66" i="8"/>
  <c r="B66" i="8"/>
  <c r="AA64" i="8"/>
  <c r="Q63" i="8"/>
  <c r="Q66" i="8" s="1"/>
  <c r="L63" i="8"/>
  <c r="L66" i="8" s="1"/>
  <c r="G63" i="8"/>
  <c r="G66" i="8" s="1"/>
  <c r="T57" i="8"/>
  <c r="S57" i="8"/>
  <c r="R57" i="8"/>
  <c r="P57" i="8"/>
  <c r="O57" i="8"/>
  <c r="N57" i="8"/>
  <c r="M57" i="8"/>
  <c r="K57" i="8"/>
  <c r="J57" i="8"/>
  <c r="I57" i="8"/>
  <c r="H57" i="8"/>
  <c r="F57" i="8"/>
  <c r="E57" i="8"/>
  <c r="D57" i="8"/>
  <c r="C57" i="8"/>
  <c r="B57" i="8"/>
  <c r="Q55" i="8"/>
  <c r="L55" i="8"/>
  <c r="G55" i="8"/>
  <c r="Q53" i="8"/>
  <c r="L53" i="8"/>
  <c r="G53" i="8"/>
  <c r="Q51" i="8"/>
  <c r="L51" i="8"/>
  <c r="G51" i="8"/>
  <c r="T48" i="8"/>
  <c r="S48" i="8"/>
  <c r="R48" i="8"/>
  <c r="P48" i="8"/>
  <c r="O48" i="8"/>
  <c r="N48" i="8"/>
  <c r="M48" i="8"/>
  <c r="K48" i="8"/>
  <c r="J48" i="8"/>
  <c r="I48" i="8"/>
  <c r="H48" i="8"/>
  <c r="F48" i="8"/>
  <c r="E48" i="8"/>
  <c r="D48" i="8"/>
  <c r="C48" i="8"/>
  <c r="B48" i="8"/>
  <c r="T47" i="8"/>
  <c r="S47" i="8"/>
  <c r="R47" i="8"/>
  <c r="P47" i="8"/>
  <c r="O47" i="8"/>
  <c r="N47" i="8"/>
  <c r="M47" i="8"/>
  <c r="K47" i="8"/>
  <c r="J47" i="8"/>
  <c r="I47" i="8"/>
  <c r="H47" i="8"/>
  <c r="F47" i="8"/>
  <c r="E47" i="8"/>
  <c r="D47" i="8"/>
  <c r="C47" i="8"/>
  <c r="B47" i="8"/>
  <c r="T44" i="8"/>
  <c r="S44" i="8"/>
  <c r="R44" i="8"/>
  <c r="P44" i="8"/>
  <c r="O44" i="8"/>
  <c r="N44" i="8"/>
  <c r="M44" i="8"/>
  <c r="K44" i="8"/>
  <c r="J44" i="8"/>
  <c r="I44" i="8"/>
  <c r="H44" i="8"/>
  <c r="F44" i="8"/>
  <c r="E44" i="8"/>
  <c r="D44" i="8"/>
  <c r="C44" i="8"/>
  <c r="B44" i="8"/>
  <c r="Q43" i="8"/>
  <c r="L43" i="8"/>
  <c r="G43" i="8"/>
  <c r="T42" i="8"/>
  <c r="S42" i="8"/>
  <c r="R42" i="8"/>
  <c r="P42" i="8"/>
  <c r="O42" i="8"/>
  <c r="N42" i="8"/>
  <c r="M42" i="8"/>
  <c r="K42" i="8"/>
  <c r="J42" i="8"/>
  <c r="I42" i="8"/>
  <c r="H42" i="8"/>
  <c r="F42" i="8"/>
  <c r="Q41" i="8"/>
  <c r="L41" i="8"/>
  <c r="G41" i="8"/>
  <c r="T38" i="8"/>
  <c r="T52" i="8" s="1"/>
  <c r="S38" i="8"/>
  <c r="S56" i="8" s="1"/>
  <c r="R38" i="8"/>
  <c r="R64" i="8" s="1"/>
  <c r="P38" i="8"/>
  <c r="P54" i="8" s="1"/>
  <c r="O38" i="8"/>
  <c r="O54" i="8" s="1"/>
  <c r="N38" i="8"/>
  <c r="M38" i="8"/>
  <c r="M64" i="8" s="1"/>
  <c r="K38" i="8"/>
  <c r="K56" i="8" s="1"/>
  <c r="J38" i="8"/>
  <c r="J54" i="8" s="1"/>
  <c r="I38" i="8"/>
  <c r="I64" i="8" s="1"/>
  <c r="H38" i="8"/>
  <c r="H56" i="8" s="1"/>
  <c r="F38" i="8"/>
  <c r="F49" i="8" s="1"/>
  <c r="E38" i="8"/>
  <c r="E64" i="8" s="1"/>
  <c r="D38" i="8"/>
  <c r="D64" i="8" s="1"/>
  <c r="C38" i="8"/>
  <c r="C64" i="8" s="1"/>
  <c r="B38" i="8"/>
  <c r="B49" i="8" s="1"/>
  <c r="Q37" i="8"/>
  <c r="L37" i="8"/>
  <c r="G37" i="8"/>
  <c r="T36" i="8"/>
  <c r="S36" i="8"/>
  <c r="R36" i="8"/>
  <c r="P36" i="8"/>
  <c r="O36" i="8"/>
  <c r="N36" i="8"/>
  <c r="M36" i="8"/>
  <c r="K36" i="8"/>
  <c r="J36" i="8"/>
  <c r="I36" i="8"/>
  <c r="H36" i="8"/>
  <c r="F36" i="8"/>
  <c r="Q35" i="8"/>
  <c r="L35" i="8"/>
  <c r="L36" i="8" s="1"/>
  <c r="G35" i="8"/>
  <c r="S16" i="8"/>
  <c r="R16" i="8"/>
  <c r="G106" i="8" s="1"/>
  <c r="P16" i="8"/>
  <c r="Q16" i="8" s="1"/>
  <c r="O16" i="8"/>
  <c r="N16" i="8"/>
  <c r="M16" i="8"/>
  <c r="K16" i="8"/>
  <c r="L16" i="8" s="1"/>
  <c r="J16" i="8"/>
  <c r="J17" i="8" s="1"/>
  <c r="I16" i="8"/>
  <c r="I17" i="8" s="1"/>
  <c r="H16" i="8"/>
  <c r="H17" i="8" s="1"/>
  <c r="F16" i="8"/>
  <c r="T12" i="8"/>
  <c r="S12" i="8"/>
  <c r="R12" i="8"/>
  <c r="Q12" i="8"/>
  <c r="P12" i="8"/>
  <c r="O12" i="8"/>
  <c r="N12" i="8"/>
  <c r="M12" i="8"/>
  <c r="L12" i="8"/>
  <c r="K12" i="8"/>
  <c r="J12" i="8"/>
  <c r="I12" i="8"/>
  <c r="H12" i="8"/>
  <c r="G12" i="8"/>
  <c r="F12" i="8"/>
  <c r="E12" i="8"/>
  <c r="D12" i="8"/>
  <c r="C12" i="8"/>
  <c r="B12" i="8"/>
  <c r="T7" i="8"/>
  <c r="S7" i="8"/>
  <c r="R7" i="8"/>
  <c r="P7" i="8"/>
  <c r="O7" i="8"/>
  <c r="N7" i="8"/>
  <c r="M7" i="8"/>
  <c r="K7" i="8"/>
  <c r="J7" i="8"/>
  <c r="I7" i="8"/>
  <c r="H7" i="8"/>
  <c r="F7" i="8"/>
  <c r="Q6" i="8"/>
  <c r="L6" i="8"/>
  <c r="G6" i="8"/>
  <c r="G9" i="8" s="1"/>
  <c r="T3" i="8"/>
  <c r="S3" i="8"/>
  <c r="R3" i="8"/>
  <c r="P3" i="8"/>
  <c r="O3" i="8"/>
  <c r="N3" i="8"/>
  <c r="M3" i="8"/>
  <c r="K3" i="8"/>
  <c r="J3" i="8"/>
  <c r="I3" i="8"/>
  <c r="H3" i="8"/>
  <c r="F3" i="8"/>
  <c r="Q2" i="8"/>
  <c r="Q22" i="8" s="1"/>
  <c r="L2" i="8"/>
  <c r="L4" i="8" s="1"/>
  <c r="G2" i="8"/>
  <c r="L43" i="5"/>
  <c r="P9" i="5" s="1"/>
  <c r="K43" i="5"/>
  <c r="L44" i="5"/>
  <c r="P10" i="5"/>
  <c r="O10" i="5"/>
  <c r="O9" i="5"/>
  <c r="I8" i="5"/>
  <c r="H8" i="5"/>
  <c r="G8" i="5"/>
  <c r="I7" i="5"/>
  <c r="H7" i="5"/>
  <c r="G7" i="5"/>
  <c r="I6" i="5"/>
  <c r="H6" i="5"/>
  <c r="H9" i="5" s="1"/>
  <c r="G6" i="5"/>
  <c r="G9" i="5" s="1"/>
  <c r="I9" i="5"/>
  <c r="G4" i="5"/>
  <c r="I3" i="5"/>
  <c r="H3" i="5"/>
  <c r="G3" i="5"/>
  <c r="I2" i="5"/>
  <c r="I4" i="5" s="1"/>
  <c r="H2" i="5"/>
  <c r="H4" i="5" s="1"/>
  <c r="G2" i="5"/>
  <c r="B7" i="5"/>
  <c r="B6" i="5"/>
  <c r="I41" i="5"/>
  <c r="H41" i="5"/>
  <c r="G41" i="5"/>
  <c r="F41" i="5"/>
  <c r="E41" i="5"/>
  <c r="D41" i="5"/>
  <c r="C41" i="5"/>
  <c r="B41" i="5"/>
  <c r="G36" i="5"/>
  <c r="F36" i="5"/>
  <c r="E36" i="5"/>
  <c r="D36" i="5"/>
  <c r="C36" i="5"/>
  <c r="B36" i="5"/>
  <c r="G45" i="5"/>
  <c r="G43" i="5"/>
  <c r="G26" i="5"/>
  <c r="G39" i="5"/>
  <c r="G38" i="5"/>
  <c r="G40" i="5" s="1"/>
  <c r="G34" i="5"/>
  <c r="G33" i="5"/>
  <c r="G30" i="5"/>
  <c r="G24" i="5"/>
  <c r="G21" i="5"/>
  <c r="G19" i="5"/>
  <c r="H23" i="5"/>
  <c r="H19" i="5"/>
  <c r="H28" i="5"/>
  <c r="H31" i="5"/>
  <c r="H32" i="5" s="1"/>
  <c r="H35" i="5"/>
  <c r="H45" i="5"/>
  <c r="I23" i="5"/>
  <c r="J23" i="5"/>
  <c r="K23" i="5" s="1"/>
  <c r="I19" i="5"/>
  <c r="I28" i="5"/>
  <c r="I29" i="5" s="1"/>
  <c r="J28" i="5"/>
  <c r="I31" i="5"/>
  <c r="I32" i="5" s="1"/>
  <c r="J31" i="5"/>
  <c r="I35" i="5"/>
  <c r="I36" i="5" s="1"/>
  <c r="J35" i="5"/>
  <c r="I45" i="5"/>
  <c r="J45" i="5"/>
  <c r="O10" i="8" l="1"/>
  <c r="Q9" i="8"/>
  <c r="F17" i="8"/>
  <c r="G16" i="8"/>
  <c r="P10" i="8"/>
  <c r="U10" i="8"/>
  <c r="D58" i="8"/>
  <c r="I58" i="8"/>
  <c r="N58" i="8"/>
  <c r="S58" i="8"/>
  <c r="V9" i="8"/>
  <c r="V10" i="8" s="1"/>
  <c r="H10" i="8"/>
  <c r="M10" i="8"/>
  <c r="R10" i="8"/>
  <c r="W10" i="8"/>
  <c r="Q4" i="8"/>
  <c r="V4" i="8"/>
  <c r="L9" i="8"/>
  <c r="L10" i="8" s="1"/>
  <c r="I10" i="8"/>
  <c r="AA2" i="8"/>
  <c r="AA3" i="8" s="1"/>
  <c r="AB3" i="8" s="1"/>
  <c r="AB2" i="8" s="1"/>
  <c r="AB4" i="8" s="1"/>
  <c r="B58" i="8"/>
  <c r="F58" i="8"/>
  <c r="K58" i="8"/>
  <c r="P58" i="8"/>
  <c r="T10" i="8"/>
  <c r="Q10" i="8"/>
  <c r="W13" i="8"/>
  <c r="U58" i="8"/>
  <c r="J31" i="8"/>
  <c r="O31" i="8"/>
  <c r="W58" i="8"/>
  <c r="J10" i="8"/>
  <c r="N10" i="8"/>
  <c r="C58" i="8"/>
  <c r="H58" i="8"/>
  <c r="M58" i="8"/>
  <c r="R58" i="8"/>
  <c r="V48" i="8"/>
  <c r="F52" i="8"/>
  <c r="F10" i="8"/>
  <c r="W26" i="8"/>
  <c r="O29" i="8"/>
  <c r="T29" i="8"/>
  <c r="V56" i="8"/>
  <c r="Q38" i="8"/>
  <c r="Q54" i="8" s="1"/>
  <c r="L7" i="8"/>
  <c r="Q36" i="8"/>
  <c r="V57" i="8"/>
  <c r="V58" i="8" s="1"/>
  <c r="R52" i="8"/>
  <c r="J56" i="8"/>
  <c r="G38" i="8"/>
  <c r="G54" i="8" s="1"/>
  <c r="N49" i="8"/>
  <c r="E58" i="8"/>
  <c r="J58" i="8"/>
  <c r="O58" i="8"/>
  <c r="T58" i="8"/>
  <c r="F31" i="8"/>
  <c r="K31" i="8"/>
  <c r="K32" i="8" s="1"/>
  <c r="P31" i="8"/>
  <c r="I31" i="8"/>
  <c r="W49" i="8"/>
  <c r="V54" i="8"/>
  <c r="B52" i="8"/>
  <c r="K54" i="8"/>
  <c r="E54" i="8"/>
  <c r="T56" i="8"/>
  <c r="G28" i="8"/>
  <c r="K29" i="8"/>
  <c r="V36" i="8"/>
  <c r="U49" i="8"/>
  <c r="J52" i="8"/>
  <c r="M54" i="8"/>
  <c r="AB88" i="8"/>
  <c r="AC3" i="8"/>
  <c r="AB39" i="8"/>
  <c r="O88" i="8"/>
  <c r="O87" i="8" s="1"/>
  <c r="AA52" i="8"/>
  <c r="AA54" i="8"/>
  <c r="AA56" i="8"/>
  <c r="C78" i="8"/>
  <c r="C77" i="8" s="1"/>
  <c r="S88" i="8"/>
  <c r="R78" i="8"/>
  <c r="R80" i="8" s="1"/>
  <c r="AC88" i="8"/>
  <c r="AC87" i="8" s="1"/>
  <c r="O78" i="8"/>
  <c r="O80" i="8" s="1"/>
  <c r="S78" i="8"/>
  <c r="AC78" i="8"/>
  <c r="AC80" i="8" s="1"/>
  <c r="P88" i="8"/>
  <c r="P87" i="8" s="1"/>
  <c r="T88" i="8"/>
  <c r="AD88" i="8"/>
  <c r="AA58" i="8"/>
  <c r="AA88" i="8"/>
  <c r="AA87" i="8" s="1"/>
  <c r="P78" i="8"/>
  <c r="T78" i="8"/>
  <c r="T80" i="8" s="1"/>
  <c r="AD78" i="8"/>
  <c r="AD80" i="8" s="1"/>
  <c r="Q88" i="8"/>
  <c r="Q87" i="8" s="1"/>
  <c r="AE88" i="8"/>
  <c r="AE87" i="8" s="1"/>
  <c r="B78" i="8"/>
  <c r="Q78" i="8"/>
  <c r="Q80" i="8" s="1"/>
  <c r="AA78" i="8"/>
  <c r="AA80" i="8" s="1"/>
  <c r="AE78" i="8"/>
  <c r="AE80" i="8" s="1"/>
  <c r="R88" i="8"/>
  <c r="R87" i="8" s="1"/>
  <c r="N52" i="8"/>
  <c r="V52" i="8"/>
  <c r="N56" i="8"/>
  <c r="L28" i="8"/>
  <c r="V23" i="8"/>
  <c r="U23" i="8"/>
  <c r="P29" i="8"/>
  <c r="U29" i="8"/>
  <c r="V44" i="8"/>
  <c r="V49" i="8" s="1"/>
  <c r="V47" i="8"/>
  <c r="C52" i="8"/>
  <c r="K52" i="8"/>
  <c r="O52" i="8"/>
  <c r="S52" i="8"/>
  <c r="T54" i="8"/>
  <c r="N54" i="8"/>
  <c r="H54" i="8"/>
  <c r="F54" i="8"/>
  <c r="E56" i="8"/>
  <c r="O56" i="8"/>
  <c r="B54" i="8"/>
  <c r="AA39" i="8"/>
  <c r="Q28" i="8"/>
  <c r="Q29" i="8" s="1"/>
  <c r="W23" i="8"/>
  <c r="M29" i="8"/>
  <c r="R29" i="8"/>
  <c r="W29" i="8"/>
  <c r="U39" i="8"/>
  <c r="W39" i="8"/>
  <c r="D52" i="8"/>
  <c r="H52" i="8"/>
  <c r="P52" i="8"/>
  <c r="W54" i="8"/>
  <c r="U54" i="8"/>
  <c r="I54" i="8"/>
  <c r="C54" i="8"/>
  <c r="F56" i="8"/>
  <c r="P56" i="8"/>
  <c r="R56" i="8"/>
  <c r="B56" i="8"/>
  <c r="X39" i="8"/>
  <c r="S54" i="8"/>
  <c r="D56" i="8"/>
  <c r="C60" i="8"/>
  <c r="R60" i="8"/>
  <c r="U20" i="8"/>
  <c r="N31" i="8"/>
  <c r="S31" i="8"/>
  <c r="U26" i="8"/>
  <c r="N29" i="8"/>
  <c r="S29" i="8"/>
  <c r="E52" i="8"/>
  <c r="I52" i="8"/>
  <c r="M52" i="8"/>
  <c r="U52" i="8"/>
  <c r="R54" i="8"/>
  <c r="D54" i="8"/>
  <c r="C56" i="8"/>
  <c r="I56" i="8"/>
  <c r="M56" i="8"/>
  <c r="W56" i="8"/>
  <c r="W31" i="8"/>
  <c r="W32" i="8" s="1"/>
  <c r="V42" i="8"/>
  <c r="L22" i="8"/>
  <c r="Q25" i="8"/>
  <c r="U13" i="8"/>
  <c r="U31" i="8"/>
  <c r="U32" i="8" s="1"/>
  <c r="V28" i="8"/>
  <c r="R31" i="8"/>
  <c r="G19" i="8"/>
  <c r="P17" i="8"/>
  <c r="R39" i="8"/>
  <c r="L47" i="8"/>
  <c r="G25" i="8"/>
  <c r="Q19" i="8"/>
  <c r="G22" i="8"/>
  <c r="L25" i="8"/>
  <c r="L19" i="8"/>
  <c r="Q67" i="8"/>
  <c r="AA16" i="8"/>
  <c r="L17" i="8"/>
  <c r="V13" i="8"/>
  <c r="D100" i="8"/>
  <c r="V3" i="8"/>
  <c r="U17" i="8"/>
  <c r="V19" i="8"/>
  <c r="J67" i="8"/>
  <c r="V7" i="8"/>
  <c r="W17" i="8"/>
  <c r="V25" i="8"/>
  <c r="K20" i="8"/>
  <c r="K17" i="8"/>
  <c r="N20" i="8"/>
  <c r="K13" i="8"/>
  <c r="O13" i="8"/>
  <c r="S13" i="8"/>
  <c r="P20" i="8"/>
  <c r="G48" i="8"/>
  <c r="M49" i="8"/>
  <c r="F107" i="8"/>
  <c r="L3" i="8"/>
  <c r="O17" i="8"/>
  <c r="O32" i="8"/>
  <c r="K23" i="8"/>
  <c r="B64" i="8"/>
  <c r="B67" i="8"/>
  <c r="F67" i="8"/>
  <c r="S87" i="8"/>
  <c r="L38" i="8"/>
  <c r="Q39" i="8" s="1"/>
  <c r="C49" i="8"/>
  <c r="F13" i="8"/>
  <c r="J13" i="8"/>
  <c r="N13" i="8"/>
  <c r="R13" i="8"/>
  <c r="M17" i="8"/>
  <c r="J49" i="8"/>
  <c r="D60" i="8"/>
  <c r="N60" i="8"/>
  <c r="S60" i="8"/>
  <c r="P23" i="8"/>
  <c r="N39" i="8"/>
  <c r="I49" i="8"/>
  <c r="T26" i="8"/>
  <c r="Q48" i="8"/>
  <c r="N17" i="8"/>
  <c r="T17" i="8"/>
  <c r="O20" i="8"/>
  <c r="M23" i="8"/>
  <c r="H13" i="8"/>
  <c r="L13" i="8"/>
  <c r="P13" i="8"/>
  <c r="T13" i="8"/>
  <c r="N23" i="8"/>
  <c r="F32" i="8"/>
  <c r="P26" i="8"/>
  <c r="K39" i="8"/>
  <c r="J39" i="8"/>
  <c r="Q44" i="8"/>
  <c r="Q49" i="8" s="1"/>
  <c r="B60" i="8"/>
  <c r="F60" i="8"/>
  <c r="K60" i="8"/>
  <c r="O60" i="8"/>
  <c r="T60" i="8"/>
  <c r="K49" i="8"/>
  <c r="F64" i="8"/>
  <c r="D67" i="8"/>
  <c r="I67" i="8"/>
  <c r="M67" i="8"/>
  <c r="T87" i="8"/>
  <c r="AD87" i="8"/>
  <c r="N64" i="8"/>
  <c r="E49" i="8"/>
  <c r="D49" i="8"/>
  <c r="Q7" i="8"/>
  <c r="Q17" i="8"/>
  <c r="T20" i="8"/>
  <c r="O26" i="8"/>
  <c r="R49" i="8"/>
  <c r="M39" i="8"/>
  <c r="G44" i="8"/>
  <c r="H49" i="8"/>
  <c r="L44" i="8"/>
  <c r="P49" i="8"/>
  <c r="J64" i="8"/>
  <c r="E67" i="8"/>
  <c r="N67" i="8"/>
  <c r="R67" i="8"/>
  <c r="AB87" i="8"/>
  <c r="Q3" i="8"/>
  <c r="K26" i="8"/>
  <c r="S39" i="8"/>
  <c r="S67" i="8"/>
  <c r="S17" i="8"/>
  <c r="O67" i="8"/>
  <c r="O39" i="8"/>
  <c r="I32" i="8"/>
  <c r="H32" i="8"/>
  <c r="H60" i="8"/>
  <c r="P60" i="8"/>
  <c r="F106" i="8"/>
  <c r="E106" i="8"/>
  <c r="H39" i="8"/>
  <c r="H64" i="8"/>
  <c r="P39" i="8"/>
  <c r="P64" i="8"/>
  <c r="I39" i="8"/>
  <c r="G47" i="8"/>
  <c r="L48" i="8"/>
  <c r="O49" i="8"/>
  <c r="G57" i="8"/>
  <c r="N26" i="8"/>
  <c r="M26" i="8"/>
  <c r="I60" i="8"/>
  <c r="O64" i="8"/>
  <c r="C67" i="8"/>
  <c r="K67" i="8"/>
  <c r="P80" i="8"/>
  <c r="B75" i="8"/>
  <c r="S80" i="8"/>
  <c r="AB80" i="8"/>
  <c r="R17" i="8"/>
  <c r="Q42" i="8"/>
  <c r="S49" i="8"/>
  <c r="O23" i="8"/>
  <c r="R26" i="8"/>
  <c r="T39" i="8"/>
  <c r="T64" i="8"/>
  <c r="T49" i="8"/>
  <c r="I13" i="8"/>
  <c r="M13" i="8"/>
  <c r="Q13" i="8"/>
  <c r="M20" i="8"/>
  <c r="T23" i="8"/>
  <c r="J60" i="8"/>
  <c r="Q47" i="8"/>
  <c r="L57" i="8"/>
  <c r="Q57" i="8"/>
  <c r="Q58" i="8" s="1"/>
  <c r="E60" i="8"/>
  <c r="M60" i="8"/>
  <c r="K64" i="8"/>
  <c r="S64" i="8"/>
  <c r="H67" i="8"/>
  <c r="P67" i="8"/>
  <c r="T67" i="8"/>
  <c r="F39" i="8"/>
  <c r="L42" i="8"/>
  <c r="H11" i="5"/>
  <c r="H13" i="5" s="1"/>
  <c r="I11" i="5"/>
  <c r="I13" i="5"/>
  <c r="L23" i="5"/>
  <c r="G25" i="5"/>
  <c r="H36" i="5"/>
  <c r="G27" i="5"/>
  <c r="H29" i="5"/>
  <c r="G22" i="5"/>
  <c r="G28" i="5" s="1"/>
  <c r="G29" i="5" s="1"/>
  <c r="H43" i="5"/>
  <c r="G23" i="5"/>
  <c r="H20" i="5"/>
  <c r="H30" i="5"/>
  <c r="J43" i="5"/>
  <c r="J38" i="5" s="1"/>
  <c r="J30" i="5"/>
  <c r="I30" i="5"/>
  <c r="I43" i="5"/>
  <c r="I38" i="5"/>
  <c r="I40" i="5"/>
  <c r="L58" i="8" l="1"/>
  <c r="G67" i="8"/>
  <c r="G49" i="8"/>
  <c r="L29" i="8"/>
  <c r="G58" i="8"/>
  <c r="L26" i="8"/>
  <c r="G56" i="8"/>
  <c r="AB16" i="8"/>
  <c r="AB35" i="8" s="1"/>
  <c r="AA35" i="8"/>
  <c r="AA36" i="8" s="1"/>
  <c r="Q64" i="8"/>
  <c r="G64" i="8"/>
  <c r="Q56" i="8"/>
  <c r="G52" i="8"/>
  <c r="L54" i="8"/>
  <c r="Q52" i="8"/>
  <c r="V39" i="8"/>
  <c r="AC2" i="8"/>
  <c r="AC4" i="8" s="1"/>
  <c r="AD3" i="8"/>
  <c r="L64" i="8"/>
  <c r="V26" i="8"/>
  <c r="V29" i="8"/>
  <c r="L23" i="8"/>
  <c r="V60" i="8"/>
  <c r="L56" i="8"/>
  <c r="L52" i="8"/>
  <c r="V20" i="8"/>
  <c r="V31" i="8"/>
  <c r="V32" i="8" s="1"/>
  <c r="L31" i="8"/>
  <c r="L32" i="8" s="1"/>
  <c r="L20" i="8"/>
  <c r="Q31" i="8"/>
  <c r="Q32" i="8" s="1"/>
  <c r="Q20" i="8"/>
  <c r="Q23" i="8"/>
  <c r="G31" i="8"/>
  <c r="G32" i="8" s="1"/>
  <c r="Q26" i="8"/>
  <c r="L39" i="8"/>
  <c r="L67" i="8"/>
  <c r="L49" i="8"/>
  <c r="V17" i="8"/>
  <c r="Q60" i="8"/>
  <c r="G60" i="8"/>
  <c r="S23" i="8"/>
  <c r="J32" i="8"/>
  <c r="N32" i="8"/>
  <c r="S26" i="8"/>
  <c r="L60" i="8"/>
  <c r="R23" i="8"/>
  <c r="S20" i="8"/>
  <c r="AD79" i="8"/>
  <c r="T79" i="8"/>
  <c r="P79" i="8"/>
  <c r="AB79" i="8"/>
  <c r="AC79" i="8"/>
  <c r="S79" i="8"/>
  <c r="O79" i="8"/>
  <c r="B80" i="8"/>
  <c r="R79" i="8"/>
  <c r="AE79" i="8"/>
  <c r="B79" i="8"/>
  <c r="B77" i="8" s="1"/>
  <c r="Q79" i="8"/>
  <c r="AA79" i="8"/>
  <c r="P32" i="8"/>
  <c r="R20" i="8"/>
  <c r="J44" i="5"/>
  <c r="J40" i="5"/>
  <c r="J39" i="5" s="1"/>
  <c r="G31" i="5"/>
  <c r="H38" i="5"/>
  <c r="H44" i="5"/>
  <c r="H40" i="5"/>
  <c r="I39" i="5"/>
  <c r="AB36" i="8" l="1"/>
  <c r="AC16" i="8"/>
  <c r="AC35" i="8" s="1"/>
  <c r="AE3" i="8"/>
  <c r="AD2" i="8"/>
  <c r="AD4" i="8" s="1"/>
  <c r="M32" i="8"/>
  <c r="T32" i="8"/>
  <c r="AB77" i="8"/>
  <c r="R77" i="8"/>
  <c r="AD77" i="8"/>
  <c r="P77" i="8"/>
  <c r="T77" i="8"/>
  <c r="S77" i="8"/>
  <c r="O77" i="8"/>
  <c r="AC77" i="8"/>
  <c r="Q77" i="8"/>
  <c r="AE77" i="8"/>
  <c r="AA77" i="8"/>
  <c r="S32" i="8"/>
  <c r="R32" i="8"/>
  <c r="G35" i="5"/>
  <c r="G32" i="5"/>
  <c r="H39" i="5"/>
  <c r="J29" i="5" l="1"/>
  <c r="AC36" i="8"/>
  <c r="AD16" i="8"/>
  <c r="AD35" i="8" s="1"/>
  <c r="J41" i="5"/>
  <c r="K41" i="5" s="1"/>
  <c r="L41" i="5" s="1"/>
  <c r="J36" i="5"/>
  <c r="K36" i="5" s="1"/>
  <c r="L36" i="5" s="1"/>
  <c r="AE2" i="8"/>
  <c r="AE4" i="8" s="1"/>
  <c r="F39" i="5"/>
  <c r="E39" i="5"/>
  <c r="D39" i="5"/>
  <c r="C39" i="5"/>
  <c r="F38" i="5"/>
  <c r="E38" i="5"/>
  <c r="D38" i="5"/>
  <c r="C38" i="5"/>
  <c r="B39" i="5"/>
  <c r="B38" i="5"/>
  <c r="F40" i="5"/>
  <c r="AE16" i="8" l="1"/>
  <c r="AE35" i="8" s="1"/>
  <c r="L35" i="5" s="1"/>
  <c r="L45" i="5" s="1"/>
  <c r="O2" i="5"/>
  <c r="O3" i="5" s="1"/>
  <c r="J32" i="5"/>
  <c r="K32" i="5" s="1"/>
  <c r="L32" i="5" s="1"/>
  <c r="J20" i="5"/>
  <c r="AC39" i="8"/>
  <c r="K29" i="5"/>
  <c r="L29" i="5" s="1"/>
  <c r="P4" i="5" s="1"/>
  <c r="AD36" i="8"/>
  <c r="I20" i="5"/>
  <c r="F30" i="5"/>
  <c r="E30" i="5"/>
  <c r="D30" i="5"/>
  <c r="C30" i="5"/>
  <c r="B30" i="5"/>
  <c r="A18" i="5"/>
  <c r="F18" i="5"/>
  <c r="E18" i="5"/>
  <c r="D18" i="5"/>
  <c r="C18" i="5"/>
  <c r="B18" i="5"/>
  <c r="O6" i="5" l="1"/>
  <c r="O14" i="5" s="1"/>
  <c r="L22" i="5"/>
  <c r="L21" i="5" s="1"/>
  <c r="L40" i="5"/>
  <c r="L31" i="5"/>
  <c r="P2" i="5"/>
  <c r="P3" i="5" s="1"/>
  <c r="AE36" i="8"/>
  <c r="L28" i="5"/>
  <c r="K31" i="5"/>
  <c r="K40" i="5"/>
  <c r="K22" i="5"/>
  <c r="K21" i="5" s="1"/>
  <c r="K35" i="5"/>
  <c r="K45" i="5" s="1"/>
  <c r="K28" i="5"/>
  <c r="D43" i="5"/>
  <c r="D26" i="5"/>
  <c r="D45" i="5"/>
  <c r="C45" i="5"/>
  <c r="C43" i="5"/>
  <c r="C26" i="5"/>
  <c r="E26" i="5"/>
  <c r="E27" i="5" s="1"/>
  <c r="E45" i="5"/>
  <c r="E43" i="5"/>
  <c r="B45" i="5"/>
  <c r="B43" i="5"/>
  <c r="B26" i="5"/>
  <c r="B27" i="5" s="1"/>
  <c r="F45" i="5"/>
  <c r="F43" i="5"/>
  <c r="G44" i="5" s="1"/>
  <c r="F26" i="5"/>
  <c r="B21" i="5"/>
  <c r="B22" i="5" s="1"/>
  <c r="B19" i="5"/>
  <c r="B34" i="5"/>
  <c r="B33" i="5"/>
  <c r="B24" i="5"/>
  <c r="B25" i="5" s="1"/>
  <c r="C34" i="5"/>
  <c r="C24" i="5"/>
  <c r="C19" i="5"/>
  <c r="C20" i="5" s="1"/>
  <c r="C33" i="5"/>
  <c r="C21" i="5"/>
  <c r="D24" i="5"/>
  <c r="D19" i="5"/>
  <c r="D33" i="5"/>
  <c r="D21" i="5"/>
  <c r="D34" i="5"/>
  <c r="F21" i="5"/>
  <c r="F34" i="5"/>
  <c r="F33" i="5"/>
  <c r="F24" i="5"/>
  <c r="F19" i="5"/>
  <c r="E33" i="5"/>
  <c r="E21" i="5"/>
  <c r="E19" i="5"/>
  <c r="E34" i="5"/>
  <c r="E24" i="5"/>
  <c r="E25" i="5" s="1"/>
  <c r="I44" i="5"/>
  <c r="E40" i="5"/>
  <c r="D40" i="5"/>
  <c r="B40" i="5"/>
  <c r="C40" i="5"/>
  <c r="P6" i="5" l="1"/>
  <c r="P14" i="5" s="1"/>
  <c r="E22" i="5"/>
  <c r="B28" i="5"/>
  <c r="B29" i="5" s="1"/>
  <c r="B23" i="5"/>
  <c r="E28" i="5"/>
  <c r="E29" i="5" s="1"/>
  <c r="E23" i="5"/>
  <c r="F25" i="5"/>
  <c r="D25" i="5"/>
  <c r="C25" i="5"/>
  <c r="C27" i="5"/>
  <c r="D27" i="5"/>
  <c r="F20" i="5"/>
  <c r="G20" i="5"/>
  <c r="F27" i="5"/>
  <c r="F22" i="5"/>
  <c r="D44" i="5"/>
  <c r="B8" i="5"/>
  <c r="E44" i="5"/>
  <c r="F44" i="5"/>
  <c r="C44" i="5"/>
  <c r="C22" i="5"/>
  <c r="D22" i="5"/>
  <c r="D20" i="5"/>
  <c r="E20" i="5"/>
  <c r="P12" i="5" l="1"/>
  <c r="O12" i="5"/>
  <c r="O13" i="5"/>
  <c r="P13" i="5"/>
  <c r="D13" i="5"/>
  <c r="C14" i="5"/>
  <c r="B16" i="5"/>
  <c r="D11" i="5"/>
  <c r="C13" i="5"/>
  <c r="B15" i="5"/>
  <c r="B11" i="5"/>
  <c r="C15" i="5"/>
  <c r="B13" i="5"/>
  <c r="D15" i="5"/>
  <c r="C16" i="5"/>
  <c r="B14" i="5"/>
  <c r="D14" i="5"/>
  <c r="C11" i="5"/>
  <c r="D16" i="5"/>
  <c r="D12" i="5"/>
  <c r="D28" i="5"/>
  <c r="D29" i="5" s="1"/>
  <c r="D23" i="5"/>
  <c r="C23" i="5"/>
  <c r="C28" i="5"/>
  <c r="C29" i="5" s="1"/>
  <c r="F28" i="5"/>
  <c r="F29" i="5" s="1"/>
  <c r="F23" i="5"/>
  <c r="B31" i="5"/>
  <c r="E31" i="5"/>
  <c r="P11" i="5" l="1"/>
  <c r="P8" i="5" s="1"/>
  <c r="P20" i="5" s="1"/>
  <c r="O11" i="5"/>
  <c r="O8" i="5" s="1"/>
  <c r="F31" i="5"/>
  <c r="E35" i="5"/>
  <c r="E32" i="5"/>
  <c r="B35" i="5"/>
  <c r="B32" i="5"/>
  <c r="F35" i="5"/>
  <c r="F32" i="5"/>
  <c r="C31" i="5"/>
  <c r="D31" i="5"/>
  <c r="I22" i="5"/>
  <c r="I21" i="5" s="1"/>
  <c r="J22" i="5"/>
  <c r="C12" i="5" s="1"/>
  <c r="H22" i="5"/>
  <c r="P16" i="5" l="1"/>
  <c r="P22" i="5" s="1"/>
  <c r="O19" i="5"/>
  <c r="O20" i="5" s="1"/>
  <c r="O16" i="5"/>
  <c r="O22" i="5" s="1"/>
  <c r="H21" i="5"/>
  <c r="B12" i="5"/>
  <c r="J21" i="5"/>
  <c r="C35" i="5"/>
  <c r="C32" i="5"/>
  <c r="D35" i="5"/>
  <c r="D3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2" authorId="0" shapeId="0" xr:uid="{E03BAEDB-0BD6-4CE9-93D4-6D0225CBA7D5}">
      <text>
        <r>
          <rPr>
            <sz val="11"/>
            <color theme="1"/>
            <rFont val="Arial"/>
            <family val="2"/>
          </rPr>
          <t xml:space="preserve">Zack Morris:
We believe that the number of active accounts is a relevant measure to gauge the size of our user base. We define active accounts as the number of
distinct user accounts that have streamed content on our platform within the last 30 days of the period. Users who streamed content from The Roku Channel
only on non-Roku platforms are not included in this metric. The number of active accounts also does not correspond to the number of unique individuals who
actively utilize our platform, or the number of devices associated with an account. For example, a single account may be used by more than one individual,
such as a family, and one account may be used on multiple streaming devices.
</t>
        </r>
      </text>
    </comment>
    <comment ref="A6" authorId="0" shapeId="0" xr:uid="{E560A34A-9960-40B3-80D9-839A6E277297}">
      <text>
        <r>
          <rPr>
            <sz val="11"/>
            <color theme="1"/>
            <rFont val="Arial"/>
            <family val="2"/>
          </rPr>
          <t xml:space="preserve">Zack Morris:
We believe the number of streaming hours on our platform is an effective measure of user engagement and that the growth in the number of hours of
content streamed across our platform reflects our success in addressing the growing user demand for TV streaming. We define streaming hours as the aggregate
amount of time streaming devices stream content on our platform in a given period. Hours streamed on non-Roku platforms are not included in this metric. We
report streaming hours on a calendar basis.
Additionally, we believe that over time, increasing user engagement on our streaming platform increases our platform monetization because we earn
platform revenue from advertising as well as from revenue shares from subscriptions and transactional video on-demand. However, our revenue from content
publishers is not tied to the hours streamed on their streaming channels, and the number of streaming hours does not correlate to revenue earned from such
content publishers or ARPU on a period-by-period basis. Moreover, streaming hours on our platform are measured whenever a Roku player or a Roku TV is
streaming content, whether a viewer is actively watching or not. For example, if a Roku player is connected to a TV, and the viewer turns off the TV, steps
away or falls asleep and does not stop or pause the player, then the particular streaming channel may auto-play subsequent content for a period of time
determined by the streaming channel. We believe that this also occurs across a wide variety of non-Roku streaming devices and other set-top boxes.
During the third quarter of 2019, we began rolling out a new Roku OS feature that is designed to identify when content has been continuously
streaming on a channel for an extended period of time without user interaction. This feature, which we refer to as “Are you still watching,” periodically
prompts the user to confirm that they are still watching the selected channel and closes the channel if the user does not respond affirmatively. We believe that
implementing this new feature across the Roku platform will benefit us, our customers, channel partners and advertisers. Some of our leading channel partners,
including Netflix, have already implemented similar features within their channels. “Are you still watching” supplements these channel features. We began
rolling out to our entire installed base during 2019 and completed the rollout in the first quarter of 2020. While we expect continued robust growth in our
aggregate streaming hours as we grow active accounts and user engagement, we believe our year-over-year growth rates of streaming hours reported in 2020
are likely to be lower than the year-over-year growth rates we reported in 2019. We do not expect the rollout of this feature to have a material impact on our
future financial performance.
</t>
        </r>
      </text>
    </comment>
    <comment ref="A16" authorId="0" shapeId="0" xr:uid="{CC80605B-062F-413F-ABA5-FE76A5ED94B5}">
      <text>
        <r>
          <rPr>
            <sz val="11"/>
            <color theme="1"/>
            <rFont val="Arial"/>
            <family val="2"/>
          </rPr>
          <t xml:space="preserve">Zack Morris:
We measure our platform monetization progress with ARPU. We define ARPU as our platform revenue for the trailing four quarters divided by the
average of the number of active accounts at the end of the current period and the end of the corresponding period in the prior year. ARPU measures the rate at
which we are monetizing our active account base and the progress of our platform business.
</t>
        </r>
      </text>
    </comment>
  </commentList>
</comments>
</file>

<file path=xl/sharedStrings.xml><?xml version="1.0" encoding="utf-8"?>
<sst xmlns="http://schemas.openxmlformats.org/spreadsheetml/2006/main" count="454" uniqueCount="273">
  <si>
    <t>Field Name</t>
  </si>
  <si>
    <t>FY14</t>
  </si>
  <si>
    <t>FY15</t>
  </si>
  <si>
    <t>FY16</t>
  </si>
  <si>
    <t>FY17</t>
  </si>
  <si>
    <t>FY18</t>
  </si>
  <si>
    <t>FY19</t>
  </si>
  <si>
    <t/>
  </si>
  <si>
    <t>All Financials displayed in millions</t>
  </si>
  <si>
    <t>Revenue</t>
  </si>
  <si>
    <t>Total Revenue</t>
  </si>
  <si>
    <t>Cost of Revenue, Total</t>
  </si>
  <si>
    <t>Gross Profit</t>
  </si>
  <si>
    <t>Selling/General/Admin. Expenses, Total</t>
  </si>
  <si>
    <t>Unusual Expense (Income)</t>
  </si>
  <si>
    <t>Operating Income</t>
  </si>
  <si>
    <t>Interest Inc.(Exp.),Net-Non-Op., Total</t>
  </si>
  <si>
    <t>Other, Net</t>
  </si>
  <si>
    <t>-</t>
  </si>
  <si>
    <t>Net Income Before Taxes</t>
  </si>
  <si>
    <t>Provision for Income Taxes</t>
  </si>
  <si>
    <t>Net Income After Taxes</t>
  </si>
  <si>
    <t>Net Income Before Extra. Items</t>
  </si>
  <si>
    <t>Net Income</t>
  </si>
  <si>
    <t>Diluted Net Income</t>
  </si>
  <si>
    <t>Diluted Weighted Average Shares</t>
  </si>
  <si>
    <t>Diluted EPS Excluding ExtraOrd Items</t>
  </si>
  <si>
    <t>Diluted Normalized EPS</t>
  </si>
  <si>
    <t>DPS - Common Stock Primary Issue</t>
  </si>
  <si>
    <t>Total Operating Expense</t>
  </si>
  <si>
    <t>Income Available to Com Excl ExtraOrd</t>
  </si>
  <si>
    <t>Income Available to Com Incl ExtraOrd</t>
  </si>
  <si>
    <t>Cash and Short Term Investments</t>
  </si>
  <si>
    <t>Total Receivables, Net</t>
  </si>
  <si>
    <t>Total Inventory</t>
  </si>
  <si>
    <t>Other Current Assets, Total</t>
  </si>
  <si>
    <t>Total Current Assets</t>
  </si>
  <si>
    <t>Property/Plant/Equipment, Total - Net</t>
  </si>
  <si>
    <t>Goodwill, Net</t>
  </si>
  <si>
    <t>Intangibles, Net</t>
  </si>
  <si>
    <t>Other Long Term Assets, Total</t>
  </si>
  <si>
    <t>Total Assets</t>
  </si>
  <si>
    <t>Accounts Payable</t>
  </si>
  <si>
    <t>Accrued Expenses</t>
  </si>
  <si>
    <t>Notes Payable/Short Term Debt</t>
  </si>
  <si>
    <t>Current Port. of  LT Debt/Capital Leases</t>
  </si>
  <si>
    <t>Other Current liabilities, Total</t>
  </si>
  <si>
    <t>Total Current Liabilities</t>
  </si>
  <si>
    <t>Total Long Term Debt</t>
  </si>
  <si>
    <t>Other Liabilities, Total</t>
  </si>
  <si>
    <t>Total Liabilities</t>
  </si>
  <si>
    <t>Common Stock, Total</t>
  </si>
  <si>
    <t>Additional Paid-In Capital</t>
  </si>
  <si>
    <t>Retained Earnings (Accumulated Deficit</t>
  </si>
  <si>
    <t>Other Equity, Total</t>
  </si>
  <si>
    <t>Total Equity</t>
  </si>
  <si>
    <t>Total Liabilities &amp; Shareholders' Equity</t>
  </si>
  <si>
    <t>Total Common Shares Outstanding</t>
  </si>
  <si>
    <t>Tangible Book Value per Share, Common Eq</t>
  </si>
  <si>
    <t>Accounts Receivable - Trade, Net</t>
  </si>
  <si>
    <t>Property/Plant/Equipment, Total - Gross</t>
  </si>
  <si>
    <t>Accumulated Depreciation, Total</t>
  </si>
  <si>
    <t>Long Term Debt</t>
  </si>
  <si>
    <t>Total Debt</t>
  </si>
  <si>
    <t>Net Income/Starting Line</t>
  </si>
  <si>
    <t>Depreciation/Depletion</t>
  </si>
  <si>
    <t>Non-Cash Items</t>
  </si>
  <si>
    <t>Changes in Working Capital</t>
  </si>
  <si>
    <t>Cash from Operating Activities</t>
  </si>
  <si>
    <t>Capital Expenditures</t>
  </si>
  <si>
    <t>Other Investing Cash Flow Items, Total</t>
  </si>
  <si>
    <t>Cash from Investing Activities</t>
  </si>
  <si>
    <t>Financing Cash Flow Items</t>
  </si>
  <si>
    <t>Issuance (Retirement) of Stock, Net</t>
  </si>
  <si>
    <t>Issuance (Retirement) of Debt, Net</t>
  </si>
  <si>
    <t>Cash from Financing Activities</t>
  </si>
  <si>
    <t>Net Change in Cash</t>
  </si>
  <si>
    <t>Cash Interest Paid</t>
  </si>
  <si>
    <t>Cash Taxes Paid</t>
  </si>
  <si>
    <t>Growth</t>
  </si>
  <si>
    <t>Gross Margin</t>
  </si>
  <si>
    <t>EBITDA</t>
  </si>
  <si>
    <t>Change</t>
  </si>
  <si>
    <t>Deprecation and Amortization</t>
  </si>
  <si>
    <t>EBIT</t>
  </si>
  <si>
    <t>Free Cash Flow</t>
  </si>
  <si>
    <t>Market Cap</t>
  </si>
  <si>
    <t>Cash</t>
  </si>
  <si>
    <t>Enterprise Value</t>
  </si>
  <si>
    <t>Valuation</t>
  </si>
  <si>
    <t>FY20</t>
  </si>
  <si>
    <t>FY21</t>
  </si>
  <si>
    <t>EV / Revenue</t>
  </si>
  <si>
    <t>EV / EBITDA</t>
  </si>
  <si>
    <t>Revenue Growth</t>
  </si>
  <si>
    <t>EBITDA Growth</t>
  </si>
  <si>
    <t>EBIT Growth</t>
  </si>
  <si>
    <t>EPS Growth</t>
  </si>
  <si>
    <t>Financials</t>
  </si>
  <si>
    <t>EPS</t>
  </si>
  <si>
    <t>Operating Cash Flow per Share</t>
  </si>
  <si>
    <t>Free Cash Flow per Share</t>
  </si>
  <si>
    <t>Dividend per Share</t>
  </si>
  <si>
    <t>G&amp;A Expense</t>
  </si>
  <si>
    <t>Margins and Ratios</t>
  </si>
  <si>
    <t>EBITDA Margin</t>
  </si>
  <si>
    <t>EBIT Margin</t>
  </si>
  <si>
    <t>Net Income Margin</t>
  </si>
  <si>
    <t>Return on Assets</t>
  </si>
  <si>
    <t>Return on Equity</t>
  </si>
  <si>
    <t>EV/Rev</t>
  </si>
  <si>
    <t>EV/EBITDA</t>
  </si>
  <si>
    <t>EV/Earnings</t>
  </si>
  <si>
    <t>Stock</t>
  </si>
  <si>
    <t>Ticker</t>
  </si>
  <si>
    <t>Price</t>
  </si>
  <si>
    <t>EV/FCF</t>
  </si>
  <si>
    <t>Roku</t>
  </si>
  <si>
    <t>ROKU</t>
  </si>
  <si>
    <t>Research &amp; Development</t>
  </si>
  <si>
    <t>Prepaid Expenses</t>
  </si>
  <si>
    <t>Payable/Accrued</t>
  </si>
  <si>
    <t>Redeemable Preferred Stock, Total</t>
  </si>
  <si>
    <t>Short Term Investments</t>
  </si>
  <si>
    <t>Foreign Exchange Effects</t>
  </si>
  <si>
    <t>21.86x</t>
  </si>
  <si>
    <t>532.82x</t>
  </si>
  <si>
    <t>Multiples</t>
  </si>
  <si>
    <t>2025E</t>
  </si>
  <si>
    <t>FY22</t>
  </si>
  <si>
    <t>FY23</t>
  </si>
  <si>
    <t>15.92x</t>
  </si>
  <si>
    <t>11.52x</t>
  </si>
  <si>
    <t>8.64x</t>
  </si>
  <si>
    <t>231.02x</t>
  </si>
  <si>
    <t>119.93x</t>
  </si>
  <si>
    <t>59.03x</t>
  </si>
  <si>
    <t>N/A</t>
  </si>
  <si>
    <t>869.10x</t>
  </si>
  <si>
    <t>127.26x</t>
  </si>
  <si>
    <t>550.46x</t>
  </si>
  <si>
    <t>137.58x</t>
  </si>
  <si>
    <t>EV / EBIT</t>
  </si>
  <si>
    <t>Price / Earnings</t>
  </si>
  <si>
    <t>FY24</t>
  </si>
  <si>
    <t>FY25</t>
  </si>
  <si>
    <t>% of Revs</t>
  </si>
  <si>
    <t>EV/GP</t>
  </si>
  <si>
    <t>EV/EBIT</t>
  </si>
  <si>
    <t>FCF Margin</t>
  </si>
  <si>
    <t>-Taxes</t>
  </si>
  <si>
    <t>NOPAT</t>
  </si>
  <si>
    <t>+Total Equity</t>
  </si>
  <si>
    <t>-Cash</t>
  </si>
  <si>
    <t>Invested Capital</t>
  </si>
  <si>
    <t>Average Invested Capital</t>
  </si>
  <si>
    <t>ROIC</t>
  </si>
  <si>
    <t>Estimates</t>
  </si>
  <si>
    <t>2023E</t>
  </si>
  <si>
    <t>CAGR</t>
  </si>
  <si>
    <t>Operating Margin</t>
  </si>
  <si>
    <t>Multiple</t>
  </si>
  <si>
    <t>Capitalization</t>
  </si>
  <si>
    <t>Share Price</t>
  </si>
  <si>
    <t>Shares</t>
  </si>
  <si>
    <t>3 yr CAGR</t>
  </si>
  <si>
    <t>Debt</t>
  </si>
  <si>
    <t>EV</t>
  </si>
  <si>
    <t>Annual Return</t>
  </si>
  <si>
    <t>Discount Rate</t>
  </si>
  <si>
    <t>Fair Value today</t>
  </si>
  <si>
    <t>Premium(discount) to fair value</t>
  </si>
  <si>
    <t>Recommendation</t>
  </si>
  <si>
    <t>Key Operating Metrics</t>
  </si>
  <si>
    <t>Q4 16</t>
  </si>
  <si>
    <t>Q1 17</t>
  </si>
  <si>
    <t>Q2 17</t>
  </si>
  <si>
    <t>Q3 17</t>
  </si>
  <si>
    <t>Q4 17</t>
  </si>
  <si>
    <t>Q1 18</t>
  </si>
  <si>
    <t>Q2 18</t>
  </si>
  <si>
    <t>Q3 18</t>
  </si>
  <si>
    <t>Q4 18</t>
  </si>
  <si>
    <t>Q1 19</t>
  </si>
  <si>
    <t>Q2 19</t>
  </si>
  <si>
    <t>Q3 19</t>
  </si>
  <si>
    <t>Q4 19</t>
  </si>
  <si>
    <t>Q1 20</t>
  </si>
  <si>
    <t>Q2 20</t>
  </si>
  <si>
    <t>Q3 20</t>
  </si>
  <si>
    <t>2021E</t>
  </si>
  <si>
    <t>2022E</t>
  </si>
  <si>
    <t>2024E</t>
  </si>
  <si>
    <t>Active Accounts (millions)</t>
  </si>
  <si>
    <t>YoY growth</t>
  </si>
  <si>
    <t>Streaming Hours (billions)</t>
  </si>
  <si>
    <t>Revenue per 1,000 streaming hours</t>
  </si>
  <si>
    <t>Unit Economics</t>
  </si>
  <si>
    <t>ARPU ($)</t>
  </si>
  <si>
    <t>% margin</t>
  </si>
  <si>
    <t>Summary Financials ($ in millions)</t>
  </si>
  <si>
    <t>Platform revenue</t>
  </si>
  <si>
    <t>Player revenue</t>
  </si>
  <si>
    <t>implied</t>
  </si>
  <si>
    <t>Total net revenue</t>
  </si>
  <si>
    <t>anaylst estimates</t>
  </si>
  <si>
    <t>Platform gross profit</t>
  </si>
  <si>
    <t>Player gross profit</t>
  </si>
  <si>
    <t>Total gross profit</t>
  </si>
  <si>
    <t>Platform gross margin</t>
  </si>
  <si>
    <t>Player gross margin</t>
  </si>
  <si>
    <t>Total gross margin</t>
  </si>
  <si>
    <t>R&amp;D</t>
  </si>
  <si>
    <t>S&amp;M</t>
  </si>
  <si>
    <t>G&amp;A</t>
  </si>
  <si>
    <t>Total operating expenses</t>
  </si>
  <si>
    <t>Income (loss) from operations</t>
  </si>
  <si>
    <t>Stock based comp</t>
  </si>
  <si>
    <t>D&amp;A</t>
  </si>
  <si>
    <t>Adjusted EBITDA</t>
  </si>
  <si>
    <t>Adjusted EBITDA margin</t>
  </si>
  <si>
    <t>Adjusted EBITDA incl. SBC</t>
  </si>
  <si>
    <t>margin</t>
  </si>
  <si>
    <t>Implied net margin holding price and EV/Sales mulitple constant, for varying g and r</t>
  </si>
  <si>
    <t>2021 Sales</t>
  </si>
  <si>
    <t>EV/2021 Sales</t>
  </si>
  <si>
    <t>Net margin</t>
  </si>
  <si>
    <t>Payout ratio</t>
  </si>
  <si>
    <t>g</t>
  </si>
  <si>
    <t>r</t>
  </si>
  <si>
    <t>delta</t>
  </si>
  <si>
    <t>Market share</t>
  </si>
  <si>
    <t>https://www.statista.com/statistics/1021332/united-states-connected-tv-devices-market-share/</t>
  </si>
  <si>
    <t>Subscription take rate</t>
  </si>
  <si>
    <t>https://variety.com/2020/streaming/features/roku-premium-streaming-1234748507/amp/</t>
  </si>
  <si>
    <t>Implied EV/Sales multiple and share price holding net margin constant, for varying g and r</t>
  </si>
  <si>
    <t>Ad inventory take rate</t>
  </si>
  <si>
    <t>Service</t>
  </si>
  <si>
    <t>Subs (US millions)</t>
  </si>
  <si>
    <t>Cost/Month</t>
  </si>
  <si>
    <t>Roku annual take</t>
  </si>
  <si>
    <t>Netflix</t>
  </si>
  <si>
    <t>Disney+</t>
  </si>
  <si>
    <t>HBO Max</t>
  </si>
  <si>
    <t>Peacock</t>
  </si>
  <si>
    <t>Hulu</t>
  </si>
  <si>
    <t>ESPN+</t>
  </si>
  <si>
    <t>Apple TV+</t>
  </si>
  <si>
    <t>Amazon Prime Video</t>
  </si>
  <si>
    <t>FuboTV</t>
  </si>
  <si>
    <t>Youtube TV</t>
  </si>
  <si>
    <t>Total</t>
  </si>
  <si>
    <t>2019 Revenue ($mm)</t>
  </si>
  <si>
    <t>Subscribers (mm)</t>
  </si>
  <si>
    <t>Hours Watched (bn)</t>
  </si>
  <si>
    <t>Revenue per sub</t>
  </si>
  <si>
    <t>Revenue per 1,000 Hours Watched ($)</t>
  </si>
  <si>
    <t>ARPU (annual)</t>
  </si>
  <si>
    <t>Youtube</t>
  </si>
  <si>
    <t>Cable</t>
  </si>
  <si>
    <t>Amazon</t>
  </si>
  <si>
    <t>Q4 20</t>
  </si>
  <si>
    <t>Gross profit/user ($)</t>
  </si>
  <si>
    <t>R&amp;D/user</t>
  </si>
  <si>
    <t>S&amp;M/user</t>
  </si>
  <si>
    <t>G&amp;A/user</t>
  </si>
  <si>
    <t>Operating Profit/user</t>
  </si>
  <si>
    <t>Q1 21</t>
  </si>
  <si>
    <t>% revs</t>
  </si>
  <si>
    <t>25% net margins = 5.3x implied EV/S multiple and $109/share</t>
  </si>
  <si>
    <t>current 15x EV/S multiple implies 70% net margins at maturity</t>
  </si>
  <si>
    <t>Streaming Hours/Active Account</t>
  </si>
  <si>
    <t>Net Adds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</si>
</sst>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3" formatCode="_(* #,##0.00_);_(* \(#,##0.00\);_(* &quot;-&quot;??_);_(@_)"/>
    <numFmt numFmtId="164" formatCode="_(* #,##0_);_(* \(#,##0\);_(* &quot;-&quot;??_);_(@_)"/>
    <numFmt numFmtId="165" formatCode="0.0%"/>
    <numFmt numFmtId="166" formatCode="0.0"/>
    <numFmt numFmtId="167" formatCode="_(* #,##0.0_);_(* \(#,##0.0\);_(* &quot;-&quot;??_);_(@_)"/>
  </numFmts>
  <fonts count="11" x14ac:knownFonts="1">
    <font>
      <sz val="11"/>
      <color theme="1"/>
      <name val="Calibri"/>
      <family val="2"/>
      <scheme val="minor"/>
    </font>
    <font>
      <sz val="11"/>
      <color theme="1"/>
      <name val="Calibri"/>
      <family val="2"/>
      <scheme val="minor"/>
    </font>
    <font>
      <i/>
      <sz val="11"/>
      <color theme="1"/>
      <name val="Calibri"/>
      <family val="2"/>
      <scheme val="minor"/>
    </font>
    <font>
      <sz val="8"/>
      <name val="Calibri"/>
      <family val="2"/>
      <scheme val="minor"/>
    </font>
    <font>
      <sz val="11"/>
      <color theme="1"/>
      <name val="Arial"/>
      <family val="2"/>
    </font>
    <font>
      <b/>
      <i/>
      <u/>
      <sz val="11"/>
      <color theme="1"/>
      <name val="Calibri"/>
      <family val="2"/>
    </font>
    <font>
      <sz val="11"/>
      <color theme="1"/>
      <name val="Calibri"/>
      <family val="2"/>
    </font>
    <font>
      <i/>
      <sz val="11"/>
      <color theme="1"/>
      <name val="Calibri"/>
      <family val="2"/>
    </font>
    <font>
      <u/>
      <sz val="11"/>
      <color theme="1"/>
      <name val="Calibri"/>
      <family val="2"/>
    </font>
    <font>
      <u/>
      <sz val="11"/>
      <color rgb="FF0000FF"/>
      <name val="Arial"/>
      <family val="2"/>
    </font>
    <font>
      <u/>
      <sz val="11"/>
      <color rgb="FF0563C1"/>
      <name val="Arial"/>
      <family val="2"/>
    </font>
  </fonts>
  <fills count="4">
    <fill>
      <patternFill patternType="none"/>
    </fill>
    <fill>
      <patternFill patternType="gray125"/>
    </fill>
    <fill>
      <patternFill patternType="solid">
        <fgColor rgb="FFCFE2F3"/>
        <bgColor rgb="FFCFE2F3"/>
      </patternFill>
    </fill>
    <fill>
      <patternFill patternType="solid">
        <fgColor rgb="FFD9E2F3"/>
        <bgColor rgb="FFD9E2F3"/>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cellStyleXfs>
  <cellXfs count="92">
    <xf numFmtId="0" fontId="0" fillId="0" borderId="0" xfId="0"/>
    <xf numFmtId="43" fontId="0" fillId="0" borderId="0" xfId="1" applyNumberFormat="1" applyFont="1"/>
    <xf numFmtId="164" fontId="0" fillId="0" borderId="0" xfId="1" applyNumberFormat="1" applyFont="1"/>
    <xf numFmtId="0" fontId="2" fillId="0" borderId="0" xfId="0" applyFont="1"/>
    <xf numFmtId="0" fontId="0" fillId="0" borderId="0" xfId="0" applyFont="1"/>
    <xf numFmtId="164" fontId="2" fillId="0" borderId="0" xfId="1" applyNumberFormat="1" applyFont="1"/>
    <xf numFmtId="165" fontId="2" fillId="0" borderId="0" xfId="2" applyNumberFormat="1" applyFont="1"/>
    <xf numFmtId="164" fontId="0" fillId="0" borderId="0" xfId="0" applyNumberFormat="1"/>
    <xf numFmtId="43" fontId="0" fillId="0" borderId="0" xfId="0" applyNumberFormat="1"/>
    <xf numFmtId="10" fontId="0" fillId="0" borderId="0" xfId="0" applyNumberFormat="1"/>
    <xf numFmtId="165" fontId="2" fillId="0" borderId="0" xfId="0" applyNumberFormat="1" applyFont="1"/>
    <xf numFmtId="166" fontId="0" fillId="0" borderId="0" xfId="0" applyNumberFormat="1"/>
    <xf numFmtId="8" fontId="0" fillId="0" borderId="0" xfId="0" applyNumberFormat="1"/>
    <xf numFmtId="4" fontId="0" fillId="0" borderId="0" xfId="0" applyNumberFormat="1"/>
    <xf numFmtId="0" fontId="0" fillId="0" borderId="0" xfId="0" quotePrefix="1"/>
    <xf numFmtId="3" fontId="0" fillId="0" borderId="0" xfId="0" applyNumberFormat="1"/>
    <xf numFmtId="165" fontId="0" fillId="0" borderId="0" xfId="2" applyNumberFormat="1" applyFont="1"/>
    <xf numFmtId="9" fontId="2" fillId="0" borderId="0" xfId="2" applyFont="1"/>
    <xf numFmtId="165" fontId="0" fillId="0" borderId="0" xfId="0" applyNumberFormat="1"/>
    <xf numFmtId="9" fontId="2" fillId="0" borderId="0" xfId="0" applyNumberFormat="1" applyFont="1"/>
    <xf numFmtId="10" fontId="0" fillId="0" borderId="0" xfId="2" applyNumberFormat="1" applyFont="1"/>
    <xf numFmtId="9" fontId="0" fillId="0" borderId="0" xfId="0" applyNumberFormat="1"/>
    <xf numFmtId="9" fontId="0" fillId="0" borderId="0" xfId="2" applyFont="1"/>
    <xf numFmtId="0" fontId="5" fillId="0" borderId="0" xfId="3" applyFont="1"/>
    <xf numFmtId="0" fontId="6" fillId="0" borderId="0" xfId="3" applyFont="1"/>
    <xf numFmtId="0" fontId="6" fillId="2" borderId="1" xfId="3" applyFont="1" applyFill="1" applyBorder="1"/>
    <xf numFmtId="0" fontId="6" fillId="3" borderId="0" xfId="3" applyFont="1" applyFill="1"/>
    <xf numFmtId="0" fontId="4" fillId="0" borderId="0" xfId="3"/>
    <xf numFmtId="166" fontId="6" fillId="2" borderId="2" xfId="3" applyNumberFormat="1" applyFont="1" applyFill="1" applyBorder="1"/>
    <xf numFmtId="166" fontId="6" fillId="3" borderId="0" xfId="3" applyNumberFormat="1" applyFont="1" applyFill="1"/>
    <xf numFmtId="0" fontId="7" fillId="0" borderId="0" xfId="3" applyFont="1"/>
    <xf numFmtId="165" fontId="7" fillId="0" borderId="0" xfId="3" applyNumberFormat="1" applyFont="1"/>
    <xf numFmtId="165" fontId="7" fillId="2" borderId="2" xfId="3" applyNumberFormat="1" applyFont="1" applyFill="1" applyBorder="1"/>
    <xf numFmtId="9" fontId="7" fillId="3" borderId="0" xfId="3" applyNumberFormat="1" applyFont="1" applyFill="1"/>
    <xf numFmtId="165" fontId="7" fillId="3" borderId="0" xfId="3" applyNumberFormat="1" applyFont="1" applyFill="1"/>
    <xf numFmtId="9" fontId="7" fillId="0" borderId="0" xfId="3" applyNumberFormat="1" applyFont="1"/>
    <xf numFmtId="0" fontId="6" fillId="2" borderId="2" xfId="3" applyFont="1" applyFill="1" applyBorder="1"/>
    <xf numFmtId="166" fontId="6" fillId="0" borderId="0" xfId="3" applyNumberFormat="1" applyFont="1"/>
    <xf numFmtId="2" fontId="6" fillId="3" borderId="0" xfId="3" applyNumberFormat="1" applyFont="1" applyFill="1"/>
    <xf numFmtId="2" fontId="6" fillId="0" borderId="0" xfId="3" applyNumberFormat="1" applyFont="1"/>
    <xf numFmtId="2" fontId="6" fillId="2" borderId="2" xfId="3" applyNumberFormat="1" applyFont="1" applyFill="1" applyBorder="1"/>
    <xf numFmtId="9" fontId="7" fillId="2" borderId="2" xfId="3" applyNumberFormat="1" applyFont="1" applyFill="1" applyBorder="1"/>
    <xf numFmtId="167" fontId="6" fillId="0" borderId="0" xfId="3" applyNumberFormat="1" applyFont="1"/>
    <xf numFmtId="167" fontId="6" fillId="2" borderId="2" xfId="3" applyNumberFormat="1" applyFont="1" applyFill="1" applyBorder="1"/>
    <xf numFmtId="0" fontId="8" fillId="0" borderId="0" xfId="3" applyFont="1"/>
    <xf numFmtId="167" fontId="6" fillId="3" borderId="0" xfId="3" applyNumberFormat="1" applyFont="1" applyFill="1"/>
    <xf numFmtId="0" fontId="8" fillId="2" borderId="2" xfId="3" applyFont="1" applyFill="1" applyBorder="1"/>
    <xf numFmtId="0" fontId="7" fillId="3" borderId="0" xfId="3" applyFont="1" applyFill="1"/>
    <xf numFmtId="0" fontId="8" fillId="3" borderId="0" xfId="3" applyFont="1" applyFill="1"/>
    <xf numFmtId="167" fontId="8" fillId="0" borderId="0" xfId="3" applyNumberFormat="1" applyFont="1"/>
    <xf numFmtId="165" fontId="6" fillId="3" borderId="0" xfId="3" applyNumberFormat="1" applyFont="1" applyFill="1"/>
    <xf numFmtId="165" fontId="6" fillId="0" borderId="0" xfId="3" applyNumberFormat="1" applyFont="1"/>
    <xf numFmtId="43" fontId="6" fillId="0" borderId="0" xfId="3" applyNumberFormat="1" applyFont="1"/>
    <xf numFmtId="43" fontId="6" fillId="3" borderId="0" xfId="3" applyNumberFormat="1" applyFont="1" applyFill="1"/>
    <xf numFmtId="43" fontId="6" fillId="2" borderId="2" xfId="3" applyNumberFormat="1" applyFont="1" applyFill="1" applyBorder="1"/>
    <xf numFmtId="165" fontId="7" fillId="2" borderId="3" xfId="3" applyNumberFormat="1" applyFont="1" applyFill="1" applyBorder="1"/>
    <xf numFmtId="164" fontId="6" fillId="0" borderId="0" xfId="3" applyNumberFormat="1" applyFont="1"/>
    <xf numFmtId="9" fontId="6" fillId="0" borderId="0" xfId="3" applyNumberFormat="1" applyFont="1"/>
    <xf numFmtId="9" fontId="6" fillId="3" borderId="0" xfId="3" applyNumberFormat="1" applyFont="1" applyFill="1"/>
    <xf numFmtId="0" fontId="9" fillId="0" borderId="0" xfId="3" applyFont="1"/>
    <xf numFmtId="0" fontId="10" fillId="0" borderId="0" xfId="3" applyFont="1"/>
    <xf numFmtId="2" fontId="8" fillId="0" borderId="0" xfId="3" applyNumberFormat="1" applyFont="1"/>
    <xf numFmtId="0" fontId="6" fillId="0" borderId="0" xfId="3" applyFont="1" applyFill="1"/>
    <xf numFmtId="166" fontId="6" fillId="0" borderId="0" xfId="3" applyNumberFormat="1" applyFont="1" applyFill="1"/>
    <xf numFmtId="9" fontId="7" fillId="0" borderId="0" xfId="3" applyNumberFormat="1" applyFont="1" applyFill="1"/>
    <xf numFmtId="2" fontId="6" fillId="0" borderId="0" xfId="3" applyNumberFormat="1" applyFont="1" applyFill="1"/>
    <xf numFmtId="167" fontId="6" fillId="0" borderId="0" xfId="3" applyNumberFormat="1" applyFont="1" applyFill="1"/>
    <xf numFmtId="0" fontId="8" fillId="0" borderId="0" xfId="3" applyFont="1" applyFill="1"/>
    <xf numFmtId="165" fontId="7" fillId="0" borderId="0" xfId="3" applyNumberFormat="1" applyFont="1" applyFill="1"/>
    <xf numFmtId="165" fontId="6" fillId="0" borderId="0" xfId="3" applyNumberFormat="1" applyFont="1" applyFill="1"/>
    <xf numFmtId="43" fontId="6" fillId="0" borderId="0" xfId="3" applyNumberFormat="1" applyFont="1" applyFill="1"/>
    <xf numFmtId="0" fontId="4" fillId="0" borderId="0" xfId="3" applyFill="1"/>
    <xf numFmtId="164" fontId="6" fillId="0" borderId="0" xfId="3" applyNumberFormat="1" applyFont="1" applyFill="1"/>
    <xf numFmtId="9" fontId="6" fillId="0" borderId="0" xfId="3" applyNumberFormat="1" applyFont="1" applyFill="1"/>
    <xf numFmtId="43" fontId="6" fillId="0" borderId="0" xfId="1" applyFont="1"/>
    <xf numFmtId="43" fontId="6" fillId="2" borderId="2" xfId="1" applyFont="1" applyFill="1" applyBorder="1"/>
    <xf numFmtId="43" fontId="6" fillId="0" borderId="0" xfId="1" applyFont="1" applyFill="1"/>
    <xf numFmtId="167" fontId="6" fillId="0" borderId="0" xfId="1" applyNumberFormat="1" applyFont="1" applyFill="1"/>
    <xf numFmtId="9" fontId="7" fillId="0" borderId="0" xfId="2" applyFont="1"/>
    <xf numFmtId="165" fontId="7" fillId="0" borderId="0" xfId="2" applyNumberFormat="1" applyFont="1"/>
    <xf numFmtId="9" fontId="7" fillId="0" borderId="0" xfId="2" applyNumberFormat="1" applyFont="1"/>
    <xf numFmtId="164" fontId="6" fillId="3" borderId="0" xfId="3" applyNumberFormat="1" applyFont="1" applyFill="1"/>
    <xf numFmtId="167" fontId="6" fillId="2" borderId="2" xfId="1" applyNumberFormat="1" applyFont="1" applyFill="1" applyBorder="1"/>
    <xf numFmtId="164" fontId="6" fillId="2" borderId="2" xfId="1" applyNumberFormat="1" applyFont="1" applyFill="1" applyBorder="1"/>
    <xf numFmtId="0" fontId="1" fillId="0" borderId="0" xfId="3" applyFont="1"/>
    <xf numFmtId="0" fontId="1" fillId="0" borderId="0" xfId="3" applyFont="1" applyFill="1"/>
    <xf numFmtId="0" fontId="1" fillId="3" borderId="0" xfId="3" applyFont="1" applyFill="1"/>
    <xf numFmtId="167" fontId="1" fillId="0" borderId="0" xfId="1" applyNumberFormat="1" applyFont="1"/>
    <xf numFmtId="167" fontId="1" fillId="2" borderId="2" xfId="1" applyNumberFormat="1" applyFont="1" applyFill="1" applyBorder="1"/>
    <xf numFmtId="167" fontId="6" fillId="3" borderId="0" xfId="1" applyNumberFormat="1" applyFont="1" applyFill="1"/>
    <xf numFmtId="9" fontId="7" fillId="2" borderId="2" xfId="2" applyFont="1" applyFill="1" applyBorder="1"/>
    <xf numFmtId="167" fontId="7" fillId="0" borderId="0" xfId="3" applyNumberFormat="1" applyFont="1" applyFill="1"/>
  </cellXfs>
  <cellStyles count="4">
    <cellStyle name="Comma" xfId="1" builtinId="3"/>
    <cellStyle name="Normal" xfId="0" builtinId="0"/>
    <cellStyle name="Normal 2" xfId="3" xr:uid="{93D145F0-5904-4A6F-8075-69A37A730B7A}"/>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US" sz="1400" b="0" i="0">
                <a:solidFill>
                  <a:srgbClr val="757575"/>
                </a:solidFill>
                <a:latin typeface="+mn-lt"/>
              </a:rPr>
              <a:t>Active Accounts</a:t>
            </a:r>
          </a:p>
        </c:rich>
      </c:tx>
      <c:overlay val="0"/>
    </c:title>
    <c:autoTitleDeleted val="0"/>
    <c:plotArea>
      <c:layout/>
      <c:barChart>
        <c:barDir val="col"/>
        <c:grouping val="clustered"/>
        <c:varyColors val="1"/>
        <c:ser>
          <c:idx val="0"/>
          <c:order val="0"/>
          <c:tx>
            <c:v>Active Accounts (millions)</c:v>
          </c:tx>
          <c:spPr>
            <a:solidFill>
              <a:srgbClr val="4472C4"/>
            </a:solidFill>
            <a:ln cmpd="sng">
              <a:solidFill>
                <a:srgbClr val="000000"/>
              </a:solidFill>
            </a:ln>
          </c:spPr>
          <c:invertIfNegative val="1"/>
          <c:cat>
            <c:strRef>
              <c:f>'Key Operating Metrics'!$B$1:$R$1</c:f>
              <c:strCache>
                <c:ptCount val="17"/>
                <c:pt idx="0">
                  <c:v>Q4 16</c:v>
                </c:pt>
                <c:pt idx="1">
                  <c:v>Q1 17</c:v>
                </c:pt>
                <c:pt idx="2">
                  <c:v>Q2 17</c:v>
                </c:pt>
                <c:pt idx="3">
                  <c:v>Q3 17</c:v>
                </c:pt>
                <c:pt idx="4">
                  <c:v>Q4 17</c:v>
                </c:pt>
                <c:pt idx="5">
                  <c:v>2017</c:v>
                </c:pt>
                <c:pt idx="6">
                  <c:v>Q1 18</c:v>
                </c:pt>
                <c:pt idx="7">
                  <c:v>Q2 18</c:v>
                </c:pt>
                <c:pt idx="8">
                  <c:v>Q3 18</c:v>
                </c:pt>
                <c:pt idx="9">
                  <c:v>Q4 18</c:v>
                </c:pt>
                <c:pt idx="10">
                  <c:v>2018</c:v>
                </c:pt>
                <c:pt idx="11">
                  <c:v>Q1 19</c:v>
                </c:pt>
                <c:pt idx="12">
                  <c:v>Q2 19</c:v>
                </c:pt>
                <c:pt idx="13">
                  <c:v>Q3 19</c:v>
                </c:pt>
                <c:pt idx="14">
                  <c:v>Q4 19</c:v>
                </c:pt>
                <c:pt idx="15">
                  <c:v>2019</c:v>
                </c:pt>
                <c:pt idx="16">
                  <c:v>Q1 20</c:v>
                </c:pt>
              </c:strCache>
            </c:strRef>
          </c:cat>
          <c:val>
            <c:numRef>
              <c:f>'Key Operating Metrics'!$B$2:$R$2</c:f>
              <c:numCache>
                <c:formatCode>General</c:formatCode>
                <c:ptCount val="17"/>
                <c:pt idx="0">
                  <c:v>13.4</c:v>
                </c:pt>
                <c:pt idx="1">
                  <c:v>14.2</c:v>
                </c:pt>
                <c:pt idx="2">
                  <c:v>15.1</c:v>
                </c:pt>
                <c:pt idx="3">
                  <c:v>16.7</c:v>
                </c:pt>
                <c:pt idx="4">
                  <c:v>19.3</c:v>
                </c:pt>
                <c:pt idx="5" formatCode="0.0">
                  <c:v>16.324999999999999</c:v>
                </c:pt>
                <c:pt idx="6">
                  <c:v>20.8</c:v>
                </c:pt>
                <c:pt idx="7">
                  <c:v>22</c:v>
                </c:pt>
                <c:pt idx="8">
                  <c:v>23.8</c:v>
                </c:pt>
                <c:pt idx="9">
                  <c:v>27.1</c:v>
                </c:pt>
                <c:pt idx="10" formatCode="0.0">
                  <c:v>23.424999999999997</c:v>
                </c:pt>
                <c:pt idx="11">
                  <c:v>29.1</c:v>
                </c:pt>
                <c:pt idx="12">
                  <c:v>30.5</c:v>
                </c:pt>
                <c:pt idx="13">
                  <c:v>32.299999999999997</c:v>
                </c:pt>
                <c:pt idx="14">
                  <c:v>36.9</c:v>
                </c:pt>
                <c:pt idx="15" formatCode="0.0">
                  <c:v>32.200000000000003</c:v>
                </c:pt>
                <c:pt idx="16">
                  <c:v>39.799999999999997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F89-47F2-987E-091E8BF6502A}"/>
            </c:ext>
          </c:extLst>
        </c:ser>
        <c:dLbls>
          <c:showLegendKey val="0"/>
          <c:showVal val="0"/>
          <c:showCatName val="0"/>
          <c:showSerName val="0"/>
          <c:showPercent val="0"/>
          <c:showBubbleSize val="0"/>
        </c:dLbls>
        <c:gapWidth val="150"/>
        <c:axId val="243882326"/>
        <c:axId val="2693618"/>
      </c:barChart>
      <c:lineChart>
        <c:grouping val="standard"/>
        <c:varyColors val="0"/>
        <c:ser>
          <c:idx val="1"/>
          <c:order val="1"/>
          <c:tx>
            <c:v>YoY growth</c:v>
          </c:tx>
          <c:spPr>
            <a:ln w="28575" cmpd="sng">
              <a:solidFill>
                <a:schemeClr val="accent2"/>
              </a:solidFill>
            </a:ln>
          </c:spPr>
          <c:marker>
            <c:symbol val="none"/>
          </c:marker>
          <c:cat>
            <c:strRef>
              <c:f>'Key Operating Metrics'!$B$1:$R$1</c:f>
              <c:strCache>
                <c:ptCount val="17"/>
                <c:pt idx="0">
                  <c:v>Q4 16</c:v>
                </c:pt>
                <c:pt idx="1">
                  <c:v>Q1 17</c:v>
                </c:pt>
                <c:pt idx="2">
                  <c:v>Q2 17</c:v>
                </c:pt>
                <c:pt idx="3">
                  <c:v>Q3 17</c:v>
                </c:pt>
                <c:pt idx="4">
                  <c:v>Q4 17</c:v>
                </c:pt>
                <c:pt idx="5">
                  <c:v>2017</c:v>
                </c:pt>
                <c:pt idx="6">
                  <c:v>Q1 18</c:v>
                </c:pt>
                <c:pt idx="7">
                  <c:v>Q2 18</c:v>
                </c:pt>
                <c:pt idx="8">
                  <c:v>Q3 18</c:v>
                </c:pt>
                <c:pt idx="9">
                  <c:v>Q4 18</c:v>
                </c:pt>
                <c:pt idx="10">
                  <c:v>2018</c:v>
                </c:pt>
                <c:pt idx="11">
                  <c:v>Q1 19</c:v>
                </c:pt>
                <c:pt idx="12">
                  <c:v>Q2 19</c:v>
                </c:pt>
                <c:pt idx="13">
                  <c:v>Q3 19</c:v>
                </c:pt>
                <c:pt idx="14">
                  <c:v>Q4 19</c:v>
                </c:pt>
                <c:pt idx="15">
                  <c:v>2019</c:v>
                </c:pt>
                <c:pt idx="16">
                  <c:v>Q1 20</c:v>
                </c:pt>
              </c:strCache>
            </c:strRef>
          </c:cat>
          <c:val>
            <c:numRef>
              <c:f>'Key Operating Metrics'!$B$3:$R$3</c:f>
              <c:numCache>
                <c:formatCode>General</c:formatCode>
                <c:ptCount val="17"/>
                <c:pt idx="4" formatCode="0.0%">
                  <c:v>0.44029850746268662</c:v>
                </c:pt>
                <c:pt idx="6" formatCode="0.0%">
                  <c:v>0.46478873239436624</c:v>
                </c:pt>
                <c:pt idx="7" formatCode="0.0%">
                  <c:v>0.45695364238410607</c:v>
                </c:pt>
                <c:pt idx="8" formatCode="0.0%">
                  <c:v>0.42514970059880253</c:v>
                </c:pt>
                <c:pt idx="9" formatCode="0.0%">
                  <c:v>0.40414507772020736</c:v>
                </c:pt>
                <c:pt idx="10" formatCode="0.0%">
                  <c:v>0.43491577335375187</c:v>
                </c:pt>
                <c:pt idx="11" formatCode="0.0%">
                  <c:v>0.39903846153846145</c:v>
                </c:pt>
                <c:pt idx="12" formatCode="0.0%">
                  <c:v>0.38636363636363646</c:v>
                </c:pt>
                <c:pt idx="13" formatCode="0.0%">
                  <c:v>0.35714285714285698</c:v>
                </c:pt>
                <c:pt idx="14" formatCode="0.0%">
                  <c:v>0.36162361623616235</c:v>
                </c:pt>
                <c:pt idx="15" formatCode="0.0%">
                  <c:v>0.37459978655282855</c:v>
                </c:pt>
                <c:pt idx="16" formatCode="0.0%">
                  <c:v>0.36769759450171802</c:v>
                </c:pt>
              </c:numCache>
            </c:numRef>
          </c:val>
          <c:smooth val="0"/>
          <c:extLst>
            <c:ext xmlns:c16="http://schemas.microsoft.com/office/drawing/2014/chart" uri="{C3380CC4-5D6E-409C-BE32-E72D297353CC}">
              <c16:uniqueId val="{00000001-2F89-47F2-987E-091E8BF6502A}"/>
            </c:ext>
          </c:extLst>
        </c:ser>
        <c:dLbls>
          <c:showLegendKey val="0"/>
          <c:showVal val="0"/>
          <c:showCatName val="0"/>
          <c:showSerName val="0"/>
          <c:showPercent val="0"/>
          <c:showBubbleSize val="0"/>
        </c:dLbls>
        <c:marker val="1"/>
        <c:smooth val="0"/>
        <c:axId val="243882326"/>
        <c:axId val="2693618"/>
      </c:lineChart>
      <c:catAx>
        <c:axId val="243882326"/>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693618"/>
        <c:crosses val="autoZero"/>
        <c:auto val="1"/>
        <c:lblAlgn val="ctr"/>
        <c:lblOffset val="100"/>
        <c:noMultiLvlLbl val="1"/>
      </c:catAx>
      <c:valAx>
        <c:axId val="269361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43882326"/>
        <c:crosses val="autoZero"/>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US" sz="1400" b="0" i="0">
                <a:solidFill>
                  <a:srgbClr val="757575"/>
                </a:solidFill>
                <a:latin typeface="+mn-lt"/>
              </a:rPr>
              <a:t>Streaming Hours</a:t>
            </a:r>
          </a:p>
        </c:rich>
      </c:tx>
      <c:overlay val="0"/>
    </c:title>
    <c:autoTitleDeleted val="0"/>
    <c:plotArea>
      <c:layout/>
      <c:barChart>
        <c:barDir val="col"/>
        <c:grouping val="clustered"/>
        <c:varyColors val="1"/>
        <c:ser>
          <c:idx val="0"/>
          <c:order val="0"/>
          <c:tx>
            <c:v>Hours Streamed (billions)</c:v>
          </c:tx>
          <c:spPr>
            <a:solidFill>
              <a:srgbClr val="4472C4"/>
            </a:solidFill>
            <a:ln cmpd="sng">
              <a:solidFill>
                <a:srgbClr val="000000"/>
              </a:solidFill>
            </a:ln>
          </c:spPr>
          <c:invertIfNegative val="1"/>
          <c:cat>
            <c:strRef>
              <c:f>'Key Operating Metrics'!$B$1:$R$1</c:f>
              <c:strCache>
                <c:ptCount val="17"/>
                <c:pt idx="0">
                  <c:v>Q4 16</c:v>
                </c:pt>
                <c:pt idx="1">
                  <c:v>Q1 17</c:v>
                </c:pt>
                <c:pt idx="2">
                  <c:v>Q2 17</c:v>
                </c:pt>
                <c:pt idx="3">
                  <c:v>Q3 17</c:v>
                </c:pt>
                <c:pt idx="4">
                  <c:v>Q4 17</c:v>
                </c:pt>
                <c:pt idx="5">
                  <c:v>2017</c:v>
                </c:pt>
                <c:pt idx="6">
                  <c:v>Q1 18</c:v>
                </c:pt>
                <c:pt idx="7">
                  <c:v>Q2 18</c:v>
                </c:pt>
                <c:pt idx="8">
                  <c:v>Q3 18</c:v>
                </c:pt>
                <c:pt idx="9">
                  <c:v>Q4 18</c:v>
                </c:pt>
                <c:pt idx="10">
                  <c:v>2018</c:v>
                </c:pt>
                <c:pt idx="11">
                  <c:v>Q1 19</c:v>
                </c:pt>
                <c:pt idx="12">
                  <c:v>Q2 19</c:v>
                </c:pt>
                <c:pt idx="13">
                  <c:v>Q3 19</c:v>
                </c:pt>
                <c:pt idx="14">
                  <c:v>Q4 19</c:v>
                </c:pt>
                <c:pt idx="15">
                  <c:v>2019</c:v>
                </c:pt>
                <c:pt idx="16">
                  <c:v>Q1 20</c:v>
                </c:pt>
              </c:strCache>
            </c:strRef>
          </c:cat>
          <c:val>
            <c:numRef>
              <c:f>'Key Operating Metrics'!$B$6:$R$6</c:f>
              <c:numCache>
                <c:formatCode>General</c:formatCode>
                <c:ptCount val="17"/>
                <c:pt idx="0">
                  <c:v>2.8</c:v>
                </c:pt>
                <c:pt idx="1">
                  <c:v>3.2</c:v>
                </c:pt>
                <c:pt idx="2">
                  <c:v>3.5</c:v>
                </c:pt>
                <c:pt idx="3">
                  <c:v>3.8</c:v>
                </c:pt>
                <c:pt idx="4">
                  <c:v>4.3</c:v>
                </c:pt>
                <c:pt idx="5">
                  <c:v>14.8</c:v>
                </c:pt>
                <c:pt idx="6">
                  <c:v>5.0999999999999996</c:v>
                </c:pt>
                <c:pt idx="7">
                  <c:v>5.4</c:v>
                </c:pt>
                <c:pt idx="8">
                  <c:v>6.1</c:v>
                </c:pt>
                <c:pt idx="9">
                  <c:v>7.1</c:v>
                </c:pt>
                <c:pt idx="10">
                  <c:v>23.700000000000003</c:v>
                </c:pt>
                <c:pt idx="11">
                  <c:v>8.4</c:v>
                </c:pt>
                <c:pt idx="12">
                  <c:v>8.8000000000000007</c:v>
                </c:pt>
                <c:pt idx="13">
                  <c:v>9.6</c:v>
                </c:pt>
                <c:pt idx="14">
                  <c:v>10.9</c:v>
                </c:pt>
                <c:pt idx="15">
                  <c:v>37.700000000000003</c:v>
                </c:pt>
                <c:pt idx="16">
                  <c:v>12.3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454-412A-BF60-2963FA3AC145}"/>
            </c:ext>
          </c:extLst>
        </c:ser>
        <c:dLbls>
          <c:showLegendKey val="0"/>
          <c:showVal val="0"/>
          <c:showCatName val="0"/>
          <c:showSerName val="0"/>
          <c:showPercent val="0"/>
          <c:showBubbleSize val="0"/>
        </c:dLbls>
        <c:gapWidth val="150"/>
        <c:axId val="1465494655"/>
        <c:axId val="1376981808"/>
      </c:barChart>
      <c:lineChart>
        <c:grouping val="standard"/>
        <c:varyColors val="0"/>
        <c:ser>
          <c:idx val="1"/>
          <c:order val="1"/>
          <c:tx>
            <c:v>YoY growth</c:v>
          </c:tx>
          <c:spPr>
            <a:ln w="28575" cmpd="sng">
              <a:solidFill>
                <a:schemeClr val="accent2"/>
              </a:solidFill>
            </a:ln>
          </c:spPr>
          <c:marker>
            <c:symbol val="none"/>
          </c:marker>
          <c:cat>
            <c:strRef>
              <c:f>'Key Operating Metrics'!$B$1:$R$1</c:f>
              <c:strCache>
                <c:ptCount val="17"/>
                <c:pt idx="0">
                  <c:v>Q4 16</c:v>
                </c:pt>
                <c:pt idx="1">
                  <c:v>Q1 17</c:v>
                </c:pt>
                <c:pt idx="2">
                  <c:v>Q2 17</c:v>
                </c:pt>
                <c:pt idx="3">
                  <c:v>Q3 17</c:v>
                </c:pt>
                <c:pt idx="4">
                  <c:v>Q4 17</c:v>
                </c:pt>
                <c:pt idx="5">
                  <c:v>2017</c:v>
                </c:pt>
                <c:pt idx="6">
                  <c:v>Q1 18</c:v>
                </c:pt>
                <c:pt idx="7">
                  <c:v>Q2 18</c:v>
                </c:pt>
                <c:pt idx="8">
                  <c:v>Q3 18</c:v>
                </c:pt>
                <c:pt idx="9">
                  <c:v>Q4 18</c:v>
                </c:pt>
                <c:pt idx="10">
                  <c:v>2018</c:v>
                </c:pt>
                <c:pt idx="11">
                  <c:v>Q1 19</c:v>
                </c:pt>
                <c:pt idx="12">
                  <c:v>Q2 19</c:v>
                </c:pt>
                <c:pt idx="13">
                  <c:v>Q3 19</c:v>
                </c:pt>
                <c:pt idx="14">
                  <c:v>Q4 19</c:v>
                </c:pt>
                <c:pt idx="15">
                  <c:v>2019</c:v>
                </c:pt>
                <c:pt idx="16">
                  <c:v>Q1 20</c:v>
                </c:pt>
              </c:strCache>
            </c:strRef>
          </c:cat>
          <c:val>
            <c:numRef>
              <c:f>'Key Operating Metrics'!$B$7:$R$7</c:f>
              <c:numCache>
                <c:formatCode>General</c:formatCode>
                <c:ptCount val="17"/>
                <c:pt idx="4" formatCode="0.0%">
                  <c:v>0.53571428571428581</c:v>
                </c:pt>
                <c:pt idx="6" formatCode="0.0%">
                  <c:v>0.59374999999999978</c:v>
                </c:pt>
                <c:pt idx="7" formatCode="0.0%">
                  <c:v>0.54285714285714293</c:v>
                </c:pt>
                <c:pt idx="8" formatCode="0.0%">
                  <c:v>0.60526315789473673</c:v>
                </c:pt>
                <c:pt idx="9" formatCode="0.0%">
                  <c:v>0.65116279069767447</c:v>
                </c:pt>
                <c:pt idx="10" formatCode="0.0%">
                  <c:v>0.60135135135135154</c:v>
                </c:pt>
                <c:pt idx="11" formatCode="0.0%">
                  <c:v>0.64705882352941191</c:v>
                </c:pt>
                <c:pt idx="12" formatCode="0.0%">
                  <c:v>0.62962962962962976</c:v>
                </c:pt>
                <c:pt idx="13" formatCode="0.0%">
                  <c:v>0.57377049180327866</c:v>
                </c:pt>
                <c:pt idx="14" formatCode="0.0%">
                  <c:v>0.53521126760563398</c:v>
                </c:pt>
                <c:pt idx="15" formatCode="0.0%">
                  <c:v>0.59071729957805896</c:v>
                </c:pt>
                <c:pt idx="16" formatCode="0.0%">
                  <c:v>0.46428571428571441</c:v>
                </c:pt>
              </c:numCache>
            </c:numRef>
          </c:val>
          <c:smooth val="0"/>
          <c:extLst>
            <c:ext xmlns:c16="http://schemas.microsoft.com/office/drawing/2014/chart" uri="{C3380CC4-5D6E-409C-BE32-E72D297353CC}">
              <c16:uniqueId val="{00000001-1454-412A-BF60-2963FA3AC145}"/>
            </c:ext>
          </c:extLst>
        </c:ser>
        <c:dLbls>
          <c:showLegendKey val="0"/>
          <c:showVal val="0"/>
          <c:showCatName val="0"/>
          <c:showSerName val="0"/>
          <c:showPercent val="0"/>
          <c:showBubbleSize val="0"/>
        </c:dLbls>
        <c:marker val="1"/>
        <c:smooth val="0"/>
        <c:axId val="1465494655"/>
        <c:axId val="1376981808"/>
      </c:lineChart>
      <c:catAx>
        <c:axId val="1465494655"/>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376981808"/>
        <c:crosses val="autoZero"/>
        <c:auto val="1"/>
        <c:lblAlgn val="ctr"/>
        <c:lblOffset val="100"/>
        <c:noMultiLvlLbl val="1"/>
      </c:catAx>
      <c:valAx>
        <c:axId val="137698180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465494655"/>
        <c:crosses val="autoZero"/>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US" sz="1400" b="0" i="0">
                <a:solidFill>
                  <a:srgbClr val="757575"/>
                </a:solidFill>
                <a:latin typeface="+mn-lt"/>
              </a:rPr>
              <a:t>ARPU</a:t>
            </a:r>
          </a:p>
        </c:rich>
      </c:tx>
      <c:overlay val="0"/>
    </c:title>
    <c:autoTitleDeleted val="0"/>
    <c:plotArea>
      <c:layout/>
      <c:barChart>
        <c:barDir val="col"/>
        <c:grouping val="clustered"/>
        <c:varyColors val="1"/>
        <c:ser>
          <c:idx val="0"/>
          <c:order val="0"/>
          <c:tx>
            <c:v>ARPU ($)</c:v>
          </c:tx>
          <c:spPr>
            <a:solidFill>
              <a:srgbClr val="4472C4"/>
            </a:solidFill>
            <a:ln cmpd="sng">
              <a:solidFill>
                <a:srgbClr val="000000"/>
              </a:solidFill>
            </a:ln>
          </c:spPr>
          <c:invertIfNegative val="1"/>
          <c:cat>
            <c:strRef>
              <c:f>'Key Operating Metrics'!$B$1:$R$1</c:f>
              <c:strCache>
                <c:ptCount val="17"/>
                <c:pt idx="0">
                  <c:v>Q4 16</c:v>
                </c:pt>
                <c:pt idx="1">
                  <c:v>Q1 17</c:v>
                </c:pt>
                <c:pt idx="2">
                  <c:v>Q2 17</c:v>
                </c:pt>
                <c:pt idx="3">
                  <c:v>Q3 17</c:v>
                </c:pt>
                <c:pt idx="4">
                  <c:v>Q4 17</c:v>
                </c:pt>
                <c:pt idx="5">
                  <c:v>2017</c:v>
                </c:pt>
                <c:pt idx="6">
                  <c:v>Q1 18</c:v>
                </c:pt>
                <c:pt idx="7">
                  <c:v>Q2 18</c:v>
                </c:pt>
                <c:pt idx="8">
                  <c:v>Q3 18</c:v>
                </c:pt>
                <c:pt idx="9">
                  <c:v>Q4 18</c:v>
                </c:pt>
                <c:pt idx="10">
                  <c:v>2018</c:v>
                </c:pt>
                <c:pt idx="11">
                  <c:v>Q1 19</c:v>
                </c:pt>
                <c:pt idx="12">
                  <c:v>Q2 19</c:v>
                </c:pt>
                <c:pt idx="13">
                  <c:v>Q3 19</c:v>
                </c:pt>
                <c:pt idx="14">
                  <c:v>Q4 19</c:v>
                </c:pt>
                <c:pt idx="15">
                  <c:v>2019</c:v>
                </c:pt>
                <c:pt idx="16">
                  <c:v>Q1 20</c:v>
                </c:pt>
              </c:strCache>
            </c:strRef>
          </c:cat>
          <c:val>
            <c:numRef>
              <c:f>'Key Operating Metrics'!$B$16:$R$16</c:f>
              <c:numCache>
                <c:formatCode>General</c:formatCode>
                <c:ptCount val="17"/>
                <c:pt idx="0">
                  <c:v>9.2799999999999994</c:v>
                </c:pt>
                <c:pt idx="1">
                  <c:v>10.039999999999999</c:v>
                </c:pt>
                <c:pt idx="2">
                  <c:v>11.22</c:v>
                </c:pt>
                <c:pt idx="3">
                  <c:v>12.68</c:v>
                </c:pt>
                <c:pt idx="4" formatCode="0.00">
                  <c:v>13.779816513761467</c:v>
                </c:pt>
                <c:pt idx="5" formatCode="0.00">
                  <c:v>13.779816513761467</c:v>
                </c:pt>
                <c:pt idx="6" formatCode="0.00">
                  <c:v>15.085714285714285</c:v>
                </c:pt>
                <c:pt idx="7" formatCode="0.00">
                  <c:v>16.619946091644206</c:v>
                </c:pt>
                <c:pt idx="8" formatCode="0.00">
                  <c:v>17.328395061728394</c:v>
                </c:pt>
                <c:pt idx="9" formatCode="0.00">
                  <c:v>17.969827586206893</c:v>
                </c:pt>
                <c:pt idx="10" formatCode="0.00">
                  <c:v>17.969827586206893</c:v>
                </c:pt>
                <c:pt idx="11" formatCode="0.00">
                  <c:v>19.078156312625246</c:v>
                </c:pt>
                <c:pt idx="12" formatCode="0.00">
                  <c:v>21.081904761904759</c:v>
                </c:pt>
                <c:pt idx="13" formatCode="0.00">
                  <c:v>22.552584670231731</c:v>
                </c:pt>
                <c:pt idx="14" formatCode="0.00">
                  <c:v>23.15</c:v>
                </c:pt>
                <c:pt idx="15" formatCode="0.00">
                  <c:v>23.15</c:v>
                </c:pt>
                <c:pt idx="16" formatCode="0.00">
                  <c:v>24.359941944847606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0FC-44BF-934C-995557978A81}"/>
            </c:ext>
          </c:extLst>
        </c:ser>
        <c:dLbls>
          <c:showLegendKey val="0"/>
          <c:showVal val="0"/>
          <c:showCatName val="0"/>
          <c:showSerName val="0"/>
          <c:showPercent val="0"/>
          <c:showBubbleSize val="0"/>
        </c:dLbls>
        <c:gapWidth val="150"/>
        <c:axId val="1486538357"/>
        <c:axId val="25105268"/>
      </c:barChart>
      <c:lineChart>
        <c:grouping val="standard"/>
        <c:varyColors val="0"/>
        <c:ser>
          <c:idx val="1"/>
          <c:order val="1"/>
          <c:tx>
            <c:v>YoY growth</c:v>
          </c:tx>
          <c:spPr>
            <a:ln w="28575" cmpd="sng">
              <a:solidFill>
                <a:schemeClr val="accent2"/>
              </a:solidFill>
            </a:ln>
          </c:spPr>
          <c:marker>
            <c:symbol val="none"/>
          </c:marker>
          <c:cat>
            <c:strRef>
              <c:f>'Key Operating Metrics'!$B$1:$R$1</c:f>
              <c:strCache>
                <c:ptCount val="17"/>
                <c:pt idx="0">
                  <c:v>Q4 16</c:v>
                </c:pt>
                <c:pt idx="1">
                  <c:v>Q1 17</c:v>
                </c:pt>
                <c:pt idx="2">
                  <c:v>Q2 17</c:v>
                </c:pt>
                <c:pt idx="3">
                  <c:v>Q3 17</c:v>
                </c:pt>
                <c:pt idx="4">
                  <c:v>Q4 17</c:v>
                </c:pt>
                <c:pt idx="5">
                  <c:v>2017</c:v>
                </c:pt>
                <c:pt idx="6">
                  <c:v>Q1 18</c:v>
                </c:pt>
                <c:pt idx="7">
                  <c:v>Q2 18</c:v>
                </c:pt>
                <c:pt idx="8">
                  <c:v>Q3 18</c:v>
                </c:pt>
                <c:pt idx="9">
                  <c:v>Q4 18</c:v>
                </c:pt>
                <c:pt idx="10">
                  <c:v>2018</c:v>
                </c:pt>
                <c:pt idx="11">
                  <c:v>Q1 19</c:v>
                </c:pt>
                <c:pt idx="12">
                  <c:v>Q2 19</c:v>
                </c:pt>
                <c:pt idx="13">
                  <c:v>Q3 19</c:v>
                </c:pt>
                <c:pt idx="14">
                  <c:v>Q4 19</c:v>
                </c:pt>
                <c:pt idx="15">
                  <c:v>2019</c:v>
                </c:pt>
                <c:pt idx="16">
                  <c:v>Q1 20</c:v>
                </c:pt>
              </c:strCache>
            </c:strRef>
          </c:cat>
          <c:val>
            <c:numRef>
              <c:f>'Key Operating Metrics'!$B$17:$R$17</c:f>
              <c:numCache>
                <c:formatCode>General</c:formatCode>
                <c:ptCount val="17"/>
                <c:pt idx="4" formatCode="0.0%">
                  <c:v>0.48489402087946853</c:v>
                </c:pt>
                <c:pt idx="6" formatCode="0.0%">
                  <c:v>0.50256118383608439</c:v>
                </c:pt>
                <c:pt idx="7" formatCode="0.0%">
                  <c:v>0.48127861779360104</c:v>
                </c:pt>
                <c:pt idx="8" formatCode="0.0%">
                  <c:v>0.36659267048331179</c:v>
                </c:pt>
                <c:pt idx="9" formatCode="0.0%">
                  <c:v>0.30406871298039384</c:v>
                </c:pt>
                <c:pt idx="10" formatCode="0.0%">
                  <c:v>0.30406871298039384</c:v>
                </c:pt>
                <c:pt idx="11" formatCode="0.0%">
                  <c:v>0.26465051314750698</c:v>
                </c:pt>
                <c:pt idx="12" formatCode="0.0%">
                  <c:v>0.2684701048762026</c:v>
                </c:pt>
                <c:pt idx="13" formatCode="0.0%">
                  <c:v>0.30148144648672726</c:v>
                </c:pt>
                <c:pt idx="14" formatCode="0.0%">
                  <c:v>0.28827056848165045</c:v>
                </c:pt>
                <c:pt idx="15" formatCode="0.0%">
                  <c:v>0.28827056848165045</c:v>
                </c:pt>
                <c:pt idx="16" formatCode="0.0%">
                  <c:v>0.27684989815955441</c:v>
                </c:pt>
              </c:numCache>
            </c:numRef>
          </c:val>
          <c:smooth val="0"/>
          <c:extLst>
            <c:ext xmlns:c16="http://schemas.microsoft.com/office/drawing/2014/chart" uri="{C3380CC4-5D6E-409C-BE32-E72D297353CC}">
              <c16:uniqueId val="{00000001-30FC-44BF-934C-995557978A81}"/>
            </c:ext>
          </c:extLst>
        </c:ser>
        <c:dLbls>
          <c:showLegendKey val="0"/>
          <c:showVal val="0"/>
          <c:showCatName val="0"/>
          <c:showSerName val="0"/>
          <c:showPercent val="0"/>
          <c:showBubbleSize val="0"/>
        </c:dLbls>
        <c:marker val="1"/>
        <c:smooth val="0"/>
        <c:axId val="1486538357"/>
        <c:axId val="25105268"/>
      </c:lineChart>
      <c:catAx>
        <c:axId val="14865383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5105268"/>
        <c:crosses val="autoZero"/>
        <c:auto val="1"/>
        <c:lblAlgn val="ctr"/>
        <c:lblOffset val="100"/>
        <c:noMultiLvlLbl val="1"/>
      </c:catAx>
      <c:valAx>
        <c:axId val="2510526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486538357"/>
        <c:crosses val="autoZero"/>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US" sz="1400" b="0" i="0">
                <a:solidFill>
                  <a:srgbClr val="757575"/>
                </a:solidFill>
                <a:latin typeface="+mn-lt"/>
              </a:rPr>
              <a:t>Platform Revenue</a:t>
            </a:r>
          </a:p>
        </c:rich>
      </c:tx>
      <c:overlay val="0"/>
    </c:title>
    <c:autoTitleDeleted val="0"/>
    <c:plotArea>
      <c:layout/>
      <c:barChart>
        <c:barDir val="col"/>
        <c:grouping val="clustered"/>
        <c:varyColors val="1"/>
        <c:ser>
          <c:idx val="0"/>
          <c:order val="0"/>
          <c:tx>
            <c:v>Platform Revenue (millions)</c:v>
          </c:tx>
          <c:spPr>
            <a:solidFill>
              <a:srgbClr val="4472C4"/>
            </a:solidFill>
            <a:ln cmpd="sng">
              <a:solidFill>
                <a:srgbClr val="000000"/>
              </a:solidFill>
            </a:ln>
          </c:spPr>
          <c:invertIfNegative val="1"/>
          <c:cat>
            <c:strRef>
              <c:f>'Key Operating Metrics'!$B$1:$R$1</c:f>
              <c:strCache>
                <c:ptCount val="17"/>
                <c:pt idx="0">
                  <c:v>Q4 16</c:v>
                </c:pt>
                <c:pt idx="1">
                  <c:v>Q1 17</c:v>
                </c:pt>
                <c:pt idx="2">
                  <c:v>Q2 17</c:v>
                </c:pt>
                <c:pt idx="3">
                  <c:v>Q3 17</c:v>
                </c:pt>
                <c:pt idx="4">
                  <c:v>Q4 17</c:v>
                </c:pt>
                <c:pt idx="5">
                  <c:v>2017</c:v>
                </c:pt>
                <c:pt idx="6">
                  <c:v>Q1 18</c:v>
                </c:pt>
                <c:pt idx="7">
                  <c:v>Q2 18</c:v>
                </c:pt>
                <c:pt idx="8">
                  <c:v>Q3 18</c:v>
                </c:pt>
                <c:pt idx="9">
                  <c:v>Q4 18</c:v>
                </c:pt>
                <c:pt idx="10">
                  <c:v>2018</c:v>
                </c:pt>
                <c:pt idx="11">
                  <c:v>Q1 19</c:v>
                </c:pt>
                <c:pt idx="12">
                  <c:v>Q2 19</c:v>
                </c:pt>
                <c:pt idx="13">
                  <c:v>Q3 19</c:v>
                </c:pt>
                <c:pt idx="14">
                  <c:v>Q4 19</c:v>
                </c:pt>
                <c:pt idx="15">
                  <c:v>2019</c:v>
                </c:pt>
                <c:pt idx="16">
                  <c:v>Q1 20</c:v>
                </c:pt>
              </c:strCache>
            </c:strRef>
          </c:cat>
          <c:val>
            <c:numRef>
              <c:f>'Key Operating Metrics'!$B$35:$R$35</c:f>
              <c:numCache>
                <c:formatCode>General</c:formatCode>
                <c:ptCount val="17"/>
                <c:pt idx="0">
                  <c:v>37.299999999999997</c:v>
                </c:pt>
                <c:pt idx="1">
                  <c:v>36.4</c:v>
                </c:pt>
                <c:pt idx="2">
                  <c:v>46</c:v>
                </c:pt>
                <c:pt idx="3">
                  <c:v>57.5</c:v>
                </c:pt>
                <c:pt idx="4">
                  <c:v>85.4</c:v>
                </c:pt>
                <c:pt idx="5">
                  <c:v>225.3</c:v>
                </c:pt>
                <c:pt idx="6">
                  <c:v>75.099999999999994</c:v>
                </c:pt>
                <c:pt idx="7">
                  <c:v>90.3</c:v>
                </c:pt>
                <c:pt idx="8">
                  <c:v>100.1</c:v>
                </c:pt>
                <c:pt idx="9">
                  <c:v>151.4</c:v>
                </c:pt>
                <c:pt idx="10">
                  <c:v>416.9</c:v>
                </c:pt>
                <c:pt idx="11">
                  <c:v>134.19999999999999</c:v>
                </c:pt>
                <c:pt idx="12">
                  <c:v>167.7</c:v>
                </c:pt>
                <c:pt idx="13">
                  <c:v>179.3</c:v>
                </c:pt>
                <c:pt idx="14">
                  <c:v>259.60000000000002</c:v>
                </c:pt>
                <c:pt idx="15">
                  <c:v>740.8</c:v>
                </c:pt>
                <c:pt idx="16">
                  <c:v>232.6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5B2-4C29-8188-53262859FDA6}"/>
            </c:ext>
          </c:extLst>
        </c:ser>
        <c:dLbls>
          <c:showLegendKey val="0"/>
          <c:showVal val="0"/>
          <c:showCatName val="0"/>
          <c:showSerName val="0"/>
          <c:showPercent val="0"/>
          <c:showBubbleSize val="0"/>
        </c:dLbls>
        <c:gapWidth val="150"/>
        <c:axId val="202953864"/>
        <c:axId val="1182150419"/>
      </c:barChart>
      <c:lineChart>
        <c:grouping val="standard"/>
        <c:varyColors val="0"/>
        <c:ser>
          <c:idx val="1"/>
          <c:order val="1"/>
          <c:tx>
            <c:v>YoY growth</c:v>
          </c:tx>
          <c:spPr>
            <a:ln w="28575" cmpd="sng">
              <a:solidFill>
                <a:schemeClr val="accent2"/>
              </a:solidFill>
            </a:ln>
          </c:spPr>
          <c:marker>
            <c:symbol val="none"/>
          </c:marker>
          <c:cat>
            <c:strRef>
              <c:f>'Key Operating Metrics'!$B$1:$R$1</c:f>
              <c:strCache>
                <c:ptCount val="17"/>
                <c:pt idx="0">
                  <c:v>Q4 16</c:v>
                </c:pt>
                <c:pt idx="1">
                  <c:v>Q1 17</c:v>
                </c:pt>
                <c:pt idx="2">
                  <c:v>Q2 17</c:v>
                </c:pt>
                <c:pt idx="3">
                  <c:v>Q3 17</c:v>
                </c:pt>
                <c:pt idx="4">
                  <c:v>Q4 17</c:v>
                </c:pt>
                <c:pt idx="5">
                  <c:v>2017</c:v>
                </c:pt>
                <c:pt idx="6">
                  <c:v>Q1 18</c:v>
                </c:pt>
                <c:pt idx="7">
                  <c:v>Q2 18</c:v>
                </c:pt>
                <c:pt idx="8">
                  <c:v>Q3 18</c:v>
                </c:pt>
                <c:pt idx="9">
                  <c:v>Q4 18</c:v>
                </c:pt>
                <c:pt idx="10">
                  <c:v>2018</c:v>
                </c:pt>
                <c:pt idx="11">
                  <c:v>Q1 19</c:v>
                </c:pt>
                <c:pt idx="12">
                  <c:v>Q2 19</c:v>
                </c:pt>
                <c:pt idx="13">
                  <c:v>Q3 19</c:v>
                </c:pt>
                <c:pt idx="14">
                  <c:v>Q4 19</c:v>
                </c:pt>
                <c:pt idx="15">
                  <c:v>2019</c:v>
                </c:pt>
                <c:pt idx="16">
                  <c:v>Q1 20</c:v>
                </c:pt>
              </c:strCache>
            </c:strRef>
          </c:cat>
          <c:val>
            <c:numRef>
              <c:f>'Key Operating Metrics'!$B$36:$R$36</c:f>
              <c:numCache>
                <c:formatCode>General</c:formatCode>
                <c:ptCount val="17"/>
                <c:pt idx="4" formatCode="0%">
                  <c:v>1.2895442359249332</c:v>
                </c:pt>
                <c:pt idx="6" formatCode="0%">
                  <c:v>1.063186813186813</c:v>
                </c:pt>
                <c:pt idx="7" formatCode="0%">
                  <c:v>0.96304347826086945</c:v>
                </c:pt>
                <c:pt idx="8" formatCode="0%">
                  <c:v>0.74086956521739111</c:v>
                </c:pt>
                <c:pt idx="9" formatCode="0%">
                  <c:v>0.77283372365339575</c:v>
                </c:pt>
                <c:pt idx="10" formatCode="0%">
                  <c:v>0.85042166000887676</c:v>
                </c:pt>
                <c:pt idx="11" formatCode="0%">
                  <c:v>0.78695073235685742</c:v>
                </c:pt>
                <c:pt idx="12" formatCode="0%">
                  <c:v>0.85714285714285698</c:v>
                </c:pt>
                <c:pt idx="13" formatCode="0%">
                  <c:v>0.79120879120879151</c:v>
                </c:pt>
                <c:pt idx="14" formatCode="0%">
                  <c:v>0.71466314398943198</c:v>
                </c:pt>
                <c:pt idx="15" formatCode="0%">
                  <c:v>0.7769249220436556</c:v>
                </c:pt>
                <c:pt idx="16" formatCode="0%">
                  <c:v>0.73323397913561861</c:v>
                </c:pt>
              </c:numCache>
            </c:numRef>
          </c:val>
          <c:smooth val="0"/>
          <c:extLst>
            <c:ext xmlns:c16="http://schemas.microsoft.com/office/drawing/2014/chart" uri="{C3380CC4-5D6E-409C-BE32-E72D297353CC}">
              <c16:uniqueId val="{00000001-45B2-4C29-8188-53262859FDA6}"/>
            </c:ext>
          </c:extLst>
        </c:ser>
        <c:dLbls>
          <c:showLegendKey val="0"/>
          <c:showVal val="0"/>
          <c:showCatName val="0"/>
          <c:showSerName val="0"/>
          <c:showPercent val="0"/>
          <c:showBubbleSize val="0"/>
        </c:dLbls>
        <c:marker val="1"/>
        <c:smooth val="0"/>
        <c:axId val="202953864"/>
        <c:axId val="1182150419"/>
      </c:lineChart>
      <c:catAx>
        <c:axId val="202953864"/>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82150419"/>
        <c:crosses val="autoZero"/>
        <c:auto val="1"/>
        <c:lblAlgn val="ctr"/>
        <c:lblOffset val="100"/>
        <c:noMultiLvlLbl val="1"/>
      </c:catAx>
      <c:valAx>
        <c:axId val="118215041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02953864"/>
        <c:crosses val="autoZero"/>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US" sz="1400" b="0" i="0">
                <a:solidFill>
                  <a:srgbClr val="757575"/>
                </a:solidFill>
                <a:latin typeface="+mn-lt"/>
              </a:rPr>
              <a:t>Platform Gross Profit</a:t>
            </a:r>
          </a:p>
        </c:rich>
      </c:tx>
      <c:overlay val="0"/>
    </c:title>
    <c:autoTitleDeleted val="0"/>
    <c:plotArea>
      <c:layout/>
      <c:barChart>
        <c:barDir val="col"/>
        <c:grouping val="clustered"/>
        <c:varyColors val="1"/>
        <c:ser>
          <c:idx val="0"/>
          <c:order val="0"/>
          <c:tx>
            <c:v>Platform Gross Profit (millions)</c:v>
          </c:tx>
          <c:spPr>
            <a:solidFill>
              <a:srgbClr val="4472C4"/>
            </a:solidFill>
            <a:ln cmpd="sng">
              <a:solidFill>
                <a:srgbClr val="000000"/>
              </a:solidFill>
            </a:ln>
          </c:spPr>
          <c:invertIfNegative val="1"/>
          <c:cat>
            <c:strRef>
              <c:f>'Key Operating Metrics'!$B$1:$R$1</c:f>
              <c:strCache>
                <c:ptCount val="17"/>
                <c:pt idx="0">
                  <c:v>Q4 16</c:v>
                </c:pt>
                <c:pt idx="1">
                  <c:v>Q1 17</c:v>
                </c:pt>
                <c:pt idx="2">
                  <c:v>Q2 17</c:v>
                </c:pt>
                <c:pt idx="3">
                  <c:v>Q3 17</c:v>
                </c:pt>
                <c:pt idx="4">
                  <c:v>Q4 17</c:v>
                </c:pt>
                <c:pt idx="5">
                  <c:v>2017</c:v>
                </c:pt>
                <c:pt idx="6">
                  <c:v>Q1 18</c:v>
                </c:pt>
                <c:pt idx="7">
                  <c:v>Q2 18</c:v>
                </c:pt>
                <c:pt idx="8">
                  <c:v>Q3 18</c:v>
                </c:pt>
                <c:pt idx="9">
                  <c:v>Q4 18</c:v>
                </c:pt>
                <c:pt idx="10">
                  <c:v>2018</c:v>
                </c:pt>
                <c:pt idx="11">
                  <c:v>Q1 19</c:v>
                </c:pt>
                <c:pt idx="12">
                  <c:v>Q2 19</c:v>
                </c:pt>
                <c:pt idx="13">
                  <c:v>Q3 19</c:v>
                </c:pt>
                <c:pt idx="14">
                  <c:v>Q4 19</c:v>
                </c:pt>
                <c:pt idx="15">
                  <c:v>2019</c:v>
                </c:pt>
                <c:pt idx="16">
                  <c:v>Q1 20</c:v>
                </c:pt>
              </c:strCache>
            </c:strRef>
          </c:cat>
          <c:val>
            <c:numRef>
              <c:f>'Key Operating Metrics'!$B$41:$R$41</c:f>
              <c:numCache>
                <c:formatCode>General</c:formatCode>
                <c:ptCount val="17"/>
                <c:pt idx="0">
                  <c:v>28.9</c:v>
                </c:pt>
                <c:pt idx="1">
                  <c:v>28.1</c:v>
                </c:pt>
                <c:pt idx="2">
                  <c:v>34.200000000000003</c:v>
                </c:pt>
                <c:pt idx="3">
                  <c:v>44.6</c:v>
                </c:pt>
                <c:pt idx="4">
                  <c:v>63.7</c:v>
                </c:pt>
                <c:pt idx="5">
                  <c:v>170.60000000000002</c:v>
                </c:pt>
                <c:pt idx="6">
                  <c:v>53.4</c:v>
                </c:pt>
                <c:pt idx="7">
                  <c:v>63</c:v>
                </c:pt>
                <c:pt idx="8">
                  <c:v>70.5</c:v>
                </c:pt>
                <c:pt idx="9">
                  <c:v>109.4</c:v>
                </c:pt>
                <c:pt idx="10">
                  <c:v>296.3</c:v>
                </c:pt>
                <c:pt idx="11">
                  <c:v>93.8</c:v>
                </c:pt>
                <c:pt idx="12">
                  <c:v>109.7</c:v>
                </c:pt>
                <c:pt idx="13">
                  <c:v>112.2</c:v>
                </c:pt>
                <c:pt idx="14">
                  <c:v>162.4</c:v>
                </c:pt>
                <c:pt idx="15">
                  <c:v>478.1</c:v>
                </c:pt>
                <c:pt idx="16">
                  <c:v>130.6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78D-40A3-BF1A-805557F6E916}"/>
            </c:ext>
          </c:extLst>
        </c:ser>
        <c:dLbls>
          <c:showLegendKey val="0"/>
          <c:showVal val="0"/>
          <c:showCatName val="0"/>
          <c:showSerName val="0"/>
          <c:showPercent val="0"/>
          <c:showBubbleSize val="0"/>
        </c:dLbls>
        <c:gapWidth val="150"/>
        <c:axId val="413746976"/>
        <c:axId val="809514419"/>
      </c:barChart>
      <c:lineChart>
        <c:grouping val="standard"/>
        <c:varyColors val="0"/>
        <c:ser>
          <c:idx val="1"/>
          <c:order val="1"/>
          <c:tx>
            <c:v>YoY growth</c:v>
          </c:tx>
          <c:spPr>
            <a:ln w="28575" cmpd="sng">
              <a:solidFill>
                <a:schemeClr val="accent2"/>
              </a:solidFill>
            </a:ln>
          </c:spPr>
          <c:marker>
            <c:symbol val="none"/>
          </c:marker>
          <c:cat>
            <c:strRef>
              <c:f>'Key Operating Metrics'!$B$1:$R$1</c:f>
              <c:strCache>
                <c:ptCount val="17"/>
                <c:pt idx="0">
                  <c:v>Q4 16</c:v>
                </c:pt>
                <c:pt idx="1">
                  <c:v>Q1 17</c:v>
                </c:pt>
                <c:pt idx="2">
                  <c:v>Q2 17</c:v>
                </c:pt>
                <c:pt idx="3">
                  <c:v>Q3 17</c:v>
                </c:pt>
                <c:pt idx="4">
                  <c:v>Q4 17</c:v>
                </c:pt>
                <c:pt idx="5">
                  <c:v>2017</c:v>
                </c:pt>
                <c:pt idx="6">
                  <c:v>Q1 18</c:v>
                </c:pt>
                <c:pt idx="7">
                  <c:v>Q2 18</c:v>
                </c:pt>
                <c:pt idx="8">
                  <c:v>Q3 18</c:v>
                </c:pt>
                <c:pt idx="9">
                  <c:v>Q4 18</c:v>
                </c:pt>
                <c:pt idx="10">
                  <c:v>2018</c:v>
                </c:pt>
                <c:pt idx="11">
                  <c:v>Q1 19</c:v>
                </c:pt>
                <c:pt idx="12">
                  <c:v>Q2 19</c:v>
                </c:pt>
                <c:pt idx="13">
                  <c:v>Q3 19</c:v>
                </c:pt>
                <c:pt idx="14">
                  <c:v>Q4 19</c:v>
                </c:pt>
                <c:pt idx="15">
                  <c:v>2019</c:v>
                </c:pt>
                <c:pt idx="16">
                  <c:v>Q1 20</c:v>
                </c:pt>
              </c:strCache>
            </c:strRef>
          </c:cat>
          <c:val>
            <c:numRef>
              <c:f>'Key Operating Metrics'!$B$42:$R$42</c:f>
              <c:numCache>
                <c:formatCode>General</c:formatCode>
                <c:ptCount val="17"/>
                <c:pt idx="4" formatCode="0%">
                  <c:v>1.2041522491349483</c:v>
                </c:pt>
                <c:pt idx="6" formatCode="0%">
                  <c:v>0.90035587188612087</c:v>
                </c:pt>
                <c:pt idx="7" formatCode="0%">
                  <c:v>0.84210526315789469</c:v>
                </c:pt>
                <c:pt idx="8" formatCode="0%">
                  <c:v>0.58071748878923768</c:v>
                </c:pt>
                <c:pt idx="9" formatCode="0%">
                  <c:v>0.71742543171114592</c:v>
                </c:pt>
                <c:pt idx="10" formatCode="0%">
                  <c:v>0.73681125439624839</c:v>
                </c:pt>
                <c:pt idx="11" formatCode="0%">
                  <c:v>0.75655430711610494</c:v>
                </c:pt>
                <c:pt idx="12" formatCode="0%">
                  <c:v>0.7412698412698413</c:v>
                </c:pt>
                <c:pt idx="13" formatCode="0%">
                  <c:v>0.59148936170212774</c:v>
                </c:pt>
                <c:pt idx="14" formatCode="0%">
                  <c:v>0.48446069469835473</c:v>
                </c:pt>
                <c:pt idx="15" formatCode="0%">
                  <c:v>0.61356733040836997</c:v>
                </c:pt>
                <c:pt idx="16" formatCode="0%">
                  <c:v>0.39232409381663103</c:v>
                </c:pt>
              </c:numCache>
            </c:numRef>
          </c:val>
          <c:smooth val="0"/>
          <c:extLst>
            <c:ext xmlns:c16="http://schemas.microsoft.com/office/drawing/2014/chart" uri="{C3380CC4-5D6E-409C-BE32-E72D297353CC}">
              <c16:uniqueId val="{00000001-678D-40A3-BF1A-805557F6E916}"/>
            </c:ext>
          </c:extLst>
        </c:ser>
        <c:dLbls>
          <c:showLegendKey val="0"/>
          <c:showVal val="0"/>
          <c:showCatName val="0"/>
          <c:showSerName val="0"/>
          <c:showPercent val="0"/>
          <c:showBubbleSize val="0"/>
        </c:dLbls>
        <c:marker val="1"/>
        <c:smooth val="0"/>
        <c:axId val="413746976"/>
        <c:axId val="809514419"/>
      </c:lineChart>
      <c:catAx>
        <c:axId val="413746976"/>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809514419"/>
        <c:crosses val="autoZero"/>
        <c:auto val="1"/>
        <c:lblAlgn val="ctr"/>
        <c:lblOffset val="100"/>
        <c:noMultiLvlLbl val="1"/>
      </c:catAx>
      <c:valAx>
        <c:axId val="80951441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413746976"/>
        <c:crosses val="autoZero"/>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US" sz="1400" b="0" i="0">
                <a:solidFill>
                  <a:srgbClr val="757575"/>
                </a:solidFill>
                <a:latin typeface="+mn-lt"/>
              </a:rPr>
              <a:t>Revenue vs. Opex (millions)</a:t>
            </a:r>
          </a:p>
        </c:rich>
      </c:tx>
      <c:overlay val="0"/>
    </c:title>
    <c:autoTitleDeleted val="0"/>
    <c:plotArea>
      <c:layout/>
      <c:lineChart>
        <c:grouping val="standard"/>
        <c:varyColors val="1"/>
        <c:ser>
          <c:idx val="0"/>
          <c:order val="0"/>
          <c:tx>
            <c:v>Revenue</c:v>
          </c:tx>
          <c:spPr>
            <a:ln w="28575" cmpd="sng">
              <a:solidFill>
                <a:schemeClr val="accent1"/>
              </a:solidFill>
            </a:ln>
          </c:spPr>
          <c:marker>
            <c:symbol val="none"/>
          </c:marker>
          <c:cat>
            <c:strRef>
              <c:f>'Key Operating Metrics'!$B$34:$R$34</c:f>
              <c:strCache>
                <c:ptCount val="17"/>
                <c:pt idx="0">
                  <c:v>Q4 16</c:v>
                </c:pt>
                <c:pt idx="1">
                  <c:v>Q1 17</c:v>
                </c:pt>
                <c:pt idx="2">
                  <c:v>Q2 17</c:v>
                </c:pt>
                <c:pt idx="3">
                  <c:v>Q3 17</c:v>
                </c:pt>
                <c:pt idx="4">
                  <c:v>Q4 17</c:v>
                </c:pt>
                <c:pt idx="5">
                  <c:v>2017</c:v>
                </c:pt>
                <c:pt idx="6">
                  <c:v>Q1 18</c:v>
                </c:pt>
                <c:pt idx="7">
                  <c:v>Q2 18</c:v>
                </c:pt>
                <c:pt idx="8">
                  <c:v>Q3 18</c:v>
                </c:pt>
                <c:pt idx="9">
                  <c:v>Q4 18</c:v>
                </c:pt>
                <c:pt idx="10">
                  <c:v>2018</c:v>
                </c:pt>
                <c:pt idx="11">
                  <c:v>Q1 19</c:v>
                </c:pt>
                <c:pt idx="12">
                  <c:v>Q2 19</c:v>
                </c:pt>
                <c:pt idx="13">
                  <c:v>Q3 19</c:v>
                </c:pt>
                <c:pt idx="14">
                  <c:v>Q4 19</c:v>
                </c:pt>
                <c:pt idx="15">
                  <c:v>2019</c:v>
                </c:pt>
                <c:pt idx="16">
                  <c:v>Q1 20</c:v>
                </c:pt>
              </c:strCache>
            </c:strRef>
          </c:cat>
          <c:val>
            <c:numRef>
              <c:f>'Key Operating Metrics'!$B$38:$R$38</c:f>
              <c:numCache>
                <c:formatCode>General</c:formatCode>
                <c:ptCount val="17"/>
                <c:pt idx="0">
                  <c:v>147.30000000000001</c:v>
                </c:pt>
                <c:pt idx="1">
                  <c:v>100.1</c:v>
                </c:pt>
                <c:pt idx="2">
                  <c:v>99.7</c:v>
                </c:pt>
                <c:pt idx="3">
                  <c:v>124.8</c:v>
                </c:pt>
                <c:pt idx="4">
                  <c:v>188.2</c:v>
                </c:pt>
                <c:pt idx="5">
                  <c:v>512.79999999999995</c:v>
                </c:pt>
                <c:pt idx="6">
                  <c:v>136.6</c:v>
                </c:pt>
                <c:pt idx="7">
                  <c:v>156.80000000000001</c:v>
                </c:pt>
                <c:pt idx="8">
                  <c:v>173.39999999999998</c:v>
                </c:pt>
                <c:pt idx="9">
                  <c:v>275.7</c:v>
                </c:pt>
                <c:pt idx="10">
                  <c:v>742.5</c:v>
                </c:pt>
                <c:pt idx="11">
                  <c:v>206.7</c:v>
                </c:pt>
                <c:pt idx="12">
                  <c:v>250.1</c:v>
                </c:pt>
                <c:pt idx="13">
                  <c:v>260.89999999999998</c:v>
                </c:pt>
                <c:pt idx="14">
                  <c:v>411.20000000000005</c:v>
                </c:pt>
                <c:pt idx="15" formatCode="_(* #,##0_);_(* \(#,##0\);_(* &quot;-&quot;??_);_(@_)">
                  <c:v>1128.9000000000001</c:v>
                </c:pt>
                <c:pt idx="16">
                  <c:v>320.8</c:v>
                </c:pt>
              </c:numCache>
            </c:numRef>
          </c:val>
          <c:smooth val="0"/>
          <c:extLst>
            <c:ext xmlns:c16="http://schemas.microsoft.com/office/drawing/2014/chart" uri="{C3380CC4-5D6E-409C-BE32-E72D297353CC}">
              <c16:uniqueId val="{00000000-DB85-4F81-9F0D-000F3A72308B}"/>
            </c:ext>
          </c:extLst>
        </c:ser>
        <c:ser>
          <c:idx val="1"/>
          <c:order val="1"/>
          <c:tx>
            <c:v>Opex</c:v>
          </c:tx>
          <c:spPr>
            <a:ln w="28575" cmpd="sng">
              <a:solidFill>
                <a:schemeClr val="accent2"/>
              </a:solidFill>
            </a:ln>
          </c:spPr>
          <c:marker>
            <c:symbol val="none"/>
          </c:marker>
          <c:cat>
            <c:strRef>
              <c:f>'Key Operating Metrics'!$B$34:$R$34</c:f>
              <c:strCache>
                <c:ptCount val="17"/>
                <c:pt idx="0">
                  <c:v>Q4 16</c:v>
                </c:pt>
                <c:pt idx="1">
                  <c:v>Q1 17</c:v>
                </c:pt>
                <c:pt idx="2">
                  <c:v>Q2 17</c:v>
                </c:pt>
                <c:pt idx="3">
                  <c:v>Q3 17</c:v>
                </c:pt>
                <c:pt idx="4">
                  <c:v>Q4 17</c:v>
                </c:pt>
                <c:pt idx="5">
                  <c:v>2017</c:v>
                </c:pt>
                <c:pt idx="6">
                  <c:v>Q1 18</c:v>
                </c:pt>
                <c:pt idx="7">
                  <c:v>Q2 18</c:v>
                </c:pt>
                <c:pt idx="8">
                  <c:v>Q3 18</c:v>
                </c:pt>
                <c:pt idx="9">
                  <c:v>Q4 18</c:v>
                </c:pt>
                <c:pt idx="10">
                  <c:v>2018</c:v>
                </c:pt>
                <c:pt idx="11">
                  <c:v>Q1 19</c:v>
                </c:pt>
                <c:pt idx="12">
                  <c:v>Q2 19</c:v>
                </c:pt>
                <c:pt idx="13">
                  <c:v>Q3 19</c:v>
                </c:pt>
                <c:pt idx="14">
                  <c:v>Q4 19</c:v>
                </c:pt>
                <c:pt idx="15">
                  <c:v>2019</c:v>
                </c:pt>
                <c:pt idx="16">
                  <c:v>Q1 20</c:v>
                </c:pt>
              </c:strCache>
            </c:strRef>
          </c:cat>
          <c:val>
            <c:numRef>
              <c:f>'Key Operating Metrics'!$B$57:$R$57</c:f>
              <c:numCache>
                <c:formatCode>General</c:formatCode>
                <c:ptCount val="17"/>
                <c:pt idx="0">
                  <c:v>41.3</c:v>
                </c:pt>
                <c:pt idx="1">
                  <c:v>46.7</c:v>
                </c:pt>
                <c:pt idx="2">
                  <c:v>51.1</c:v>
                </c:pt>
                <c:pt idx="3">
                  <c:v>57.7</c:v>
                </c:pt>
                <c:pt idx="4">
                  <c:v>63.900000000000006</c:v>
                </c:pt>
                <c:pt idx="5">
                  <c:v>219.4</c:v>
                </c:pt>
                <c:pt idx="6">
                  <c:v>70</c:v>
                </c:pt>
                <c:pt idx="7">
                  <c:v>77.900000000000006</c:v>
                </c:pt>
                <c:pt idx="8">
                  <c:v>90.8</c:v>
                </c:pt>
                <c:pt idx="9">
                  <c:v>106.8</c:v>
                </c:pt>
                <c:pt idx="10">
                  <c:v>345.5</c:v>
                </c:pt>
                <c:pt idx="11">
                  <c:v>111.6</c:v>
                </c:pt>
                <c:pt idx="12">
                  <c:v>124.6</c:v>
                </c:pt>
                <c:pt idx="13">
                  <c:v>145.1</c:v>
                </c:pt>
                <c:pt idx="14">
                  <c:v>179</c:v>
                </c:pt>
                <c:pt idx="15">
                  <c:v>560.29999999999995</c:v>
                </c:pt>
                <c:pt idx="16">
                  <c:v>196.2</c:v>
                </c:pt>
              </c:numCache>
            </c:numRef>
          </c:val>
          <c:smooth val="0"/>
          <c:extLst>
            <c:ext xmlns:c16="http://schemas.microsoft.com/office/drawing/2014/chart" uri="{C3380CC4-5D6E-409C-BE32-E72D297353CC}">
              <c16:uniqueId val="{00000001-DB85-4F81-9F0D-000F3A72308B}"/>
            </c:ext>
          </c:extLst>
        </c:ser>
        <c:dLbls>
          <c:showLegendKey val="0"/>
          <c:showVal val="0"/>
          <c:showCatName val="0"/>
          <c:showSerName val="0"/>
          <c:showPercent val="0"/>
          <c:showBubbleSize val="0"/>
        </c:dLbls>
        <c:smooth val="0"/>
        <c:axId val="1334547120"/>
        <c:axId val="563651708"/>
      </c:lineChart>
      <c:catAx>
        <c:axId val="133454712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63651708"/>
        <c:crosses val="autoZero"/>
        <c:auto val="1"/>
        <c:lblAlgn val="ctr"/>
        <c:lblOffset val="100"/>
        <c:noMultiLvlLbl val="1"/>
      </c:catAx>
      <c:valAx>
        <c:axId val="56365170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334547120"/>
        <c:crosses val="autoZero"/>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US" sz="1400" b="0" i="0">
                <a:solidFill>
                  <a:srgbClr val="757575"/>
                </a:solidFill>
                <a:latin typeface="+mn-lt"/>
              </a:rPr>
              <a:t>Platform Revenue Growth vs. Opex Growth</a:t>
            </a:r>
          </a:p>
        </c:rich>
      </c:tx>
      <c:overlay val="0"/>
    </c:title>
    <c:autoTitleDeleted val="0"/>
    <c:plotArea>
      <c:layout/>
      <c:lineChart>
        <c:grouping val="standard"/>
        <c:varyColors val="1"/>
        <c:ser>
          <c:idx val="0"/>
          <c:order val="0"/>
          <c:tx>
            <c:v>Platform revenue growth</c:v>
          </c:tx>
          <c:spPr>
            <a:ln w="28575" cmpd="sng">
              <a:solidFill>
                <a:schemeClr val="accent1"/>
              </a:solidFill>
            </a:ln>
          </c:spPr>
          <c:marker>
            <c:symbol val="none"/>
          </c:marker>
          <c:cat>
            <c:strRef>
              <c:f>'Key Operating Metrics'!$B$34:$R$34</c:f>
              <c:strCache>
                <c:ptCount val="17"/>
                <c:pt idx="0">
                  <c:v>Q4 16</c:v>
                </c:pt>
                <c:pt idx="1">
                  <c:v>Q1 17</c:v>
                </c:pt>
                <c:pt idx="2">
                  <c:v>Q2 17</c:v>
                </c:pt>
                <c:pt idx="3">
                  <c:v>Q3 17</c:v>
                </c:pt>
                <c:pt idx="4">
                  <c:v>Q4 17</c:v>
                </c:pt>
                <c:pt idx="5">
                  <c:v>2017</c:v>
                </c:pt>
                <c:pt idx="6">
                  <c:v>Q1 18</c:v>
                </c:pt>
                <c:pt idx="7">
                  <c:v>Q2 18</c:v>
                </c:pt>
                <c:pt idx="8">
                  <c:v>Q3 18</c:v>
                </c:pt>
                <c:pt idx="9">
                  <c:v>Q4 18</c:v>
                </c:pt>
                <c:pt idx="10">
                  <c:v>2018</c:v>
                </c:pt>
                <c:pt idx="11">
                  <c:v>Q1 19</c:v>
                </c:pt>
                <c:pt idx="12">
                  <c:v>Q2 19</c:v>
                </c:pt>
                <c:pt idx="13">
                  <c:v>Q3 19</c:v>
                </c:pt>
                <c:pt idx="14">
                  <c:v>Q4 19</c:v>
                </c:pt>
                <c:pt idx="15">
                  <c:v>2019</c:v>
                </c:pt>
                <c:pt idx="16">
                  <c:v>Q1 20</c:v>
                </c:pt>
              </c:strCache>
            </c:strRef>
          </c:cat>
          <c:val>
            <c:numRef>
              <c:f>'Key Operating Metrics'!$B$36:$R$36</c:f>
              <c:numCache>
                <c:formatCode>General</c:formatCode>
                <c:ptCount val="17"/>
                <c:pt idx="4" formatCode="0%">
                  <c:v>1.2895442359249332</c:v>
                </c:pt>
                <c:pt idx="6" formatCode="0%">
                  <c:v>1.063186813186813</c:v>
                </c:pt>
                <c:pt idx="7" formatCode="0%">
                  <c:v>0.96304347826086945</c:v>
                </c:pt>
                <c:pt idx="8" formatCode="0%">
                  <c:v>0.74086956521739111</c:v>
                </c:pt>
                <c:pt idx="9" formatCode="0%">
                  <c:v>0.77283372365339575</c:v>
                </c:pt>
                <c:pt idx="10" formatCode="0%">
                  <c:v>0.85042166000887676</c:v>
                </c:pt>
                <c:pt idx="11" formatCode="0%">
                  <c:v>0.78695073235685742</c:v>
                </c:pt>
                <c:pt idx="12" formatCode="0%">
                  <c:v>0.85714285714285698</c:v>
                </c:pt>
                <c:pt idx="13" formatCode="0%">
                  <c:v>0.79120879120879151</c:v>
                </c:pt>
                <c:pt idx="14" formatCode="0%">
                  <c:v>0.71466314398943198</c:v>
                </c:pt>
                <c:pt idx="15" formatCode="0%">
                  <c:v>0.7769249220436556</c:v>
                </c:pt>
                <c:pt idx="16" formatCode="0%">
                  <c:v>0.73323397913561861</c:v>
                </c:pt>
              </c:numCache>
            </c:numRef>
          </c:val>
          <c:smooth val="0"/>
          <c:extLst>
            <c:ext xmlns:c16="http://schemas.microsoft.com/office/drawing/2014/chart" uri="{C3380CC4-5D6E-409C-BE32-E72D297353CC}">
              <c16:uniqueId val="{00000000-4130-4701-92D2-8D64846DCD6A}"/>
            </c:ext>
          </c:extLst>
        </c:ser>
        <c:ser>
          <c:idx val="1"/>
          <c:order val="1"/>
          <c:tx>
            <c:v>Opex growth</c:v>
          </c:tx>
          <c:spPr>
            <a:ln w="28575" cmpd="sng">
              <a:solidFill>
                <a:schemeClr val="accent2"/>
              </a:solidFill>
            </a:ln>
          </c:spPr>
          <c:marker>
            <c:symbol val="none"/>
          </c:marker>
          <c:cat>
            <c:strRef>
              <c:f>'Key Operating Metrics'!$B$34:$R$34</c:f>
              <c:strCache>
                <c:ptCount val="17"/>
                <c:pt idx="0">
                  <c:v>Q4 16</c:v>
                </c:pt>
                <c:pt idx="1">
                  <c:v>Q1 17</c:v>
                </c:pt>
                <c:pt idx="2">
                  <c:v>Q2 17</c:v>
                </c:pt>
                <c:pt idx="3">
                  <c:v>Q3 17</c:v>
                </c:pt>
                <c:pt idx="4">
                  <c:v>Q4 17</c:v>
                </c:pt>
                <c:pt idx="5">
                  <c:v>2017</c:v>
                </c:pt>
                <c:pt idx="6">
                  <c:v>Q1 18</c:v>
                </c:pt>
                <c:pt idx="7">
                  <c:v>Q2 18</c:v>
                </c:pt>
                <c:pt idx="8">
                  <c:v>Q3 18</c:v>
                </c:pt>
                <c:pt idx="9">
                  <c:v>Q4 18</c:v>
                </c:pt>
                <c:pt idx="10">
                  <c:v>2018</c:v>
                </c:pt>
                <c:pt idx="11">
                  <c:v>Q1 19</c:v>
                </c:pt>
                <c:pt idx="12">
                  <c:v>Q2 19</c:v>
                </c:pt>
                <c:pt idx="13">
                  <c:v>Q3 19</c:v>
                </c:pt>
                <c:pt idx="14">
                  <c:v>Q4 19</c:v>
                </c:pt>
                <c:pt idx="15">
                  <c:v>2019</c:v>
                </c:pt>
                <c:pt idx="16">
                  <c:v>Q1 20</c:v>
                </c:pt>
              </c:strCache>
            </c:strRef>
          </c:cat>
          <c:val>
            <c:numRef>
              <c:f>'Key Operating Metrics'!$B$58:$R$58</c:f>
              <c:numCache>
                <c:formatCode>0%</c:formatCode>
                <c:ptCount val="17"/>
                <c:pt idx="0">
                  <c:v>0.28038017651052272</c:v>
                </c:pt>
                <c:pt idx="1">
                  <c:v>0.46653346653346661</c:v>
                </c:pt>
                <c:pt idx="2">
                  <c:v>0.51253761283851551</c:v>
                </c:pt>
                <c:pt idx="3">
                  <c:v>0.46233974358974361</c:v>
                </c:pt>
                <c:pt idx="4">
                  <c:v>0.33953241232731141</c:v>
                </c:pt>
                <c:pt idx="5">
                  <c:v>0.42784711388455543</c:v>
                </c:pt>
                <c:pt idx="6">
                  <c:v>0.51244509516837489</c:v>
                </c:pt>
                <c:pt idx="7">
                  <c:v>0.49681122448979592</c:v>
                </c:pt>
                <c:pt idx="8">
                  <c:v>0.52364475201845451</c:v>
                </c:pt>
                <c:pt idx="9">
                  <c:v>0.38737758433079433</c:v>
                </c:pt>
                <c:pt idx="10">
                  <c:v>0.4653198653198653</c:v>
                </c:pt>
                <c:pt idx="11">
                  <c:v>0.53991291727140789</c:v>
                </c:pt>
                <c:pt idx="12">
                  <c:v>0.49820071971211516</c:v>
                </c:pt>
                <c:pt idx="13">
                  <c:v>0.55615178229206597</c:v>
                </c:pt>
                <c:pt idx="14">
                  <c:v>0.43531128404669256</c:v>
                </c:pt>
                <c:pt idx="15">
                  <c:v>0.49632385508016647</c:v>
                </c:pt>
                <c:pt idx="16">
                  <c:v>0.61159600997506225</c:v>
                </c:pt>
              </c:numCache>
            </c:numRef>
          </c:val>
          <c:smooth val="0"/>
          <c:extLst>
            <c:ext xmlns:c16="http://schemas.microsoft.com/office/drawing/2014/chart" uri="{C3380CC4-5D6E-409C-BE32-E72D297353CC}">
              <c16:uniqueId val="{00000001-4130-4701-92D2-8D64846DCD6A}"/>
            </c:ext>
          </c:extLst>
        </c:ser>
        <c:dLbls>
          <c:showLegendKey val="0"/>
          <c:showVal val="0"/>
          <c:showCatName val="0"/>
          <c:showSerName val="0"/>
          <c:showPercent val="0"/>
          <c:showBubbleSize val="0"/>
        </c:dLbls>
        <c:smooth val="0"/>
        <c:axId val="37513498"/>
        <c:axId val="870448065"/>
      </c:lineChart>
      <c:catAx>
        <c:axId val="37513498"/>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870448065"/>
        <c:crosses val="autoZero"/>
        <c:auto val="1"/>
        <c:lblAlgn val="ctr"/>
        <c:lblOffset val="100"/>
        <c:noMultiLvlLbl val="1"/>
      </c:catAx>
      <c:valAx>
        <c:axId val="87044806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 sourceLinked="0"/>
        <c:majorTickMark val="none"/>
        <c:minorTickMark val="none"/>
        <c:tickLblPos val="nextTo"/>
        <c:spPr>
          <a:ln/>
        </c:spPr>
        <c:txPr>
          <a:bodyPr/>
          <a:lstStyle/>
          <a:p>
            <a:pPr lvl="0">
              <a:defRPr sz="900" b="0" i="0">
                <a:solidFill>
                  <a:srgbClr val="000000"/>
                </a:solidFill>
                <a:latin typeface="+mn-lt"/>
              </a:defRPr>
            </a:pPr>
            <a:endParaRPr lang="en-US"/>
          </a:p>
        </c:txPr>
        <c:crossAx val="37513498"/>
        <c:crosses val="autoZero"/>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US" sz="1400" b="0" i="0">
                <a:solidFill>
                  <a:srgbClr val="757575"/>
                </a:solidFill>
                <a:latin typeface="+mn-lt"/>
              </a:rPr>
              <a:t>ROKU Revenue per 1,000 Streaming Hours</a:t>
            </a:r>
          </a:p>
        </c:rich>
      </c:tx>
      <c:overlay val="0"/>
    </c:title>
    <c:autoTitleDeleted val="0"/>
    <c:plotArea>
      <c:layout/>
      <c:barChart>
        <c:barDir val="col"/>
        <c:grouping val="clustered"/>
        <c:varyColors val="1"/>
        <c:ser>
          <c:idx val="0"/>
          <c:order val="0"/>
          <c:tx>
            <c:v>Revenue per 1,000 streaming hours</c:v>
          </c:tx>
          <c:spPr>
            <a:solidFill>
              <a:srgbClr val="4472C4"/>
            </a:solidFill>
            <a:ln cmpd="sng">
              <a:solidFill>
                <a:srgbClr val="000000"/>
              </a:solidFill>
            </a:ln>
          </c:spPr>
          <c:invertIfNegative val="1"/>
          <c:cat>
            <c:strRef>
              <c:f>'Key Operating Metrics'!$B$1:$R$1</c:f>
              <c:strCache>
                <c:ptCount val="17"/>
                <c:pt idx="0">
                  <c:v>Q4 16</c:v>
                </c:pt>
                <c:pt idx="1">
                  <c:v>Q1 17</c:v>
                </c:pt>
                <c:pt idx="2">
                  <c:v>Q2 17</c:v>
                </c:pt>
                <c:pt idx="3">
                  <c:v>Q3 17</c:v>
                </c:pt>
                <c:pt idx="4">
                  <c:v>Q4 17</c:v>
                </c:pt>
                <c:pt idx="5">
                  <c:v>2017</c:v>
                </c:pt>
                <c:pt idx="6">
                  <c:v>Q1 18</c:v>
                </c:pt>
                <c:pt idx="7">
                  <c:v>Q2 18</c:v>
                </c:pt>
                <c:pt idx="8">
                  <c:v>Q3 18</c:v>
                </c:pt>
                <c:pt idx="9">
                  <c:v>Q4 18</c:v>
                </c:pt>
                <c:pt idx="10">
                  <c:v>2018</c:v>
                </c:pt>
                <c:pt idx="11">
                  <c:v>Q1 19</c:v>
                </c:pt>
                <c:pt idx="12">
                  <c:v>Q2 19</c:v>
                </c:pt>
                <c:pt idx="13">
                  <c:v>Q3 19</c:v>
                </c:pt>
                <c:pt idx="14">
                  <c:v>Q4 19</c:v>
                </c:pt>
                <c:pt idx="15">
                  <c:v>2019</c:v>
                </c:pt>
                <c:pt idx="16">
                  <c:v>Q1 20</c:v>
                </c:pt>
              </c:strCache>
            </c:strRef>
          </c:cat>
          <c:val>
            <c:numRef>
              <c:f>'Key Operating Metrics'!$B$12:$R$12</c:f>
              <c:numCache>
                <c:formatCode>0.0</c:formatCode>
                <c:ptCount val="17"/>
                <c:pt idx="0">
                  <c:v>13.321428571428571</c:v>
                </c:pt>
                <c:pt idx="1">
                  <c:v>11.374999999999998</c:v>
                </c:pt>
                <c:pt idx="2">
                  <c:v>13.142857142857142</c:v>
                </c:pt>
                <c:pt idx="3">
                  <c:v>15.131578947368421</c:v>
                </c:pt>
                <c:pt idx="4">
                  <c:v>19.860465116279073</c:v>
                </c:pt>
                <c:pt idx="5">
                  <c:v>15.222972972972974</c:v>
                </c:pt>
                <c:pt idx="6">
                  <c:v>14.725490196078431</c:v>
                </c:pt>
                <c:pt idx="7">
                  <c:v>16.722222222222221</c:v>
                </c:pt>
                <c:pt idx="8">
                  <c:v>16.409836065573771</c:v>
                </c:pt>
                <c:pt idx="9">
                  <c:v>21.323943661971832</c:v>
                </c:pt>
                <c:pt idx="10">
                  <c:v>17.590717299578056</c:v>
                </c:pt>
                <c:pt idx="11">
                  <c:v>15.976190476190474</c:v>
                </c:pt>
                <c:pt idx="12">
                  <c:v>19.05681818181818</c:v>
                </c:pt>
                <c:pt idx="13">
                  <c:v>18.677083333333336</c:v>
                </c:pt>
                <c:pt idx="14">
                  <c:v>23.816513761467892</c:v>
                </c:pt>
                <c:pt idx="15">
                  <c:v>19.649867374005304</c:v>
                </c:pt>
                <c:pt idx="16">
                  <c:v>18.910569105691057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E7-4CD8-96BA-0A3C8B51AE84}"/>
            </c:ext>
          </c:extLst>
        </c:ser>
        <c:dLbls>
          <c:showLegendKey val="0"/>
          <c:showVal val="0"/>
          <c:showCatName val="0"/>
          <c:showSerName val="0"/>
          <c:showPercent val="0"/>
          <c:showBubbleSize val="0"/>
        </c:dLbls>
        <c:gapWidth val="150"/>
        <c:axId val="1358127274"/>
        <c:axId val="1106600181"/>
      </c:barChart>
      <c:lineChart>
        <c:grouping val="standard"/>
        <c:varyColors val="0"/>
        <c:ser>
          <c:idx val="1"/>
          <c:order val="1"/>
          <c:tx>
            <c:v>YoY growth</c:v>
          </c:tx>
          <c:spPr>
            <a:ln w="28575" cmpd="sng">
              <a:solidFill>
                <a:schemeClr val="accent2"/>
              </a:solidFill>
            </a:ln>
          </c:spPr>
          <c:marker>
            <c:symbol val="none"/>
          </c:marker>
          <c:cat>
            <c:strRef>
              <c:f>'Key Operating Metrics'!$B$1:$R$1</c:f>
              <c:strCache>
                <c:ptCount val="17"/>
                <c:pt idx="0">
                  <c:v>Q4 16</c:v>
                </c:pt>
                <c:pt idx="1">
                  <c:v>Q1 17</c:v>
                </c:pt>
                <c:pt idx="2">
                  <c:v>Q2 17</c:v>
                </c:pt>
                <c:pt idx="3">
                  <c:v>Q3 17</c:v>
                </c:pt>
                <c:pt idx="4">
                  <c:v>Q4 17</c:v>
                </c:pt>
                <c:pt idx="5">
                  <c:v>2017</c:v>
                </c:pt>
                <c:pt idx="6">
                  <c:v>Q1 18</c:v>
                </c:pt>
                <c:pt idx="7">
                  <c:v>Q2 18</c:v>
                </c:pt>
                <c:pt idx="8">
                  <c:v>Q3 18</c:v>
                </c:pt>
                <c:pt idx="9">
                  <c:v>Q4 18</c:v>
                </c:pt>
                <c:pt idx="10">
                  <c:v>2018</c:v>
                </c:pt>
                <c:pt idx="11">
                  <c:v>Q1 19</c:v>
                </c:pt>
                <c:pt idx="12">
                  <c:v>Q2 19</c:v>
                </c:pt>
                <c:pt idx="13">
                  <c:v>Q3 19</c:v>
                </c:pt>
                <c:pt idx="14">
                  <c:v>Q4 19</c:v>
                </c:pt>
                <c:pt idx="15">
                  <c:v>2019</c:v>
                </c:pt>
                <c:pt idx="16">
                  <c:v>Q1 20</c:v>
                </c:pt>
              </c:strCache>
            </c:strRef>
          </c:cat>
          <c:val>
            <c:numRef>
              <c:f>'Key Operating Metrics'!$B$13:$R$13</c:f>
              <c:numCache>
                <c:formatCode>General</c:formatCode>
                <c:ptCount val="17"/>
                <c:pt idx="4" formatCode="0.0%">
                  <c:v>0.49086601409065422</c:v>
                </c:pt>
                <c:pt idx="6" formatCode="0.0%">
                  <c:v>0.29454858866623579</c:v>
                </c:pt>
                <c:pt idx="7" formatCode="0.0%">
                  <c:v>0.27234299516908211</c:v>
                </c:pt>
                <c:pt idx="8" formatCode="0.0%">
                  <c:v>8.4476122594440595E-2</c:v>
                </c:pt>
                <c:pt idx="9" formatCode="0.0%">
                  <c:v>7.368802981825362E-2</c:v>
                </c:pt>
                <c:pt idx="10" formatCode="0.0%">
                  <c:v>0.15553757671440405</c:v>
                </c:pt>
                <c:pt idx="11" formatCode="0.0%">
                  <c:v>8.4934373216663417E-2</c:v>
                </c:pt>
                <c:pt idx="12" formatCode="0.0%">
                  <c:v>0.13961038961038952</c:v>
                </c:pt>
                <c:pt idx="13" formatCode="0.0%">
                  <c:v>0.13816391941391948</c:v>
                </c:pt>
                <c:pt idx="14" formatCode="0.0%">
                  <c:v>0.11689067177293277</c:v>
                </c:pt>
                <c:pt idx="15" formatCode="0.0%">
                  <c:v>0.11705890324760326</c:v>
                </c:pt>
                <c:pt idx="16" formatCode="0.0%">
                  <c:v>0.18367198575115418</c:v>
                </c:pt>
              </c:numCache>
            </c:numRef>
          </c:val>
          <c:smooth val="0"/>
          <c:extLst>
            <c:ext xmlns:c16="http://schemas.microsoft.com/office/drawing/2014/chart" uri="{C3380CC4-5D6E-409C-BE32-E72D297353CC}">
              <c16:uniqueId val="{00000001-9AE7-4CD8-96BA-0A3C8B51AE84}"/>
            </c:ext>
          </c:extLst>
        </c:ser>
        <c:dLbls>
          <c:showLegendKey val="0"/>
          <c:showVal val="0"/>
          <c:showCatName val="0"/>
          <c:showSerName val="0"/>
          <c:showPercent val="0"/>
          <c:showBubbleSize val="0"/>
        </c:dLbls>
        <c:marker val="1"/>
        <c:smooth val="0"/>
        <c:axId val="1358127274"/>
        <c:axId val="1106600181"/>
      </c:lineChart>
      <c:catAx>
        <c:axId val="1358127274"/>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06600181"/>
        <c:crosses val="autoZero"/>
        <c:auto val="1"/>
        <c:lblAlgn val="ctr"/>
        <c:lblOffset val="100"/>
        <c:noMultiLvlLbl val="1"/>
      </c:catAx>
      <c:valAx>
        <c:axId val="110660018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 sourceLinked="0"/>
        <c:majorTickMark val="none"/>
        <c:minorTickMark val="none"/>
        <c:tickLblPos val="nextTo"/>
        <c:spPr>
          <a:ln/>
        </c:spPr>
        <c:txPr>
          <a:bodyPr/>
          <a:lstStyle/>
          <a:p>
            <a:pPr lvl="0">
              <a:defRPr sz="900" b="0" i="0">
                <a:solidFill>
                  <a:srgbClr val="000000"/>
                </a:solidFill>
                <a:latin typeface="+mn-lt"/>
              </a:defRPr>
            </a:pPr>
            <a:endParaRPr lang="en-US"/>
          </a:p>
        </c:txPr>
        <c:crossAx val="1358127274"/>
        <c:crosses val="autoZero"/>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32</xdr:col>
      <xdr:colOff>0</xdr:colOff>
      <xdr:row>0</xdr:row>
      <xdr:rowOff>0</xdr:rowOff>
    </xdr:from>
    <xdr:ext cx="4038600" cy="2533650"/>
    <xdr:graphicFrame macro="">
      <xdr:nvGraphicFramePr>
        <xdr:cNvPr id="2" name="Chart 1">
          <a:extLst>
            <a:ext uri="{FF2B5EF4-FFF2-40B4-BE49-F238E27FC236}">
              <a16:creationId xmlns:a16="http://schemas.microsoft.com/office/drawing/2014/main" id="{AF450D3E-96A6-4B8D-AC93-A96174C30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39</xdr:col>
      <xdr:colOff>295275</xdr:colOff>
      <xdr:row>0</xdr:row>
      <xdr:rowOff>0</xdr:rowOff>
    </xdr:from>
    <xdr:ext cx="4362450" cy="2533650"/>
    <xdr:graphicFrame macro="">
      <xdr:nvGraphicFramePr>
        <xdr:cNvPr id="3" name="Chart 2">
          <a:extLst>
            <a:ext uri="{FF2B5EF4-FFF2-40B4-BE49-F238E27FC236}">
              <a16:creationId xmlns:a16="http://schemas.microsoft.com/office/drawing/2014/main" id="{24AA7E61-8E91-4C1A-9A13-1DEC876A5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48</xdr:col>
      <xdr:colOff>0</xdr:colOff>
      <xdr:row>0</xdr:row>
      <xdr:rowOff>0</xdr:rowOff>
    </xdr:from>
    <xdr:ext cx="2476500" cy="2533650"/>
    <xdr:graphicFrame macro="">
      <xdr:nvGraphicFramePr>
        <xdr:cNvPr id="4" name="Chart 3">
          <a:extLst>
            <a:ext uri="{FF2B5EF4-FFF2-40B4-BE49-F238E27FC236}">
              <a16:creationId xmlns:a16="http://schemas.microsoft.com/office/drawing/2014/main" id="{2A9CCBCA-F133-4577-A58C-10E5C9D0B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32</xdr:col>
      <xdr:colOff>9525</xdr:colOff>
      <xdr:row>19</xdr:row>
      <xdr:rowOff>9525</xdr:rowOff>
    </xdr:from>
    <xdr:ext cx="4057650" cy="2514600"/>
    <xdr:graphicFrame macro="">
      <xdr:nvGraphicFramePr>
        <xdr:cNvPr id="5" name="Chart 4">
          <a:extLst>
            <a:ext uri="{FF2B5EF4-FFF2-40B4-BE49-F238E27FC236}">
              <a16:creationId xmlns:a16="http://schemas.microsoft.com/office/drawing/2014/main" id="{966C7399-4368-4C80-9377-78AE503C4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39</xdr:col>
      <xdr:colOff>285750</xdr:colOff>
      <xdr:row>19</xdr:row>
      <xdr:rowOff>0</xdr:rowOff>
    </xdr:from>
    <xdr:ext cx="4362450" cy="2533650"/>
    <xdr:graphicFrame macro="">
      <xdr:nvGraphicFramePr>
        <xdr:cNvPr id="6" name="Chart 5">
          <a:extLst>
            <a:ext uri="{FF2B5EF4-FFF2-40B4-BE49-F238E27FC236}">
              <a16:creationId xmlns:a16="http://schemas.microsoft.com/office/drawing/2014/main" id="{72358F58-1D37-47F5-BA88-275E108CB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32</xdr:col>
      <xdr:colOff>0</xdr:colOff>
      <xdr:row>35</xdr:row>
      <xdr:rowOff>171450</xdr:rowOff>
    </xdr:from>
    <xdr:ext cx="4067175" cy="2733675"/>
    <xdr:graphicFrame macro="">
      <xdr:nvGraphicFramePr>
        <xdr:cNvPr id="7" name="Chart 6">
          <a:extLst>
            <a:ext uri="{FF2B5EF4-FFF2-40B4-BE49-F238E27FC236}">
              <a16:creationId xmlns:a16="http://schemas.microsoft.com/office/drawing/2014/main" id="{4A5C64C6-021F-470A-A150-49B3C034B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40</xdr:col>
      <xdr:colOff>9525</xdr:colOff>
      <xdr:row>35</xdr:row>
      <xdr:rowOff>161925</xdr:rowOff>
    </xdr:from>
    <xdr:ext cx="4076700" cy="2733675"/>
    <xdr:graphicFrame macro="">
      <xdr:nvGraphicFramePr>
        <xdr:cNvPr id="8" name="Chart 7">
          <a:extLst>
            <a:ext uri="{FF2B5EF4-FFF2-40B4-BE49-F238E27FC236}">
              <a16:creationId xmlns:a16="http://schemas.microsoft.com/office/drawing/2014/main" id="{C788ECB3-4827-4AC4-BF35-6444E697B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48</xdr:col>
      <xdr:colOff>0</xdr:colOff>
      <xdr:row>18</xdr:row>
      <xdr:rowOff>152400</xdr:rowOff>
    </xdr:from>
    <xdr:ext cx="2447925" cy="2571750"/>
    <xdr:graphicFrame macro="">
      <xdr:nvGraphicFramePr>
        <xdr:cNvPr id="9" name="Chart 8">
          <a:extLst>
            <a:ext uri="{FF2B5EF4-FFF2-40B4-BE49-F238E27FC236}">
              <a16:creationId xmlns:a16="http://schemas.microsoft.com/office/drawing/2014/main" id="{D8EA9E2B-BC74-46F3-A1FC-B09F577B1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variety.com/2020/streaming/features/roku-premium-streaming-1234748507/amp/" TargetMode="External"/><Relationship Id="rId2" Type="http://schemas.openxmlformats.org/officeDocument/2006/relationships/hyperlink" Target="https://variety.com/2020/streaming/features/roku-premium-streaming-1234748507/amp/" TargetMode="External"/><Relationship Id="rId1" Type="http://schemas.openxmlformats.org/officeDocument/2006/relationships/hyperlink" Target="https://www.statista.com/statistics/1021332/united-states-connected-tv-devices-market-share/"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99A5F-01EB-4D4F-AB2C-0D34A0955024}">
  <dimension ref="A1:P46"/>
  <sheetViews>
    <sheetView tabSelected="1" topLeftCell="C1" workbookViewId="0">
      <selection activeCell="P19" sqref="P19"/>
    </sheetView>
  </sheetViews>
  <sheetFormatPr defaultRowHeight="14.5" x14ac:dyDescent="0.35"/>
  <cols>
    <col min="1" max="1" width="34.08984375" bestFit="1" customWidth="1"/>
    <col min="2" max="6" width="12.08984375" bestFit="1" customWidth="1"/>
    <col min="7" max="8" width="11.08984375" bestFit="1" customWidth="1"/>
    <col min="14" max="14" width="27.453125" bestFit="1" customWidth="1"/>
  </cols>
  <sheetData>
    <row r="1" spans="1:16" x14ac:dyDescent="0.35">
      <c r="A1" t="s">
        <v>113</v>
      </c>
      <c r="B1" t="s">
        <v>117</v>
      </c>
      <c r="G1">
        <v>2018</v>
      </c>
      <c r="H1">
        <v>2019</v>
      </c>
      <c r="I1">
        <v>2020</v>
      </c>
      <c r="N1" t="s">
        <v>157</v>
      </c>
      <c r="O1" t="s">
        <v>158</v>
      </c>
      <c r="P1" t="s">
        <v>128</v>
      </c>
    </row>
    <row r="2" spans="1:16" x14ac:dyDescent="0.35">
      <c r="A2" t="s">
        <v>114</v>
      </c>
      <c r="B2" t="s">
        <v>118</v>
      </c>
      <c r="F2" t="s">
        <v>84</v>
      </c>
      <c r="G2" s="7">
        <f>F31</f>
        <v>-73.499999999999972</v>
      </c>
      <c r="H2" s="7">
        <f>G31</f>
        <v>-35.999999999999957</v>
      </c>
      <c r="I2" s="7">
        <f>H31</f>
        <v>-31.97</v>
      </c>
      <c r="N2" t="s">
        <v>9</v>
      </c>
      <c r="O2" s="7">
        <f>J19</f>
        <v>4748.9175819412949</v>
      </c>
      <c r="P2" s="7">
        <f>L19</f>
        <v>9192.4432743812904</v>
      </c>
    </row>
    <row r="3" spans="1:16" x14ac:dyDescent="0.35">
      <c r="A3" t="s">
        <v>115</v>
      </c>
      <c r="B3">
        <v>330</v>
      </c>
      <c r="F3" s="14" t="s">
        <v>150</v>
      </c>
      <c r="G3" s="7">
        <f>F34</f>
        <v>-0.98</v>
      </c>
      <c r="H3" s="7">
        <f t="shared" ref="H3:I3" si="0">G34</f>
        <v>-0.95</v>
      </c>
      <c r="I3" s="7">
        <f t="shared" si="0"/>
        <v>0</v>
      </c>
      <c r="N3" s="3" t="s">
        <v>159</v>
      </c>
      <c r="O3" s="17">
        <f>(O2/$G$19)^(1/3)-1</f>
        <v>0.38735752540725121</v>
      </c>
      <c r="P3" s="17">
        <f>(P2/$G$19)^(1/5)-1</f>
        <v>0.38892981859960507</v>
      </c>
    </row>
    <row r="4" spans="1:16" x14ac:dyDescent="0.35">
      <c r="F4" t="s">
        <v>151</v>
      </c>
      <c r="G4" s="7">
        <f>G2-G3</f>
        <v>-72.519999999999968</v>
      </c>
      <c r="H4" s="7">
        <f>H2-H3</f>
        <v>-35.049999999999955</v>
      </c>
      <c r="I4" s="7">
        <f>I2-I3</f>
        <v>-31.97</v>
      </c>
      <c r="N4" t="s">
        <v>160</v>
      </c>
      <c r="O4" s="18">
        <f>$J29</f>
        <v>0.145814280423231</v>
      </c>
      <c r="P4" s="18">
        <f>$L29</f>
        <v>0.245814280423231</v>
      </c>
    </row>
    <row r="5" spans="1:16" x14ac:dyDescent="0.35">
      <c r="A5" t="s">
        <v>86</v>
      </c>
      <c r="B5" s="7">
        <f>G43*B3</f>
        <v>40920</v>
      </c>
      <c r="N5" t="s">
        <v>161</v>
      </c>
      <c r="O5">
        <v>25</v>
      </c>
      <c r="P5">
        <v>25</v>
      </c>
    </row>
    <row r="6" spans="1:16" x14ac:dyDescent="0.35">
      <c r="A6" t="s">
        <v>87</v>
      </c>
      <c r="B6" s="2">
        <f>'Balance Sheet'!H7</f>
        <v>1092.8</v>
      </c>
      <c r="F6" t="s">
        <v>50</v>
      </c>
      <c r="G6" s="15">
        <f>'Balance Sheet'!F27</f>
        <v>220.3</v>
      </c>
      <c r="H6" s="15">
        <f>'Balance Sheet'!G27</f>
        <v>771.8</v>
      </c>
      <c r="I6" s="15">
        <f>'Balance Sheet'!H27</f>
        <v>942.5</v>
      </c>
      <c r="N6" t="s">
        <v>162</v>
      </c>
      <c r="O6" s="7">
        <f>O2*O4*O5</f>
        <v>17311.5</v>
      </c>
      <c r="P6" s="7">
        <f>P2*P4*P5</f>
        <v>56490.845720585159</v>
      </c>
    </row>
    <row r="7" spans="1:16" x14ac:dyDescent="0.35">
      <c r="A7" t="s">
        <v>63</v>
      </c>
      <c r="B7" s="2">
        <f>'Balance Sheet'!H41</f>
        <v>94.7</v>
      </c>
      <c r="F7" s="14" t="s">
        <v>152</v>
      </c>
      <c r="G7" s="15">
        <f>'Balance Sheet'!F33</f>
        <v>244.7</v>
      </c>
      <c r="H7" s="15">
        <f>'Balance Sheet'!G33</f>
        <v>698.4</v>
      </c>
      <c r="I7" s="15">
        <f>'Balance Sheet'!H33</f>
        <v>1328</v>
      </c>
    </row>
    <row r="8" spans="1:16" x14ac:dyDescent="0.35">
      <c r="A8" t="s">
        <v>88</v>
      </c>
      <c r="B8" s="7">
        <f>B5-B6+B7</f>
        <v>39921.899999999994</v>
      </c>
      <c r="F8" s="14" t="s">
        <v>153</v>
      </c>
      <c r="G8" s="15">
        <f>'Balance Sheet'!F7</f>
        <v>197.7</v>
      </c>
      <c r="H8" s="15">
        <f>'Balance Sheet'!G7</f>
        <v>515.5</v>
      </c>
      <c r="I8" s="15">
        <f>'Balance Sheet'!H7</f>
        <v>1092.8</v>
      </c>
      <c r="N8" t="s">
        <v>163</v>
      </c>
      <c r="O8" s="8">
        <f>O11/O9</f>
        <v>125.07481952597645</v>
      </c>
      <c r="P8" s="8">
        <f>P11/P9</f>
        <v>424.9727762184678</v>
      </c>
    </row>
    <row r="9" spans="1:16" x14ac:dyDescent="0.35">
      <c r="F9" t="s">
        <v>154</v>
      </c>
      <c r="G9" s="15">
        <f>G6+G7-G8</f>
        <v>267.3</v>
      </c>
      <c r="H9" s="15">
        <f>H6+H7-H8</f>
        <v>954.69999999999982</v>
      </c>
      <c r="I9" s="15">
        <f>I6+I7-I8</f>
        <v>1177.7</v>
      </c>
      <c r="N9" t="s">
        <v>164</v>
      </c>
      <c r="O9" s="7">
        <f>$J43</f>
        <v>141.86956521739131</v>
      </c>
      <c r="P9" s="7">
        <f>$L43</f>
        <v>136.25153043478261</v>
      </c>
    </row>
    <row r="10" spans="1:16" x14ac:dyDescent="0.35">
      <c r="A10" t="s">
        <v>127</v>
      </c>
      <c r="B10">
        <v>2021</v>
      </c>
      <c r="C10">
        <v>2023</v>
      </c>
      <c r="D10">
        <v>2025</v>
      </c>
      <c r="N10" s="3" t="s">
        <v>165</v>
      </c>
      <c r="O10" s="19">
        <f>($J$43/$G$43)^(1/3)-1</f>
        <v>4.5897642796772775E-2</v>
      </c>
      <c r="P10" s="19">
        <f>($L$43/$G$43)^(1/5)-1</f>
        <v>1.902289295242543E-2</v>
      </c>
    </row>
    <row r="11" spans="1:16" x14ac:dyDescent="0.35">
      <c r="A11" t="s">
        <v>110</v>
      </c>
      <c r="B11" s="11">
        <f>$B$8/H19</f>
        <v>15.545729605962546</v>
      </c>
      <c r="C11" s="11">
        <f>$B$8/J19</f>
        <v>8.4065261843690386</v>
      </c>
      <c r="D11" s="11">
        <f>$B$8/L19</f>
        <v>4.3429041451101034</v>
      </c>
      <c r="F11" t="s">
        <v>155</v>
      </c>
      <c r="H11" s="2">
        <f>(H9+G9)/2</f>
        <v>610.99999999999989</v>
      </c>
      <c r="I11" s="2">
        <f>(I9+H9)/2</f>
        <v>1066.1999999999998</v>
      </c>
      <c r="N11" t="s">
        <v>86</v>
      </c>
      <c r="O11" s="7">
        <f>O14+O12-O13</f>
        <v>17744.310265793963</v>
      </c>
      <c r="P11" s="7">
        <f>P14+P12-P13</f>
        <v>57903.191152884625</v>
      </c>
    </row>
    <row r="12" spans="1:16" x14ac:dyDescent="0.35">
      <c r="A12" t="s">
        <v>147</v>
      </c>
      <c r="B12" s="11">
        <f>$B$8/H22</f>
        <v>33.217370952911423</v>
      </c>
      <c r="C12" s="11">
        <f>$B$8/J22</f>
        <v>16.548279890490235</v>
      </c>
      <c r="D12" s="11">
        <f>$B$8/L22</f>
        <v>7.9250075640695306</v>
      </c>
      <c r="H12" s="2"/>
      <c r="I12" s="2"/>
      <c r="N12" t="s">
        <v>87</v>
      </c>
      <c r="O12" s="7">
        <f>O14/$B$8*$B$6</f>
        <v>473.87542176098839</v>
      </c>
      <c r="P12" s="7">
        <f>P14/$B$8*$B$6</f>
        <v>1546.3491518052865</v>
      </c>
    </row>
    <row r="13" spans="1:16" x14ac:dyDescent="0.35">
      <c r="A13" t="s">
        <v>111</v>
      </c>
      <c r="B13" s="11">
        <f>$B$8/H28</f>
        <v>225.61118960158234</v>
      </c>
      <c r="C13" s="11">
        <f>$B$8/J28</f>
        <v>57.652283164370495</v>
      </c>
      <c r="D13" s="11">
        <f>$B$8/L28</f>
        <v>17.667420044241137</v>
      </c>
      <c r="F13" t="s">
        <v>156</v>
      </c>
      <c r="H13" s="16">
        <f>H4/H11</f>
        <v>-5.7364975450081769E-2</v>
      </c>
      <c r="I13" s="16">
        <f>I4/I11</f>
        <v>-2.9984993434627655E-2</v>
      </c>
      <c r="N13" t="s">
        <v>166</v>
      </c>
      <c r="O13" s="7">
        <f>O14/$B$8*$B$7</f>
        <v>41.065155967025625</v>
      </c>
      <c r="P13" s="7">
        <f>P14/$B$8*$B$7</f>
        <v>134.0037195058205</v>
      </c>
    </row>
    <row r="14" spans="1:16" x14ac:dyDescent="0.35">
      <c r="A14" t="s">
        <v>148</v>
      </c>
      <c r="B14" s="11">
        <f>$B$8/H31</f>
        <v>-1248.7300594307162</v>
      </c>
      <c r="C14" s="11">
        <f>$B$8/J31</f>
        <v>124.27824300345544</v>
      </c>
      <c r="D14" s="11">
        <f>$B$8/L31</f>
        <v>25.905703039923743</v>
      </c>
      <c r="N14" t="s">
        <v>167</v>
      </c>
      <c r="O14" s="7">
        <f>O6</f>
        <v>17311.5</v>
      </c>
      <c r="P14" s="7">
        <f>P6</f>
        <v>56490.845720585159</v>
      </c>
    </row>
    <row r="15" spans="1:16" x14ac:dyDescent="0.35">
      <c r="A15" t="s">
        <v>116</v>
      </c>
      <c r="B15" s="11">
        <f>$B$8/H40</f>
        <v>326.00182492118046</v>
      </c>
      <c r="C15" s="11">
        <f>$B$8/J40</f>
        <v>75.848684878978787</v>
      </c>
      <c r="D15" s="11">
        <f>$B$8/L40</f>
        <v>20.598801712607049</v>
      </c>
    </row>
    <row r="16" spans="1:16" x14ac:dyDescent="0.35">
      <c r="A16" t="s">
        <v>112</v>
      </c>
      <c r="B16" s="11">
        <f>$B$8/H35</f>
        <v>-1544.9651702786377</v>
      </c>
      <c r="C16" s="11">
        <f>$B$8/J35</f>
        <v>122.34722647870056</v>
      </c>
      <c r="D16" s="11">
        <f>$B$8/L35</f>
        <v>25.741769857799582</v>
      </c>
      <c r="N16" t="s">
        <v>168</v>
      </c>
      <c r="O16" s="20">
        <f>(O8/$B$3)^(1/3)-1</f>
        <v>-0.27631098295275869</v>
      </c>
      <c r="P16" s="20">
        <f>(P8/$B$3)^(1/5)-1</f>
        <v>5.1887838557951094E-2</v>
      </c>
    </row>
    <row r="18" spans="1:16" x14ac:dyDescent="0.35">
      <c r="A18" s="3" t="str">
        <f>'Income Statement'!A3</f>
        <v>All Financials displayed in millions</v>
      </c>
      <c r="B18" t="str">
        <f>'Income Statement'!B1</f>
        <v>FY15</v>
      </c>
      <c r="C18" t="str">
        <f>'Income Statement'!C1</f>
        <v>FY16</v>
      </c>
      <c r="D18" t="str">
        <f>'Income Statement'!D1</f>
        <v>FY17</v>
      </c>
      <c r="E18" t="str">
        <f>'Income Statement'!E1</f>
        <v>FY18</v>
      </c>
      <c r="F18" t="str">
        <f>'Income Statement'!F1</f>
        <v>FY19</v>
      </c>
      <c r="G18" t="s">
        <v>90</v>
      </c>
      <c r="H18" t="s">
        <v>91</v>
      </c>
      <c r="I18" t="s">
        <v>129</v>
      </c>
      <c r="J18" t="s">
        <v>130</v>
      </c>
      <c r="K18" t="s">
        <v>144</v>
      </c>
      <c r="L18" t="s">
        <v>145</v>
      </c>
      <c r="N18" t="s">
        <v>169</v>
      </c>
      <c r="O18" s="21">
        <v>0.15</v>
      </c>
      <c r="P18" s="21">
        <v>0.15</v>
      </c>
    </row>
    <row r="19" spans="1:16" x14ac:dyDescent="0.35">
      <c r="A19" t="s">
        <v>9</v>
      </c>
      <c r="B19" s="2">
        <f>INDEX('Income Statement'!$A$1:$M$29,MATCH(Valuation!$A19,'Income Statement'!$A:$A,0),MATCH(Valuation!B$18,'Income Statement'!$1:$1,0))</f>
        <v>319.89999999999998</v>
      </c>
      <c r="C19" s="2">
        <f>INDEX('Income Statement'!$A$1:$M$29,MATCH(Valuation!$A19,'Income Statement'!$A:$A,0),MATCH(Valuation!C$18,'Income Statement'!$1:$1,0))</f>
        <v>398.6</v>
      </c>
      <c r="D19" s="2">
        <f>INDEX('Income Statement'!$A$1:$M$29,MATCH(Valuation!$A19,'Income Statement'!$A:$A,0),MATCH(Valuation!D$18,'Income Statement'!$1:$1,0))</f>
        <v>512.79999999999995</v>
      </c>
      <c r="E19" s="2">
        <f>INDEX('Income Statement'!$A$1:$M$29,MATCH(Valuation!$A19,'Income Statement'!$A:$A,0),MATCH(Valuation!E$18,'Income Statement'!$1:$1,0))</f>
        <v>742.5</v>
      </c>
      <c r="F19" s="2">
        <f>INDEX('Income Statement'!$A$1:$M$29,MATCH(Valuation!$A19,'Income Statement'!$A:$A,0),MATCH(Valuation!F$18,'Income Statement'!$1:$1,0))</f>
        <v>1128.9000000000001</v>
      </c>
      <c r="G19" s="2">
        <f>INDEX('Income Statement'!$A$1:$M$29,MATCH(Valuation!$A19,'Income Statement'!$A:$A,0),MATCH(Valuation!G$18,'Income Statement'!$1:$1,0))</f>
        <v>1778.4</v>
      </c>
      <c r="H19" s="2">
        <f>Estimates!C19/10</f>
        <v>2568.0299999999997</v>
      </c>
      <c r="I19" s="2">
        <f>Estimates!D19/10</f>
        <v>3549.25</v>
      </c>
      <c r="J19" s="2">
        <f>'Key Operating Metrics'!AC35</f>
        <v>4748.9175819412949</v>
      </c>
      <c r="K19" s="2">
        <f>'Key Operating Metrics'!AD35</f>
        <v>6748.673584259046</v>
      </c>
      <c r="L19" s="2">
        <f>'Key Operating Metrics'!AE35</f>
        <v>9192.4432743812904</v>
      </c>
      <c r="N19" t="s">
        <v>170</v>
      </c>
      <c r="O19" s="7">
        <f>O8/(1+O18)^3</f>
        <v>82.238724106830929</v>
      </c>
      <c r="P19" s="7">
        <f>P8/(1+P18)^5</f>
        <v>211.28657747094854</v>
      </c>
    </row>
    <row r="20" spans="1:16" x14ac:dyDescent="0.35">
      <c r="A20" s="3" t="s">
        <v>79</v>
      </c>
      <c r="B20" s="5"/>
      <c r="C20" s="6">
        <f>C19/B19-1</f>
        <v>0.24601437949359184</v>
      </c>
      <c r="D20" s="6">
        <f>D19/C19-1</f>
        <v>0.28650275965880567</v>
      </c>
      <c r="E20" s="6">
        <f>E19/D19-1</f>
        <v>0.44793291731669282</v>
      </c>
      <c r="F20" s="6">
        <f>F19/E19-1</f>
        <v>0.52040404040404042</v>
      </c>
      <c r="G20" s="6">
        <f>G19/F19-1</f>
        <v>0.57533882540526182</v>
      </c>
      <c r="H20" s="6">
        <f t="shared" ref="H20" si="1">H19/G19-1</f>
        <v>0.44401147098515503</v>
      </c>
      <c r="I20" s="6">
        <f t="shared" ref="I20" si="2">I19/H19-1</f>
        <v>0.38209055190165242</v>
      </c>
      <c r="J20" s="6">
        <f t="shared" ref="J20" si="3">J19/I19-1</f>
        <v>0.33800593982990623</v>
      </c>
      <c r="K20" s="6">
        <f t="shared" ref="K20" si="4">K19/J19-1</f>
        <v>0.42109722222222201</v>
      </c>
      <c r="L20" s="6">
        <f t="shared" ref="L20" si="5">L19/K19-1</f>
        <v>0.36211111111111061</v>
      </c>
      <c r="N20" t="s">
        <v>171</v>
      </c>
      <c r="O20" s="22">
        <f>$B$3/O19-1</f>
        <v>3.0127081686155375</v>
      </c>
      <c r="P20" s="22">
        <f>$B$3/P19-1</f>
        <v>0.56185974494936519</v>
      </c>
    </row>
    <row r="21" spans="1:16" x14ac:dyDescent="0.35">
      <c r="A21" t="s">
        <v>11</v>
      </c>
      <c r="B21" s="2">
        <f>INDEX('Income Statement'!$A$1:$M$29,MATCH(Valuation!$A21,'Income Statement'!$A:$A,0),MATCH(Valuation!B$18,'Income Statement'!$1:$1,0))</f>
        <v>230.1</v>
      </c>
      <c r="C21" s="2">
        <f>INDEX('Income Statement'!$A$1:$M$29,MATCH(Valuation!$A21,'Income Statement'!$A:$A,0),MATCH(Valuation!C$18,'Income Statement'!$1:$1,0))</f>
        <v>277.60000000000002</v>
      </c>
      <c r="D21" s="2">
        <f>INDEX('Income Statement'!$A$1:$M$29,MATCH(Valuation!$A21,'Income Statement'!$A:$A,0),MATCH(Valuation!D$18,'Income Statement'!$1:$1,0))</f>
        <v>312.89999999999998</v>
      </c>
      <c r="E21" s="2">
        <f>INDEX('Income Statement'!$A$1:$M$29,MATCH(Valuation!$A21,'Income Statement'!$A:$A,0),MATCH(Valuation!E$18,'Income Statement'!$1:$1,0))</f>
        <v>410.4</v>
      </c>
      <c r="F21" s="2">
        <f>INDEX('Income Statement'!$A$1:$M$29,MATCH(Valuation!$A21,'Income Statement'!$A:$A,0),MATCH(Valuation!F$18,'Income Statement'!$1:$1,0))</f>
        <v>633.70000000000005</v>
      </c>
      <c r="G21" s="2">
        <f>INDEX('Income Statement'!$A$1:$M$29,MATCH(Valuation!$A21,'Income Statement'!$A:$A,0),MATCH(Valuation!G$18,'Income Statement'!$1:$1,0))</f>
        <v>970.2</v>
      </c>
      <c r="H21" s="7">
        <f>H19-H22</f>
        <v>1366.1919599999999</v>
      </c>
      <c r="I21" s="7">
        <f t="shared" ref="I21:J21" si="6">I19-I22</f>
        <v>1834.96225</v>
      </c>
      <c r="J21" s="7">
        <f t="shared" si="6"/>
        <v>2336.4674503151173</v>
      </c>
      <c r="K21" s="7">
        <f t="shared" ref="K21" si="7">K19-K22</f>
        <v>3185.3739317702693</v>
      </c>
      <c r="L21" s="7">
        <f t="shared" ref="L21" si="8">L19-L22</f>
        <v>4154.984360020343</v>
      </c>
    </row>
    <row r="22" spans="1:16" x14ac:dyDescent="0.35">
      <c r="A22" t="s">
        <v>12</v>
      </c>
      <c r="B22" s="2">
        <f>B19-B21</f>
        <v>89.799999999999983</v>
      </c>
      <c r="C22" s="2">
        <f t="shared" ref="C22:F22" si="9">C19-C21</f>
        <v>121</v>
      </c>
      <c r="D22" s="2">
        <f t="shared" si="9"/>
        <v>199.89999999999998</v>
      </c>
      <c r="E22" s="2">
        <f t="shared" si="9"/>
        <v>332.1</v>
      </c>
      <c r="F22" s="2">
        <f t="shared" si="9"/>
        <v>495.20000000000005</v>
      </c>
      <c r="G22" s="2">
        <f t="shared" ref="G22" si="10">G19-G21</f>
        <v>808.2</v>
      </c>
      <c r="H22" s="7">
        <f>H23*H19</f>
        <v>1201.8380399999999</v>
      </c>
      <c r="I22" s="7">
        <f t="shared" ref="I22:J22" si="11">I23*I19</f>
        <v>1714.28775</v>
      </c>
      <c r="J22" s="7">
        <f t="shared" si="11"/>
        <v>2412.4501316261776</v>
      </c>
      <c r="K22" s="7">
        <f t="shared" ref="K22" si="12">K23*K19</f>
        <v>3563.2996524887767</v>
      </c>
      <c r="L22" s="7">
        <f t="shared" ref="L22" si="13">L23*L19</f>
        <v>5037.4589143609473</v>
      </c>
      <c r="N22" t="s">
        <v>172</v>
      </c>
      <c r="O22" t="str">
        <f>IF(O16&lt;0,"Sell",IF(O16&gt;15%,"Buy","Hold"))</f>
        <v>Sell</v>
      </c>
      <c r="P22" t="str">
        <f>IF(P16&lt;0,"Sell",IF(P16&gt;15%,"Buy","Hold"))</f>
        <v>Hold</v>
      </c>
    </row>
    <row r="23" spans="1:16" x14ac:dyDescent="0.35">
      <c r="A23" s="3" t="s">
        <v>80</v>
      </c>
      <c r="B23" s="6">
        <f t="shared" ref="B23:G23" si="14">B22/B$19</f>
        <v>0.28071272272585179</v>
      </c>
      <c r="C23" s="6">
        <f t="shared" si="14"/>
        <v>0.30356246864024083</v>
      </c>
      <c r="D23" s="6">
        <f t="shared" si="14"/>
        <v>0.38982059282371295</v>
      </c>
      <c r="E23" s="6">
        <f t="shared" si="14"/>
        <v>0.44727272727272732</v>
      </c>
      <c r="F23" s="6">
        <f t="shared" si="14"/>
        <v>0.4386570998316946</v>
      </c>
      <c r="G23" s="6">
        <f t="shared" si="14"/>
        <v>0.45445344129554655</v>
      </c>
      <c r="H23" s="10">
        <f>Estimates!C31</f>
        <v>0.46800000000000003</v>
      </c>
      <c r="I23" s="10">
        <f>Estimates!D31</f>
        <v>0.48299999999999998</v>
      </c>
      <c r="J23" s="10">
        <f>Estimates!E31</f>
        <v>0.50800000000000001</v>
      </c>
      <c r="K23" s="10">
        <f>J23+2%</f>
        <v>0.52800000000000002</v>
      </c>
      <c r="L23" s="10">
        <f>K23+2%</f>
        <v>0.54800000000000004</v>
      </c>
    </row>
    <row r="24" spans="1:16" x14ac:dyDescent="0.35">
      <c r="A24" t="s">
        <v>13</v>
      </c>
      <c r="B24" s="2">
        <f>INDEX('Income Statement'!$A$1:$M$29,MATCH(Valuation!$A24,'Income Statement'!$A:$A,0),MATCH(Valuation!B$18,'Income Statement'!$1:$1,0))</f>
        <v>76.900000000000006</v>
      </c>
      <c r="C24" s="2">
        <f>INDEX('Income Statement'!$A$1:$M$29,MATCH(Valuation!$A24,'Income Statement'!$A:$A,0),MATCH(Valuation!C$18,'Income Statement'!$1:$1,0))</f>
        <v>88.2</v>
      </c>
      <c r="D24" s="2">
        <f>INDEX('Income Statement'!$A$1:$M$29,MATCH(Valuation!$A24,'Income Statement'!$A:$A,0),MATCH(Valuation!D$18,'Income Statement'!$1:$1,0))</f>
        <v>111.5</v>
      </c>
      <c r="E24" s="2">
        <f>INDEX('Income Statement'!$A$1:$M$29,MATCH(Valuation!$A24,'Income Statement'!$A:$A,0),MATCH(Valuation!E$18,'Income Statement'!$1:$1,0))</f>
        <v>174.8</v>
      </c>
      <c r="F24" s="2">
        <f>INDEX('Income Statement'!$A$1:$M$29,MATCH(Valuation!$A24,'Income Statement'!$A:$A,0),MATCH(Valuation!F$18,'Income Statement'!$1:$1,0))</f>
        <v>295.3</v>
      </c>
      <c r="G24" s="2">
        <f>INDEX('Income Statement'!$A$1:$M$29,MATCH(Valuation!$A24,'Income Statement'!$A:$A,0),MATCH(Valuation!G$18,'Income Statement'!$1:$1,0))</f>
        <v>472.7</v>
      </c>
      <c r="H24" s="2"/>
      <c r="I24" s="2"/>
      <c r="J24" s="2"/>
      <c r="K24" s="2"/>
      <c r="L24" s="2"/>
    </row>
    <row r="25" spans="1:16" x14ac:dyDescent="0.35">
      <c r="A25" s="3" t="s">
        <v>146</v>
      </c>
      <c r="B25" s="6">
        <f t="shared" ref="B25:G25" si="15">B24/B$19</f>
        <v>0.24038762113160367</v>
      </c>
      <c r="C25" s="6">
        <f t="shared" si="15"/>
        <v>0.22127446061214248</v>
      </c>
      <c r="D25" s="6">
        <f t="shared" si="15"/>
        <v>0.21743369734789394</v>
      </c>
      <c r="E25" s="6">
        <f t="shared" si="15"/>
        <v>0.23542087542087545</v>
      </c>
      <c r="F25" s="6">
        <f t="shared" si="15"/>
        <v>0.26158207104260783</v>
      </c>
      <c r="G25" s="6">
        <f t="shared" si="15"/>
        <v>0.26580071974808817</v>
      </c>
      <c r="H25" s="6"/>
      <c r="I25" s="6"/>
      <c r="J25" s="6"/>
      <c r="K25" s="6"/>
      <c r="L25" s="6"/>
    </row>
    <row r="26" spans="1:16" x14ac:dyDescent="0.35">
      <c r="A26" t="s">
        <v>119</v>
      </c>
      <c r="B26" s="2">
        <f>INDEX('Income Statement'!$A$1:$M$29,MATCH(Valuation!$A26,'Income Statement'!$A:$A,0),MATCH(Valuation!B$18,'Income Statement'!$1:$1,0))</f>
        <v>50.5</v>
      </c>
      <c r="C26" s="2">
        <f>INDEX('Income Statement'!$A$1:$M$29,MATCH(Valuation!$A26,'Income Statement'!$A:$A,0),MATCH(Valuation!C$18,'Income Statement'!$1:$1,0))</f>
        <v>76.2</v>
      </c>
      <c r="D26" s="2">
        <f>INDEX('Income Statement'!$A$1:$M$29,MATCH(Valuation!$A26,'Income Statement'!$A:$A,0),MATCH(Valuation!D$18,'Income Statement'!$1:$1,0))</f>
        <v>107.9</v>
      </c>
      <c r="E26" s="2">
        <f>INDEX('Income Statement'!$A$1:$M$29,MATCH(Valuation!$A26,'Income Statement'!$A:$A,0),MATCH(Valuation!E$18,'Income Statement'!$1:$1,0))</f>
        <v>170.7</v>
      </c>
      <c r="F26" s="2">
        <f>INDEX('Income Statement'!$A$1:$M$29,MATCH(Valuation!$A26,'Income Statement'!$A:$A,0),MATCH(Valuation!F$18,'Income Statement'!$1:$1,0))</f>
        <v>265</v>
      </c>
      <c r="G26" s="2">
        <f>INDEX('Income Statement'!$A$1:$M$29,MATCH(Valuation!$A26,'Income Statement'!$A:$A,0),MATCH(Valuation!G$18,'Income Statement'!$1:$1,0))</f>
        <v>355.8</v>
      </c>
      <c r="H26" s="6"/>
      <c r="I26" s="6"/>
      <c r="J26" s="6"/>
      <c r="K26" s="6"/>
      <c r="L26" s="6"/>
    </row>
    <row r="27" spans="1:16" x14ac:dyDescent="0.35">
      <c r="A27" s="3" t="s">
        <v>146</v>
      </c>
      <c r="B27" s="6">
        <f t="shared" ref="B27:G27" si="16">B26/B$19</f>
        <v>0.15786183182244454</v>
      </c>
      <c r="C27" s="6">
        <f t="shared" si="16"/>
        <v>0.19116909182137481</v>
      </c>
      <c r="D27" s="6">
        <f t="shared" si="16"/>
        <v>0.21041341653666149</v>
      </c>
      <c r="E27" s="6">
        <f t="shared" si="16"/>
        <v>0.22989898989898988</v>
      </c>
      <c r="F27" s="6">
        <f t="shared" si="16"/>
        <v>0.23474178403755866</v>
      </c>
      <c r="G27" s="6">
        <f t="shared" si="16"/>
        <v>0.20006747638326586</v>
      </c>
      <c r="H27" s="6"/>
      <c r="I27" s="6"/>
      <c r="J27" s="6"/>
      <c r="K27" s="6"/>
      <c r="L27" s="6"/>
    </row>
    <row r="28" spans="1:16" x14ac:dyDescent="0.35">
      <c r="A28" t="s">
        <v>81</v>
      </c>
      <c r="B28" s="7">
        <f>B22-B24-B26</f>
        <v>-37.600000000000023</v>
      </c>
      <c r="C28" s="7">
        <f t="shared" ref="C28:G28" si="17">C22-C24-C26</f>
        <v>-43.400000000000006</v>
      </c>
      <c r="D28" s="7">
        <f t="shared" si="17"/>
        <v>-19.500000000000028</v>
      </c>
      <c r="E28" s="7">
        <f t="shared" si="17"/>
        <v>-13.399999999999977</v>
      </c>
      <c r="F28" s="7">
        <f t="shared" si="17"/>
        <v>-65.099999999999966</v>
      </c>
      <c r="G28" s="7">
        <f t="shared" si="17"/>
        <v>-20.299999999999955</v>
      </c>
      <c r="H28" s="7">
        <f>Estimates!C20/10</f>
        <v>176.95</v>
      </c>
      <c r="I28" s="7">
        <f>Estimates!D20/10</f>
        <v>340.84000000000003</v>
      </c>
      <c r="J28" s="7">
        <f>Estimates!E20/10</f>
        <v>692.46</v>
      </c>
      <c r="K28" s="7">
        <f>K$19*K29</f>
        <v>1321.4866617129524</v>
      </c>
      <c r="L28" s="7">
        <f>L$19*L29</f>
        <v>2259.6338288234065</v>
      </c>
    </row>
    <row r="29" spans="1:16" x14ac:dyDescent="0.35">
      <c r="A29" s="3" t="s">
        <v>105</v>
      </c>
      <c r="B29" s="6">
        <f>B28/B$19</f>
        <v>-0.11753673022819638</v>
      </c>
      <c r="C29" s="6">
        <f t="shared" ref="C29:J29" si="18">C28/C$19</f>
        <v>-0.10888108379327648</v>
      </c>
      <c r="D29" s="6">
        <f t="shared" si="18"/>
        <v>-3.8026521060842491E-2</v>
      </c>
      <c r="E29" s="6">
        <f t="shared" si="18"/>
        <v>-1.8047138047138016E-2</v>
      </c>
      <c r="F29" s="6">
        <f t="shared" si="18"/>
        <v>-5.7666755248471931E-2</v>
      </c>
      <c r="G29" s="6">
        <f t="shared" si="18"/>
        <v>-1.1414754835807442E-2</v>
      </c>
      <c r="H29" s="6">
        <f t="shared" si="18"/>
        <v>6.8904958275409559E-2</v>
      </c>
      <c r="I29" s="6">
        <f t="shared" si="18"/>
        <v>9.6031555962527299E-2</v>
      </c>
      <c r="J29" s="6">
        <f t="shared" si="18"/>
        <v>0.145814280423231</v>
      </c>
      <c r="K29" s="6">
        <f>J29+5%</f>
        <v>0.19581428042323101</v>
      </c>
      <c r="L29" s="6">
        <f>K29+5%</f>
        <v>0.245814280423231</v>
      </c>
    </row>
    <row r="30" spans="1:16" x14ac:dyDescent="0.35">
      <c r="A30" t="s">
        <v>83</v>
      </c>
      <c r="B30" s="2">
        <f>'Cash Flow Statement'!B6</f>
        <v>0</v>
      </c>
      <c r="C30" s="2">
        <f>'Cash Flow Statement'!C6</f>
        <v>2.6</v>
      </c>
      <c r="D30" s="2">
        <f>'Cash Flow Statement'!D6</f>
        <v>5.3</v>
      </c>
      <c r="E30" s="2">
        <f>'Cash Flow Statement'!E6</f>
        <v>5.3</v>
      </c>
      <c r="F30" s="2">
        <f>'Cash Flow Statement'!F6</f>
        <v>8.4</v>
      </c>
      <c r="G30" s="2">
        <f>'Cash Flow Statement'!G6</f>
        <v>15.7</v>
      </c>
      <c r="H30" s="7">
        <f>H28-H31</f>
        <v>208.92</v>
      </c>
      <c r="I30" s="7">
        <f>I28-I31</f>
        <v>293.81000000000006</v>
      </c>
      <c r="J30" s="7">
        <f>J28-J31</f>
        <v>371.23</v>
      </c>
      <c r="K30" s="7"/>
      <c r="L30" s="7"/>
    </row>
    <row r="31" spans="1:16" x14ac:dyDescent="0.35">
      <c r="A31" s="4" t="s">
        <v>84</v>
      </c>
      <c r="B31" s="7">
        <f t="shared" ref="B31:G31" si="19">B28-B30</f>
        <v>-37.600000000000023</v>
      </c>
      <c r="C31" s="7">
        <f t="shared" si="19"/>
        <v>-46.000000000000007</v>
      </c>
      <c r="D31" s="7">
        <f t="shared" si="19"/>
        <v>-24.800000000000029</v>
      </c>
      <c r="E31" s="7">
        <f t="shared" si="19"/>
        <v>-18.699999999999978</v>
      </c>
      <c r="F31" s="7">
        <f t="shared" si="19"/>
        <v>-73.499999999999972</v>
      </c>
      <c r="G31" s="7">
        <f t="shared" si="19"/>
        <v>-35.999999999999957</v>
      </c>
      <c r="H31" s="7">
        <f>Estimates!C21/10</f>
        <v>-31.97</v>
      </c>
      <c r="I31" s="7">
        <f>Estimates!D21/10</f>
        <v>47.03</v>
      </c>
      <c r="J31" s="7">
        <f>Estimates!E21/10</f>
        <v>321.23</v>
      </c>
      <c r="K31" s="7">
        <f t="shared" ref="K31:L31" si="20">K$19*K32</f>
        <v>793.93273990739681</v>
      </c>
      <c r="L31" s="7">
        <f t="shared" si="20"/>
        <v>1541.046770221817</v>
      </c>
    </row>
    <row r="32" spans="1:16" x14ac:dyDescent="0.35">
      <c r="A32" s="3" t="s">
        <v>106</v>
      </c>
      <c r="B32" s="6">
        <f t="shared" ref="B32:J32" si="21">B31/B$19</f>
        <v>-0.11753673022819638</v>
      </c>
      <c r="C32" s="6">
        <f t="shared" si="21"/>
        <v>-0.11540391369794281</v>
      </c>
      <c r="D32" s="6">
        <f t="shared" si="21"/>
        <v>-4.8361934477379159E-2</v>
      </c>
      <c r="E32" s="6">
        <f t="shared" si="21"/>
        <v>-2.5185185185185154E-2</v>
      </c>
      <c r="F32" s="6">
        <f t="shared" si="21"/>
        <v>-6.5107626893436063E-2</v>
      </c>
      <c r="G32" s="6">
        <f t="shared" si="21"/>
        <v>-2.0242914979757061E-2</v>
      </c>
      <c r="H32" s="6">
        <f t="shared" si="21"/>
        <v>-1.2449231512092929E-2</v>
      </c>
      <c r="I32" s="6">
        <f t="shared" si="21"/>
        <v>1.3250686764809467E-2</v>
      </c>
      <c r="J32" s="6">
        <f t="shared" si="21"/>
        <v>6.7642782688320621E-2</v>
      </c>
      <c r="K32" s="6">
        <f>J32+5%</f>
        <v>0.11764278268832062</v>
      </c>
      <c r="L32" s="6">
        <f>K32+5%</f>
        <v>0.16764278268832061</v>
      </c>
    </row>
    <row r="33" spans="1:12" x14ac:dyDescent="0.35">
      <c r="A33" t="s">
        <v>16</v>
      </c>
      <c r="B33" s="2">
        <f>INDEX('Income Statement'!$A$1:$M$29,MATCH(Valuation!$A33,'Income Statement'!$A:$A,0),MATCH(Valuation!B$18,'Income Statement'!$1:$1,0))</f>
        <v>-1.2</v>
      </c>
      <c r="C33" s="2">
        <f>INDEX('Income Statement'!$A$1:$M$29,MATCH(Valuation!$A33,'Income Statement'!$A:$A,0),MATCH(Valuation!C$18,'Income Statement'!$1:$1,0))</f>
        <v>-0.23</v>
      </c>
      <c r="D33" s="2">
        <f>INDEX('Income Statement'!$A$1:$M$29,MATCH(Valuation!$A33,'Income Statement'!$A:$A,0),MATCH(Valuation!D$18,'Income Statement'!$1:$1,0))</f>
        <v>-1.6</v>
      </c>
      <c r="E33" s="2">
        <f>INDEX('Income Statement'!$A$1:$M$29,MATCH(Valuation!$A33,'Income Statement'!$A:$A,0),MATCH(Valuation!E$18,'Income Statement'!$1:$1,0))</f>
        <v>-0.35</v>
      </c>
      <c r="F33" s="2">
        <f>INDEX('Income Statement'!$A$1:$M$29,MATCH(Valuation!$A33,'Income Statement'!$A:$A,0),MATCH(Valuation!F$18,'Income Statement'!$1:$1,0))</f>
        <v>-2.4</v>
      </c>
      <c r="G33" s="2">
        <f>INDEX('Income Statement'!$A$1:$M$29,MATCH(Valuation!$A33,'Income Statement'!$A:$A,0),MATCH(Valuation!G$18,'Income Statement'!$1:$1,0))</f>
        <v>-3.4</v>
      </c>
    </row>
    <row r="34" spans="1:12" x14ac:dyDescent="0.35">
      <c r="A34" t="s">
        <v>20</v>
      </c>
      <c r="B34" s="2">
        <f>INDEX('Income Statement'!$A$1:$M$29,MATCH(Valuation!$A34,'Income Statement'!$A:$A,0),MATCH(Valuation!B$18,'Income Statement'!$1:$1,0))</f>
        <v>0.15</v>
      </c>
      <c r="C34" s="2">
        <f>INDEX('Income Statement'!$A$1:$M$29,MATCH(Valuation!$A34,'Income Statement'!$A:$A,0),MATCH(Valuation!C$18,'Income Statement'!$1:$1,0))</f>
        <v>0.21</v>
      </c>
      <c r="D34" s="2">
        <f>INDEX('Income Statement'!$A$1:$M$29,MATCH(Valuation!$A34,'Income Statement'!$A:$A,0),MATCH(Valuation!D$18,'Income Statement'!$1:$1,0))</f>
        <v>0.32</v>
      </c>
      <c r="E34" s="2">
        <f>INDEX('Income Statement'!$A$1:$M$29,MATCH(Valuation!$A34,'Income Statement'!$A:$A,0),MATCH(Valuation!E$18,'Income Statement'!$1:$1,0))</f>
        <v>-0.48</v>
      </c>
      <c r="F34" s="2">
        <f>INDEX('Income Statement'!$A$1:$M$29,MATCH(Valuation!$A34,'Income Statement'!$A:$A,0),MATCH(Valuation!F$18,'Income Statement'!$1:$1,0))</f>
        <v>-0.98</v>
      </c>
      <c r="G34" s="2">
        <f>INDEX('Income Statement'!$A$1:$M$29,MATCH(Valuation!$A34,'Income Statement'!$A:$A,0),MATCH(Valuation!G$18,'Income Statement'!$1:$1,0))</f>
        <v>-0.95</v>
      </c>
    </row>
    <row r="35" spans="1:12" x14ac:dyDescent="0.35">
      <c r="A35" t="s">
        <v>23</v>
      </c>
      <c r="B35" s="7">
        <f>B31-B33-B34</f>
        <v>-36.550000000000018</v>
      </c>
      <c r="C35" s="7">
        <f t="shared" ref="C35:F35" si="22">C31-C33-C34</f>
        <v>-45.980000000000011</v>
      </c>
      <c r="D35" s="7">
        <f t="shared" si="22"/>
        <v>-23.520000000000028</v>
      </c>
      <c r="E35" s="7">
        <f t="shared" si="22"/>
        <v>-17.869999999999976</v>
      </c>
      <c r="F35" s="7">
        <f t="shared" si="22"/>
        <v>-70.119999999999962</v>
      </c>
      <c r="G35" s="7">
        <f t="shared" ref="G35" si="23">G31-G33-G34</f>
        <v>-31.649999999999959</v>
      </c>
      <c r="H35" s="7">
        <f>Estimates!C22/10</f>
        <v>-25.839999999999996</v>
      </c>
      <c r="I35" s="7">
        <f>Estimates!D22/10</f>
        <v>83.35</v>
      </c>
      <c r="J35" s="7">
        <f>Estimates!E22/10</f>
        <v>326.3</v>
      </c>
      <c r="K35" s="7">
        <f t="shared" ref="K35:L35" si="24">K$19*K36</f>
        <v>801.13770282406347</v>
      </c>
      <c r="L35" s="7">
        <f t="shared" si="24"/>
        <v>1550.8607302657524</v>
      </c>
    </row>
    <row r="36" spans="1:12" x14ac:dyDescent="0.35">
      <c r="A36" s="3" t="s">
        <v>107</v>
      </c>
      <c r="B36" s="6">
        <f t="shared" ref="B36" si="25">B35/B$19</f>
        <v>-0.11425445451703664</v>
      </c>
      <c r="C36" s="6">
        <f t="shared" ref="C36" si="26">C35/C$19</f>
        <v>-0.11535373808329154</v>
      </c>
      <c r="D36" s="6">
        <f t="shared" ref="D36" si="27">D35/D$19</f>
        <v>-4.5865834633385394E-2</v>
      </c>
      <c r="E36" s="6">
        <f t="shared" ref="E36" si="28">E35/E$19</f>
        <v>-2.4067340067340036E-2</v>
      </c>
      <c r="F36" s="6">
        <f t="shared" ref="F36" si="29">F35/F$19</f>
        <v>-6.211356187439096E-2</v>
      </c>
      <c r="G36" s="6">
        <f t="shared" ref="G36" si="30">G35/G$19</f>
        <v>-1.7796896086369748E-2</v>
      </c>
      <c r="H36" s="6">
        <f>H35/H19</f>
        <v>-1.0062187747027877E-2</v>
      </c>
      <c r="I36" s="6">
        <f>I35/I19</f>
        <v>2.3483834612946397E-2</v>
      </c>
      <c r="J36" s="6">
        <f>J35/J19</f>
        <v>6.8710394394044819E-2</v>
      </c>
      <c r="K36" s="6">
        <f>J36+5%</f>
        <v>0.11871039439404482</v>
      </c>
      <c r="L36" s="6">
        <f>K36+5%</f>
        <v>0.16871039439404484</v>
      </c>
    </row>
    <row r="38" spans="1:12" x14ac:dyDescent="0.35">
      <c r="A38" s="4" t="s">
        <v>68</v>
      </c>
      <c r="B38" s="2">
        <f>'Cash Flow Statement'!C9</f>
        <v>-32.6</v>
      </c>
      <c r="C38" s="2">
        <f>'Cash Flow Statement'!D9</f>
        <v>-32.5</v>
      </c>
      <c r="D38" s="2">
        <f>'Cash Flow Statement'!E9</f>
        <v>37.299999999999997</v>
      </c>
      <c r="E38" s="2">
        <f>'Cash Flow Statement'!F9</f>
        <v>13.9</v>
      </c>
      <c r="F38" s="2">
        <f>'Cash Flow Statement'!G9</f>
        <v>13.7</v>
      </c>
      <c r="G38" s="2">
        <f>'Cash Flow Statement'!H9</f>
        <v>148.19999999999999</v>
      </c>
      <c r="H38" s="7">
        <f>Estimates!C24*Valuation!H43</f>
        <v>123.58260869565217</v>
      </c>
      <c r="I38" s="7">
        <f>Estimates!D24*Valuation!I43</f>
        <v>242.86465517241376</v>
      </c>
      <c r="J38" s="7">
        <f>Estimates!E24*Valuation!J43</f>
        <v>401.49086956521739</v>
      </c>
      <c r="K38" s="7"/>
      <c r="L38" s="7"/>
    </row>
    <row r="39" spans="1:12" x14ac:dyDescent="0.35">
      <c r="A39" t="s">
        <v>69</v>
      </c>
      <c r="B39" s="2">
        <f>'Cash Flow Statement'!C10</f>
        <v>-5</v>
      </c>
      <c r="C39" s="2">
        <f>'Cash Flow Statement'!D10</f>
        <v>-8.6</v>
      </c>
      <c r="D39" s="2">
        <f>'Cash Flow Statement'!E10</f>
        <v>-9.1999999999999993</v>
      </c>
      <c r="E39" s="2">
        <f>'Cash Flow Statement'!F10</f>
        <v>-18.3</v>
      </c>
      <c r="F39" s="2">
        <f>'Cash Flow Statement'!G10</f>
        <v>-84.6</v>
      </c>
      <c r="G39" s="2">
        <f>'Cash Flow Statement'!H10</f>
        <v>-82.4</v>
      </c>
      <c r="H39" s="7">
        <f>H40-H38</f>
        <v>-1.1234782608695753</v>
      </c>
      <c r="I39" s="7">
        <f t="shared" ref="I39:J39" si="31">I40-I38</f>
        <v>27.304310344827599</v>
      </c>
      <c r="J39" s="7">
        <f t="shared" si="31"/>
        <v>124.84521739130435</v>
      </c>
      <c r="K39" s="7"/>
      <c r="L39" s="7"/>
    </row>
    <row r="40" spans="1:12" x14ac:dyDescent="0.35">
      <c r="A40" t="s">
        <v>85</v>
      </c>
      <c r="B40" s="7">
        <f t="shared" ref="B40:E40" si="32">B38+B39</f>
        <v>-37.6</v>
      </c>
      <c r="C40" s="7">
        <f t="shared" si="32"/>
        <v>-41.1</v>
      </c>
      <c r="D40" s="7">
        <f t="shared" si="32"/>
        <v>28.099999999999998</v>
      </c>
      <c r="E40" s="7">
        <f t="shared" si="32"/>
        <v>-4.4000000000000004</v>
      </c>
      <c r="F40" s="7">
        <f t="shared" ref="F40:G40" si="33">F38+F39</f>
        <v>-70.899999999999991</v>
      </c>
      <c r="G40" s="7">
        <f t="shared" si="33"/>
        <v>65.799999999999983</v>
      </c>
      <c r="H40" s="7">
        <f>Estimates!C25*Valuation!H43</f>
        <v>122.45913043478259</v>
      </c>
      <c r="I40" s="7">
        <f>Estimates!D25*Valuation!I43</f>
        <v>270.16896551724136</v>
      </c>
      <c r="J40" s="7">
        <f>Estimates!E25*Valuation!J43</f>
        <v>526.33608695652174</v>
      </c>
      <c r="K40" s="7">
        <f>K19*K41</f>
        <v>1085.4084303421794</v>
      </c>
      <c r="L40" s="7">
        <f>L19*L41</f>
        <v>1938.0690467818167</v>
      </c>
    </row>
    <row r="41" spans="1:12" x14ac:dyDescent="0.35">
      <c r="A41" s="3" t="s">
        <v>149</v>
      </c>
      <c r="B41" s="6">
        <f t="shared" ref="B41" si="34">B40/B$19</f>
        <v>-0.11753673022819633</v>
      </c>
      <c r="C41" s="6">
        <f t="shared" ref="C41" si="35">C40/C$19</f>
        <v>-0.10311088810837933</v>
      </c>
      <c r="D41" s="6">
        <f t="shared" ref="D41" si="36">D40/D$19</f>
        <v>5.4797191887675505E-2</v>
      </c>
      <c r="E41" s="6">
        <f t="shared" ref="E41" si="37">E40/E$19</f>
        <v>-5.9259259259259265E-3</v>
      </c>
      <c r="F41" s="6">
        <f t="shared" ref="F41" si="38">F40/F$19</f>
        <v>-6.2804499955709081E-2</v>
      </c>
      <c r="G41" s="6">
        <f t="shared" ref="G41" si="39">G40/G$19</f>
        <v>3.6999550157444883E-2</v>
      </c>
      <c r="H41" s="6">
        <f t="shared" ref="H41" si="40">H40/H$19</f>
        <v>4.7686020192436458E-2</v>
      </c>
      <c r="I41" s="6">
        <f t="shared" ref="I41" si="41">I40/I$19</f>
        <v>7.6120015641964175E-2</v>
      </c>
      <c r="J41" s="6">
        <f t="shared" ref="J41" si="42">J40/J$19</f>
        <v>0.1108328535660462</v>
      </c>
      <c r="K41" s="6">
        <f>J41+5%</f>
        <v>0.16083285356604621</v>
      </c>
      <c r="L41" s="6">
        <f>K41+5%</f>
        <v>0.2108328535660462</v>
      </c>
    </row>
    <row r="42" spans="1:12" x14ac:dyDescent="0.35">
      <c r="B42" s="7"/>
      <c r="C42" s="7"/>
      <c r="D42" s="7"/>
      <c r="E42" s="7"/>
      <c r="F42" s="7"/>
      <c r="G42" s="7"/>
    </row>
    <row r="43" spans="1:12" x14ac:dyDescent="0.35">
      <c r="A43" t="s">
        <v>25</v>
      </c>
      <c r="B43" s="2">
        <f>INDEX('Income Statement'!$A$1:$M$29,MATCH(Valuation!$A43,'Income Statement'!$A:$A,0),MATCH(Valuation!B$18,'Income Statement'!$1:$1,0))</f>
        <v>94.7</v>
      </c>
      <c r="C43" s="2">
        <f>INDEX('Income Statement'!$A$1:$M$29,MATCH(Valuation!$A43,'Income Statement'!$A:$A,0),MATCH(Valuation!C$18,'Income Statement'!$1:$1,0))</f>
        <v>94.7</v>
      </c>
      <c r="D43" s="2">
        <f>INDEX('Income Statement'!$A$1:$M$29,MATCH(Valuation!$A43,'Income Statement'!$A:$A,0),MATCH(Valuation!D$18,'Income Statement'!$1:$1,0))</f>
        <v>99.2</v>
      </c>
      <c r="E43" s="2">
        <f>INDEX('Income Statement'!$A$1:$M$29,MATCH(Valuation!$A43,'Income Statement'!$A:$A,0),MATCH(Valuation!E$18,'Income Statement'!$1:$1,0))</f>
        <v>104.6</v>
      </c>
      <c r="F43" s="2">
        <f>INDEX('Income Statement'!$A$1:$M$29,MATCH(Valuation!$A43,'Income Statement'!$A:$A,0),MATCH(Valuation!F$18,'Income Statement'!$1:$1,0))</f>
        <v>115.2</v>
      </c>
      <c r="G43" s="2">
        <f>INDEX('Income Statement'!$A$1:$M$29,MATCH(Valuation!$A43,'Income Statement'!$A:$A,0),MATCH(Valuation!G$18,'Income Statement'!$1:$1,0))</f>
        <v>124</v>
      </c>
      <c r="H43" s="2">
        <f>H35/H45</f>
        <v>112.3478260869565</v>
      </c>
      <c r="I43" s="2">
        <f>I35/I45</f>
        <v>143.70689655172413</v>
      </c>
      <c r="J43" s="2">
        <f>J35/J45</f>
        <v>141.86956521739131</v>
      </c>
      <c r="K43" s="2">
        <f>J43*(1+K44)</f>
        <v>139.03217391304349</v>
      </c>
      <c r="L43" s="2">
        <f>K43*(1+L44)</f>
        <v>136.25153043478261</v>
      </c>
    </row>
    <row r="44" spans="1:12" x14ac:dyDescent="0.35">
      <c r="A44" s="3" t="s">
        <v>82</v>
      </c>
      <c r="B44" s="2"/>
      <c r="C44" s="6">
        <f>C43/B43-1</f>
        <v>0</v>
      </c>
      <c r="D44" s="6">
        <f t="shared" ref="D44:H44" si="43">D43/C43-1</f>
        <v>4.7518479408658942E-2</v>
      </c>
      <c r="E44" s="6">
        <f t="shared" si="43"/>
        <v>5.4435483870967749E-2</v>
      </c>
      <c r="F44" s="6">
        <f t="shared" si="43"/>
        <v>0.10133843212237093</v>
      </c>
      <c r="G44" s="6">
        <f t="shared" si="43"/>
        <v>7.638888888888884E-2</v>
      </c>
      <c r="H44" s="6">
        <f t="shared" si="43"/>
        <v>-9.3969144460028242E-2</v>
      </c>
      <c r="I44" s="6">
        <f t="shared" ref="I44" si="44">I43/H43-1</f>
        <v>0.27912485320807101</v>
      </c>
      <c r="J44" s="6">
        <f t="shared" ref="J44" si="45">J43/I43-1</f>
        <v>-1.2785269033149804E-2</v>
      </c>
      <c r="K44" s="6">
        <v>-0.02</v>
      </c>
      <c r="L44" s="6">
        <f>K44</f>
        <v>-0.02</v>
      </c>
    </row>
    <row r="45" spans="1:12" x14ac:dyDescent="0.35">
      <c r="A45" t="s">
        <v>27</v>
      </c>
      <c r="B45" s="1">
        <f>INDEX('Income Statement'!$A$1:$M$29,MATCH(Valuation!$A45,'Income Statement'!$A:$A,0),MATCH(Valuation!B$18,'Income Statement'!$1:$1,0))</f>
        <v>-0.43</v>
      </c>
      <c r="C45" s="1">
        <f>INDEX('Income Statement'!$A$1:$M$29,MATCH(Valuation!$A45,'Income Statement'!$A:$A,0),MATCH(Valuation!C$18,'Income Statement'!$1:$1,0))</f>
        <v>-0.45</v>
      </c>
      <c r="D45" s="1">
        <f>INDEX('Income Statement'!$A$1:$M$29,MATCH(Valuation!$A45,'Income Statement'!$A:$A,0),MATCH(Valuation!D$18,'Income Statement'!$1:$1,0))</f>
        <v>-0.63</v>
      </c>
      <c r="E45" s="1">
        <f>INDEX('Income Statement'!$A$1:$M$29,MATCH(Valuation!$A45,'Income Statement'!$A:$A,0),MATCH(Valuation!E$18,'Income Statement'!$1:$1,0))</f>
        <v>-0.08</v>
      </c>
      <c r="F45" s="1">
        <f>INDEX('Income Statement'!$A$1:$M$29,MATCH(Valuation!$A45,'Income Statement'!$A:$A,0),MATCH(Valuation!F$18,'Income Statement'!$1:$1,0))</f>
        <v>-0.52</v>
      </c>
      <c r="G45" s="1">
        <f>INDEX('Income Statement'!$A$1:$M$29,MATCH(Valuation!$A45,'Income Statement'!$A:$A,0),MATCH(Valuation!G$18,'Income Statement'!$1:$1,0))</f>
        <v>-0.14000000000000001</v>
      </c>
      <c r="H45" s="8">
        <f>Estimates!C23</f>
        <v>-0.23</v>
      </c>
      <c r="I45" s="8">
        <f>Estimates!D23</f>
        <v>0.57999999999999996</v>
      </c>
      <c r="J45" s="8">
        <f>Estimates!E23</f>
        <v>2.2999999999999998</v>
      </c>
      <c r="K45" s="8">
        <f>K35/K43</f>
        <v>5.7622468258687256</v>
      </c>
      <c r="L45" s="8">
        <f>L35/L43</f>
        <v>11.382336222697173</v>
      </c>
    </row>
    <row r="46" spans="1:12" x14ac:dyDescent="0.35">
      <c r="B46" s="7"/>
      <c r="C46" s="7"/>
      <c r="D46" s="7"/>
      <c r="E46" s="7"/>
      <c r="F46" s="7"/>
    </row>
  </sheetData>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086E9-BE2F-4A76-B0CE-2BC82A4A2AA5}">
  <dimension ref="A1:AF1011"/>
  <sheetViews>
    <sheetView workbookViewId="0">
      <pane xSplit="1" ySplit="1" topLeftCell="P2" activePane="bottomRight" state="frozen"/>
      <selection pane="topRight" activeCell="B1" sqref="B1"/>
      <selection pane="bottomLeft" activeCell="A2" sqref="A2"/>
      <selection pane="bottomRight" activeCell="C7" sqref="C7"/>
    </sheetView>
  </sheetViews>
  <sheetFormatPr defaultColWidth="13.81640625" defaultRowHeight="15" customHeight="1" x14ac:dyDescent="0.3"/>
  <cols>
    <col min="1" max="1" width="29.7265625" style="27" customWidth="1"/>
    <col min="2" max="2" width="15" style="27" customWidth="1"/>
    <col min="3" max="3" width="11.7265625" style="27" customWidth="1"/>
    <col min="4" max="4" width="8.90625" style="27" customWidth="1"/>
    <col min="5" max="13" width="8.36328125" style="27" customWidth="1"/>
    <col min="14" max="14" width="12.54296875" style="27" customWidth="1"/>
    <col min="15" max="22" width="8.36328125" style="27" customWidth="1"/>
    <col min="23" max="26" width="8.7265625" style="71" customWidth="1"/>
    <col min="27" max="28" width="8.7265625" style="27" customWidth="1"/>
    <col min="29" max="31" width="8.36328125" style="27" customWidth="1"/>
    <col min="32" max="32" width="15.26953125" style="27" customWidth="1"/>
    <col min="33" max="53" width="8.36328125" style="27" customWidth="1"/>
    <col min="54" max="16384" width="13.81640625" style="27"/>
  </cols>
  <sheetData>
    <row r="1" spans="1:32" ht="14.25" customHeight="1" x14ac:dyDescent="0.35">
      <c r="A1" s="23" t="s">
        <v>173</v>
      </c>
      <c r="B1" s="24" t="s">
        <v>174</v>
      </c>
      <c r="C1" s="24" t="s">
        <v>175</v>
      </c>
      <c r="D1" s="24" t="s">
        <v>176</v>
      </c>
      <c r="E1" s="24" t="s">
        <v>177</v>
      </c>
      <c r="F1" s="24" t="s">
        <v>178</v>
      </c>
      <c r="G1" s="25">
        <v>2017</v>
      </c>
      <c r="H1" s="24" t="s">
        <v>179</v>
      </c>
      <c r="I1" s="24" t="s">
        <v>180</v>
      </c>
      <c r="J1" s="24" t="s">
        <v>181</v>
      </c>
      <c r="K1" s="24" t="s">
        <v>182</v>
      </c>
      <c r="L1" s="25">
        <v>2018</v>
      </c>
      <c r="M1" s="24" t="s">
        <v>183</v>
      </c>
      <c r="N1" s="24" t="s">
        <v>184</v>
      </c>
      <c r="O1" s="24" t="s">
        <v>185</v>
      </c>
      <c r="P1" s="24" t="s">
        <v>186</v>
      </c>
      <c r="Q1" s="25">
        <v>2019</v>
      </c>
      <c r="R1" s="24" t="s">
        <v>187</v>
      </c>
      <c r="S1" s="24" t="s">
        <v>188</v>
      </c>
      <c r="T1" s="24" t="s">
        <v>189</v>
      </c>
      <c r="U1" s="24" t="s">
        <v>261</v>
      </c>
      <c r="V1" s="25">
        <v>2020</v>
      </c>
      <c r="W1" s="62" t="s">
        <v>187</v>
      </c>
      <c r="X1" s="62" t="s">
        <v>188</v>
      </c>
      <c r="Y1" s="62" t="s">
        <v>189</v>
      </c>
      <c r="Z1" s="62" t="s">
        <v>261</v>
      </c>
      <c r="AA1" s="26" t="s">
        <v>190</v>
      </c>
      <c r="AB1" s="26" t="s">
        <v>191</v>
      </c>
      <c r="AC1" s="26" t="s">
        <v>158</v>
      </c>
      <c r="AD1" s="26" t="s">
        <v>192</v>
      </c>
      <c r="AE1" s="26" t="s">
        <v>128</v>
      </c>
    </row>
    <row r="2" spans="1:32" ht="14.25" customHeight="1" x14ac:dyDescent="0.35">
      <c r="A2" s="24" t="s">
        <v>193</v>
      </c>
      <c r="B2" s="24">
        <v>13.4</v>
      </c>
      <c r="C2" s="24">
        <v>14.2</v>
      </c>
      <c r="D2" s="24">
        <v>15.1</v>
      </c>
      <c r="E2" s="24">
        <v>16.7</v>
      </c>
      <c r="F2" s="24">
        <v>19.3</v>
      </c>
      <c r="G2" s="28">
        <f>AVERAGE(C2:F2)</f>
        <v>16.324999999999999</v>
      </c>
      <c r="H2" s="24">
        <v>20.8</v>
      </c>
      <c r="I2" s="24">
        <v>22</v>
      </c>
      <c r="J2" s="24">
        <v>23.8</v>
      </c>
      <c r="K2" s="24">
        <v>27.1</v>
      </c>
      <c r="L2" s="28">
        <f>AVERAGE(H2:K2)</f>
        <v>23.424999999999997</v>
      </c>
      <c r="M2" s="24">
        <v>29.1</v>
      </c>
      <c r="N2" s="24">
        <v>30.5</v>
      </c>
      <c r="O2" s="24">
        <v>32.299999999999997</v>
      </c>
      <c r="P2" s="24">
        <v>36.9</v>
      </c>
      <c r="Q2" s="28">
        <f>AVERAGE(M2:P2)</f>
        <v>32.200000000000003</v>
      </c>
      <c r="R2" s="24">
        <v>39.799999999999997</v>
      </c>
      <c r="S2" s="24">
        <v>43</v>
      </c>
      <c r="T2" s="24">
        <v>46</v>
      </c>
      <c r="U2" s="24">
        <v>51.2</v>
      </c>
      <c r="V2" s="28">
        <f>AVERAGE(R2:U2)</f>
        <v>45</v>
      </c>
      <c r="W2" s="63">
        <v>53.6</v>
      </c>
      <c r="X2" s="63"/>
      <c r="Y2" s="63"/>
      <c r="Z2" s="63"/>
      <c r="AA2" s="29">
        <f>V2+AA4</f>
        <v>57.8</v>
      </c>
      <c r="AB2" s="29">
        <f t="shared" ref="AB2:AE2" si="0">AA2*(1+AB3)</f>
        <v>72.795888888888868</v>
      </c>
      <c r="AC2" s="29">
        <f t="shared" si="0"/>
        <v>89.862480617283907</v>
      </c>
      <c r="AD2" s="29">
        <f t="shared" si="0"/>
        <v>108.68367794657058</v>
      </c>
      <c r="AE2" s="29">
        <f t="shared" si="0"/>
        <v>128.72977854560469</v>
      </c>
    </row>
    <row r="3" spans="1:32" ht="14.25" customHeight="1" x14ac:dyDescent="0.35">
      <c r="A3" s="30" t="s">
        <v>194</v>
      </c>
      <c r="B3" s="30"/>
      <c r="C3" s="30"/>
      <c r="D3" s="30"/>
      <c r="E3" s="30"/>
      <c r="F3" s="31">
        <f>F2/B2-1</f>
        <v>0.44029850746268662</v>
      </c>
      <c r="G3" s="32"/>
      <c r="H3" s="31">
        <f t="shared" ref="H3:W3" si="1">H2/C2-1</f>
        <v>0.46478873239436624</v>
      </c>
      <c r="I3" s="31">
        <f t="shared" si="1"/>
        <v>0.45695364238410607</v>
      </c>
      <c r="J3" s="31">
        <f t="shared" si="1"/>
        <v>0.42514970059880253</v>
      </c>
      <c r="K3" s="31">
        <f t="shared" si="1"/>
        <v>0.40414507772020736</v>
      </c>
      <c r="L3" s="32">
        <f t="shared" si="1"/>
        <v>0.43491577335375187</v>
      </c>
      <c r="M3" s="31">
        <f t="shared" si="1"/>
        <v>0.39903846153846145</v>
      </c>
      <c r="N3" s="31">
        <f t="shared" si="1"/>
        <v>0.38636363636363646</v>
      </c>
      <c r="O3" s="31">
        <f t="shared" si="1"/>
        <v>0.35714285714285698</v>
      </c>
      <c r="P3" s="31">
        <f t="shared" si="1"/>
        <v>0.36162361623616235</v>
      </c>
      <c r="Q3" s="32">
        <f t="shared" si="1"/>
        <v>0.37459978655282855</v>
      </c>
      <c r="R3" s="31">
        <f t="shared" si="1"/>
        <v>0.36769759450171802</v>
      </c>
      <c r="S3" s="31">
        <f t="shared" si="1"/>
        <v>0.4098360655737705</v>
      </c>
      <c r="T3" s="31">
        <f t="shared" si="1"/>
        <v>0.42414860681114575</v>
      </c>
      <c r="U3" s="31">
        <f t="shared" si="1"/>
        <v>0.38753387533875361</v>
      </c>
      <c r="V3" s="32">
        <f t="shared" si="1"/>
        <v>0.39751552795031042</v>
      </c>
      <c r="W3" s="31">
        <f t="shared" si="1"/>
        <v>0.3467336683417086</v>
      </c>
      <c r="X3" s="64"/>
      <c r="Y3" s="64"/>
      <c r="Z3" s="64"/>
      <c r="AA3" s="34">
        <f>AA2/V2-1</f>
        <v>0.28444444444444428</v>
      </c>
      <c r="AB3" s="34">
        <f>AA3-2.5%</f>
        <v>0.25944444444444426</v>
      </c>
      <c r="AC3" s="34">
        <f t="shared" ref="AC3:AE3" si="2">AB3-2.5%</f>
        <v>0.23444444444444426</v>
      </c>
      <c r="AD3" s="34">
        <f t="shared" si="2"/>
        <v>0.20944444444444427</v>
      </c>
      <c r="AE3" s="34">
        <f t="shared" si="2"/>
        <v>0.18444444444444427</v>
      </c>
      <c r="AF3" s="35"/>
    </row>
    <row r="4" spans="1:32" ht="14.25" customHeight="1" x14ac:dyDescent="0.35">
      <c r="A4" s="24" t="s">
        <v>272</v>
      </c>
      <c r="B4" s="30"/>
      <c r="C4" s="24">
        <f>C2-B2</f>
        <v>0.79999999999999893</v>
      </c>
      <c r="D4" s="24">
        <f t="shared" ref="D4:U4" si="3">D2-C2</f>
        <v>0.90000000000000036</v>
      </c>
      <c r="E4" s="24">
        <f t="shared" si="3"/>
        <v>1.5999999999999996</v>
      </c>
      <c r="F4" s="24">
        <f t="shared" si="3"/>
        <v>2.6000000000000014</v>
      </c>
      <c r="G4" s="32"/>
      <c r="H4" s="37">
        <f>H2-F2</f>
        <v>1.5</v>
      </c>
      <c r="I4" s="24">
        <f t="shared" si="3"/>
        <v>1.1999999999999993</v>
      </c>
      <c r="J4" s="24">
        <f t="shared" si="3"/>
        <v>1.8000000000000007</v>
      </c>
      <c r="K4" s="24">
        <f t="shared" si="3"/>
        <v>3.3000000000000007</v>
      </c>
      <c r="L4" s="82">
        <f>L2-G2</f>
        <v>7.0999999999999979</v>
      </c>
      <c r="M4" s="37">
        <f>M2-K2</f>
        <v>2</v>
      </c>
      <c r="N4" s="24">
        <f t="shared" si="3"/>
        <v>1.3999999999999986</v>
      </c>
      <c r="O4" s="24">
        <f t="shared" si="3"/>
        <v>1.7999999999999972</v>
      </c>
      <c r="P4" s="24">
        <f t="shared" si="3"/>
        <v>4.6000000000000014</v>
      </c>
      <c r="Q4" s="82">
        <f>Q2-L2</f>
        <v>8.7750000000000057</v>
      </c>
      <c r="R4" s="37">
        <f>R2-P2</f>
        <v>2.8999999999999986</v>
      </c>
      <c r="S4" s="24">
        <f t="shared" si="3"/>
        <v>3.2000000000000028</v>
      </c>
      <c r="T4" s="24">
        <f t="shared" si="3"/>
        <v>3</v>
      </c>
      <c r="U4" s="24">
        <f t="shared" si="3"/>
        <v>5.2000000000000028</v>
      </c>
      <c r="V4" s="82">
        <f>V2-Q2</f>
        <v>12.799999999999997</v>
      </c>
      <c r="W4" s="37">
        <f>W2-U2</f>
        <v>2.3999999999999986</v>
      </c>
      <c r="X4" s="64"/>
      <c r="Y4" s="64"/>
      <c r="Z4" s="64"/>
      <c r="AA4" s="89">
        <v>12.8</v>
      </c>
      <c r="AB4" s="89">
        <f>AB2-AA2</f>
        <v>14.995888888888871</v>
      </c>
      <c r="AC4" s="89">
        <f t="shared" ref="AC4:AE4" si="4">AC2-AB2</f>
        <v>17.066591728395039</v>
      </c>
      <c r="AD4" s="89">
        <f t="shared" si="4"/>
        <v>18.821197329286676</v>
      </c>
      <c r="AE4" s="89">
        <f t="shared" si="4"/>
        <v>20.046100599034105</v>
      </c>
      <c r="AF4" s="35"/>
    </row>
    <row r="5" spans="1:32" ht="14.25" customHeight="1" x14ac:dyDescent="0.35">
      <c r="G5" s="36"/>
      <c r="L5" s="36"/>
      <c r="Q5" s="36"/>
      <c r="V5" s="36"/>
      <c r="W5" s="62"/>
      <c r="X5" s="62"/>
      <c r="Y5" s="62"/>
      <c r="Z5" s="62"/>
      <c r="AA5" s="26"/>
      <c r="AB5" s="26"/>
      <c r="AC5" s="26"/>
      <c r="AD5" s="26"/>
      <c r="AE5" s="26"/>
    </row>
    <row r="6" spans="1:32" ht="14.25" customHeight="1" x14ac:dyDescent="0.35">
      <c r="A6" s="24" t="s">
        <v>195</v>
      </c>
      <c r="B6" s="24">
        <v>2.8</v>
      </c>
      <c r="C6" s="24">
        <v>3.2</v>
      </c>
      <c r="D6" s="24">
        <v>3.5</v>
      </c>
      <c r="E6" s="24">
        <v>3.8</v>
      </c>
      <c r="F6" s="24">
        <v>4.3</v>
      </c>
      <c r="G6" s="36">
        <f>SUM(C6:F6)</f>
        <v>14.8</v>
      </c>
      <c r="H6" s="24">
        <v>5.0999999999999996</v>
      </c>
      <c r="I6" s="24">
        <v>5.4</v>
      </c>
      <c r="J6" s="24">
        <v>6.1</v>
      </c>
      <c r="K6" s="24">
        <v>7.1</v>
      </c>
      <c r="L6" s="36">
        <f>SUM(H6:K6)</f>
        <v>23.700000000000003</v>
      </c>
      <c r="M6" s="24">
        <v>8.4</v>
      </c>
      <c r="N6" s="24">
        <v>8.8000000000000007</v>
      </c>
      <c r="O6" s="24">
        <v>9.6</v>
      </c>
      <c r="P6" s="24">
        <v>10.9</v>
      </c>
      <c r="Q6" s="36">
        <f>SUM(M6:P6)</f>
        <v>37.700000000000003</v>
      </c>
      <c r="R6" s="24">
        <v>12.3</v>
      </c>
      <c r="S6" s="24">
        <v>14.6</v>
      </c>
      <c r="T6" s="24">
        <v>14.8</v>
      </c>
      <c r="U6" s="24">
        <v>17</v>
      </c>
      <c r="V6" s="36">
        <f>SUM(R6:U6)</f>
        <v>58.7</v>
      </c>
      <c r="W6" s="62">
        <v>18.3</v>
      </c>
      <c r="X6" s="62"/>
      <c r="Y6" s="62"/>
      <c r="Z6" s="62"/>
      <c r="AA6" s="26"/>
      <c r="AB6" s="26"/>
      <c r="AC6" s="26"/>
      <c r="AD6" s="26"/>
      <c r="AE6" s="26"/>
    </row>
    <row r="7" spans="1:32" ht="14.25" customHeight="1" x14ac:dyDescent="0.35">
      <c r="A7" s="30" t="s">
        <v>194</v>
      </c>
      <c r="B7" s="30"/>
      <c r="C7" s="30"/>
      <c r="D7" s="30"/>
      <c r="E7" s="30"/>
      <c r="F7" s="31">
        <f>F6/B6-1</f>
        <v>0.53571428571428581</v>
      </c>
      <c r="G7" s="32"/>
      <c r="H7" s="31">
        <f t="shared" ref="H7:W7" si="5">H6/C6-1</f>
        <v>0.59374999999999978</v>
      </c>
      <c r="I7" s="31">
        <f t="shared" si="5"/>
        <v>0.54285714285714293</v>
      </c>
      <c r="J7" s="31">
        <f t="shared" si="5"/>
        <v>0.60526315789473673</v>
      </c>
      <c r="K7" s="31">
        <f t="shared" si="5"/>
        <v>0.65116279069767447</v>
      </c>
      <c r="L7" s="32">
        <f t="shared" si="5"/>
        <v>0.60135135135135154</v>
      </c>
      <c r="M7" s="31">
        <f t="shared" si="5"/>
        <v>0.64705882352941191</v>
      </c>
      <c r="N7" s="31">
        <f t="shared" si="5"/>
        <v>0.62962962962962976</v>
      </c>
      <c r="O7" s="31">
        <f t="shared" si="5"/>
        <v>0.57377049180327866</v>
      </c>
      <c r="P7" s="31">
        <f t="shared" si="5"/>
        <v>0.53521126760563398</v>
      </c>
      <c r="Q7" s="32">
        <f t="shared" si="5"/>
        <v>0.59071729957805896</v>
      </c>
      <c r="R7" s="31">
        <f t="shared" si="5"/>
        <v>0.46428571428571441</v>
      </c>
      <c r="S7" s="31">
        <f t="shared" si="5"/>
        <v>0.65909090909090895</v>
      </c>
      <c r="T7" s="31">
        <f t="shared" si="5"/>
        <v>0.54166666666666674</v>
      </c>
      <c r="U7" s="31">
        <f t="shared" si="5"/>
        <v>0.55963302752293576</v>
      </c>
      <c r="V7" s="32">
        <f t="shared" si="5"/>
        <v>0.55702917771883276</v>
      </c>
      <c r="W7" s="31">
        <f t="shared" si="5"/>
        <v>0.48780487804878048</v>
      </c>
      <c r="X7" s="64"/>
      <c r="Y7" s="64"/>
      <c r="Z7" s="64"/>
      <c r="AA7" s="33"/>
      <c r="AB7" s="33"/>
      <c r="AC7" s="33"/>
      <c r="AD7" s="33"/>
      <c r="AE7" s="33"/>
      <c r="AF7" s="35"/>
    </row>
    <row r="8" spans="1:32" ht="14.25" customHeight="1" x14ac:dyDescent="0.35">
      <c r="G8" s="36"/>
      <c r="L8" s="36"/>
      <c r="Q8" s="36"/>
      <c r="V8" s="36"/>
      <c r="W8" s="62"/>
      <c r="X8" s="62"/>
      <c r="Y8" s="62"/>
      <c r="Z8" s="62"/>
      <c r="AA8" s="26"/>
      <c r="AB8" s="26"/>
      <c r="AC8" s="26"/>
      <c r="AD8" s="26"/>
      <c r="AE8" s="26"/>
    </row>
    <row r="9" spans="1:32" ht="14.25" customHeight="1" x14ac:dyDescent="0.35">
      <c r="A9" s="24" t="s">
        <v>271</v>
      </c>
      <c r="B9" s="87">
        <f>B6*1000/B2</f>
        <v>208.955223880597</v>
      </c>
      <c r="C9" s="87">
        <f t="shared" ref="C9:W9" si="6">C6*1000/C2</f>
        <v>225.35211267605635</v>
      </c>
      <c r="D9" s="87">
        <f t="shared" si="6"/>
        <v>231.78807947019868</v>
      </c>
      <c r="E9" s="87">
        <f t="shared" si="6"/>
        <v>227.54491017964074</v>
      </c>
      <c r="F9" s="87">
        <f t="shared" si="6"/>
        <v>222.79792746113989</v>
      </c>
      <c r="G9" s="88">
        <f>G6*1000/G2</f>
        <v>906.58499234303224</v>
      </c>
      <c r="H9" s="87">
        <f t="shared" si="6"/>
        <v>245.19230769230768</v>
      </c>
      <c r="I9" s="87">
        <f t="shared" si="6"/>
        <v>245.45454545454547</v>
      </c>
      <c r="J9" s="87">
        <f t="shared" si="6"/>
        <v>256.30252100840335</v>
      </c>
      <c r="K9" s="87">
        <f t="shared" si="6"/>
        <v>261.99261992619927</v>
      </c>
      <c r="L9" s="88">
        <f>L6*1000/L2</f>
        <v>1011.7395944503738</v>
      </c>
      <c r="M9" s="87">
        <f t="shared" si="6"/>
        <v>288.65979381443299</v>
      </c>
      <c r="N9" s="87">
        <f t="shared" si="6"/>
        <v>288.52459016393442</v>
      </c>
      <c r="O9" s="87">
        <f t="shared" si="6"/>
        <v>297.21362229102169</v>
      </c>
      <c r="P9" s="87">
        <f t="shared" si="6"/>
        <v>295.39295392953932</v>
      </c>
      <c r="Q9" s="88">
        <f>Q6*1000/Q2</f>
        <v>1170.807453416149</v>
      </c>
      <c r="R9" s="87">
        <f t="shared" si="6"/>
        <v>309.0452261306533</v>
      </c>
      <c r="S9" s="87">
        <f t="shared" si="6"/>
        <v>339.53488372093022</v>
      </c>
      <c r="T9" s="87">
        <f t="shared" si="6"/>
        <v>321.73913043478262</v>
      </c>
      <c r="U9" s="87">
        <f t="shared" si="6"/>
        <v>332.03125</v>
      </c>
      <c r="V9" s="88">
        <f>V6*1000/V2</f>
        <v>1304.4444444444443</v>
      </c>
      <c r="W9" s="87">
        <f t="shared" si="6"/>
        <v>341.41791044776119</v>
      </c>
      <c r="X9" s="85"/>
      <c r="Y9" s="85"/>
      <c r="Z9" s="85"/>
      <c r="AA9" s="86"/>
      <c r="AB9" s="86"/>
      <c r="AC9" s="86"/>
      <c r="AD9" s="86"/>
      <c r="AE9" s="86"/>
    </row>
    <row r="10" spans="1:32" ht="14.25" customHeight="1" x14ac:dyDescent="0.35">
      <c r="A10" s="30" t="s">
        <v>194</v>
      </c>
      <c r="B10" s="84"/>
      <c r="C10" s="84"/>
      <c r="D10" s="84"/>
      <c r="E10" s="84"/>
      <c r="F10" s="31">
        <f>F9/B9-1</f>
        <v>6.6247224278312311E-2</v>
      </c>
      <c r="G10" s="32"/>
      <c r="H10" s="31">
        <f t="shared" ref="H10" si="7">H9/C9-1</f>
        <v>8.8040865384615197E-2</v>
      </c>
      <c r="I10" s="31">
        <f t="shared" ref="I10" si="8">I9/D9-1</f>
        <v>5.8961038961038881E-2</v>
      </c>
      <c r="J10" s="31">
        <f t="shared" ref="J10" si="9">J9/E9-1</f>
        <v>0.12638213180008839</v>
      </c>
      <c r="K10" s="31">
        <f t="shared" ref="K10" si="10">K9/F9-1</f>
        <v>0.17592036385480148</v>
      </c>
      <c r="L10" s="32">
        <f t="shared" ref="L10" si="11">L9/G9-1</f>
        <v>0.11598978914880753</v>
      </c>
      <c r="M10" s="31">
        <f t="shared" ref="M10" si="12">M9/H9-1</f>
        <v>0.17727915908631497</v>
      </c>
      <c r="N10" s="31">
        <f t="shared" ref="N10" si="13">N9/I9-1</f>
        <v>0.17547055251973287</v>
      </c>
      <c r="O10" s="31">
        <f t="shared" ref="O10" si="14">O9/J9-1</f>
        <v>0.15962036238136346</v>
      </c>
      <c r="P10" s="31">
        <f t="shared" ref="P10" si="15">P9/K9-1</f>
        <v>0.12748578190007254</v>
      </c>
      <c r="Q10" s="32">
        <f t="shared" ref="Q10" si="16">Q9/L9-1</f>
        <v>0.15722213486385161</v>
      </c>
      <c r="R10" s="31">
        <f t="shared" ref="R10" si="17">R9/M9-1</f>
        <v>7.0620961952620354E-2</v>
      </c>
      <c r="S10" s="31">
        <f t="shared" ref="S10" si="18">S9/N9-1</f>
        <v>0.17679704016913322</v>
      </c>
      <c r="T10" s="31">
        <f t="shared" ref="T10" si="19">T9/O9-1</f>
        <v>8.2518115942028958E-2</v>
      </c>
      <c r="U10" s="31">
        <f t="shared" ref="U10" si="20">U9/P9-1</f>
        <v>0.1240323967889907</v>
      </c>
      <c r="V10" s="32">
        <f t="shared" ref="V10" si="21">V9/Q9-1</f>
        <v>0.11414087827880937</v>
      </c>
      <c r="W10" s="31">
        <f t="shared" ref="W10" si="22">W9/R9-1</f>
        <v>0.10475063705860932</v>
      </c>
      <c r="X10" s="85"/>
      <c r="Y10" s="85"/>
      <c r="Z10" s="85"/>
      <c r="AA10" s="86"/>
      <c r="AB10" s="86"/>
      <c r="AC10" s="86"/>
      <c r="AD10" s="86"/>
      <c r="AE10" s="86"/>
    </row>
    <row r="11" spans="1:32" ht="14.25" customHeight="1" x14ac:dyDescent="0.35">
      <c r="G11" s="36"/>
      <c r="L11" s="36"/>
      <c r="Q11" s="36"/>
      <c r="V11" s="36"/>
      <c r="W11" s="62"/>
      <c r="X11" s="62"/>
      <c r="Y11" s="62"/>
      <c r="Z11" s="62"/>
      <c r="AA11" s="26"/>
      <c r="AB11" s="26"/>
      <c r="AC11" s="26"/>
      <c r="AD11" s="26"/>
      <c r="AE11" s="26"/>
    </row>
    <row r="12" spans="1:32" ht="14.25" customHeight="1" x14ac:dyDescent="0.35">
      <c r="A12" s="24" t="s">
        <v>196</v>
      </c>
      <c r="B12" s="37">
        <f>B35/B6</f>
        <v>13.321428571428571</v>
      </c>
      <c r="C12" s="37">
        <f>C35/C6</f>
        <v>11.374999999999998</v>
      </c>
      <c r="D12" s="37">
        <f>D35/D6</f>
        <v>13.142857142857142</v>
      </c>
      <c r="E12" s="37">
        <f>E35/E6</f>
        <v>15.131578947368421</v>
      </c>
      <c r="F12" s="37">
        <f>F35/F6</f>
        <v>19.860465116279073</v>
      </c>
      <c r="G12" s="28">
        <f>SUM(C35:F35)/SUM(C6:F6)</f>
        <v>15.222972972972974</v>
      </c>
      <c r="H12" s="37">
        <f>H35/H6</f>
        <v>14.725490196078431</v>
      </c>
      <c r="I12" s="37">
        <f>I35/I6</f>
        <v>16.722222222222221</v>
      </c>
      <c r="J12" s="37">
        <f>J35/J6</f>
        <v>16.409836065573771</v>
      </c>
      <c r="K12" s="37">
        <f>K35/K6</f>
        <v>21.323943661971832</v>
      </c>
      <c r="L12" s="28">
        <f>SUM(H35:K35)/SUM(H6:K6)</f>
        <v>17.590717299578056</v>
      </c>
      <c r="M12" s="37">
        <f>M35/M6</f>
        <v>15.976190476190474</v>
      </c>
      <c r="N12" s="37">
        <f>N35/N6</f>
        <v>19.05681818181818</v>
      </c>
      <c r="O12" s="37">
        <f>O35/O6</f>
        <v>18.677083333333336</v>
      </c>
      <c r="P12" s="37">
        <f>P35/P6</f>
        <v>23.816513761467892</v>
      </c>
      <c r="Q12" s="28">
        <f>SUM(M35:P35)/SUM(M6:P6)</f>
        <v>19.649867374005304</v>
      </c>
      <c r="R12" s="37">
        <f>R35/R6</f>
        <v>18.910569105691057</v>
      </c>
      <c r="S12" s="37">
        <f>S35/S6</f>
        <v>16.767123287671232</v>
      </c>
      <c r="T12" s="37">
        <f>T35/T6</f>
        <v>21.567567567567565</v>
      </c>
      <c r="U12" s="37">
        <f>U35/U6</f>
        <v>27.71764705882353</v>
      </c>
      <c r="V12" s="28">
        <f>SUM(R35:U35)/SUM(R6:U6)</f>
        <v>21.597955706984667</v>
      </c>
      <c r="W12" s="37">
        <f>W35/W6</f>
        <v>25.491803278688522</v>
      </c>
      <c r="X12" s="65"/>
      <c r="Y12" s="65"/>
      <c r="Z12" s="65"/>
      <c r="AA12" s="38"/>
      <c r="AB12" s="38"/>
      <c r="AC12" s="38"/>
      <c r="AD12" s="38"/>
      <c r="AE12" s="38"/>
      <c r="AF12" s="39"/>
    </row>
    <row r="13" spans="1:32" ht="14.25" customHeight="1" x14ac:dyDescent="0.35">
      <c r="A13" s="30" t="s">
        <v>194</v>
      </c>
      <c r="B13" s="30"/>
      <c r="C13" s="30"/>
      <c r="D13" s="30"/>
      <c r="E13" s="30"/>
      <c r="F13" s="31">
        <f>F12/B12-1</f>
        <v>0.49086601409065422</v>
      </c>
      <c r="G13" s="32"/>
      <c r="H13" s="31">
        <f t="shared" ref="H13:W13" si="23">H12/C12-1</f>
        <v>0.29454858866623579</v>
      </c>
      <c r="I13" s="31">
        <f t="shared" si="23"/>
        <v>0.27234299516908211</v>
      </c>
      <c r="J13" s="31">
        <f t="shared" si="23"/>
        <v>8.4476122594440595E-2</v>
      </c>
      <c r="K13" s="31">
        <f t="shared" si="23"/>
        <v>7.368802981825362E-2</v>
      </c>
      <c r="L13" s="32">
        <f t="shared" si="23"/>
        <v>0.15553757671440405</v>
      </c>
      <c r="M13" s="31">
        <f t="shared" si="23"/>
        <v>8.4934373216663417E-2</v>
      </c>
      <c r="N13" s="31">
        <f t="shared" si="23"/>
        <v>0.13961038961038952</v>
      </c>
      <c r="O13" s="31">
        <f t="shared" si="23"/>
        <v>0.13816391941391948</v>
      </c>
      <c r="P13" s="31">
        <f t="shared" si="23"/>
        <v>0.11689067177293277</v>
      </c>
      <c r="Q13" s="32">
        <f t="shared" si="23"/>
        <v>0.11705890324760326</v>
      </c>
      <c r="R13" s="31">
        <f t="shared" si="23"/>
        <v>0.18367198575115418</v>
      </c>
      <c r="S13" s="31">
        <f t="shared" si="23"/>
        <v>-0.12015095449310165</v>
      </c>
      <c r="T13" s="31">
        <f t="shared" si="23"/>
        <v>0.15476100752174338</v>
      </c>
      <c r="U13" s="31">
        <f t="shared" si="23"/>
        <v>0.16379951055923136</v>
      </c>
      <c r="V13" s="32">
        <f t="shared" si="23"/>
        <v>9.9140024505024238E-2</v>
      </c>
      <c r="W13" s="31">
        <f t="shared" si="23"/>
        <v>0.34801883202007233</v>
      </c>
      <c r="X13" s="64"/>
      <c r="Y13" s="64"/>
      <c r="Z13" s="64"/>
      <c r="AA13" s="33"/>
      <c r="AB13" s="33"/>
      <c r="AC13" s="33"/>
      <c r="AD13" s="33"/>
      <c r="AE13" s="33"/>
      <c r="AF13" s="35"/>
    </row>
    <row r="14" spans="1:32" ht="14.25" customHeight="1" x14ac:dyDescent="0.35">
      <c r="G14" s="36"/>
      <c r="L14" s="36"/>
      <c r="Q14" s="36"/>
      <c r="V14" s="36"/>
      <c r="W14" s="64"/>
      <c r="X14" s="64"/>
      <c r="Y14" s="64"/>
      <c r="Z14" s="64"/>
      <c r="AA14" s="33"/>
      <c r="AB14" s="33"/>
      <c r="AC14" s="33"/>
      <c r="AD14" s="33"/>
      <c r="AE14" s="33"/>
      <c r="AF14" s="35"/>
    </row>
    <row r="15" spans="1:32" ht="14.25" customHeight="1" x14ac:dyDescent="0.35">
      <c r="A15" s="23" t="s">
        <v>197</v>
      </c>
      <c r="G15" s="36"/>
      <c r="L15" s="36"/>
      <c r="Q15" s="36"/>
      <c r="V15" s="36"/>
      <c r="W15" s="64"/>
      <c r="X15" s="64"/>
      <c r="Y15" s="64"/>
      <c r="Z15" s="64"/>
      <c r="AA15" s="33"/>
      <c r="AB15" s="33"/>
      <c r="AC15" s="33"/>
      <c r="AD15" s="33"/>
      <c r="AE15" s="33"/>
      <c r="AF15" s="35"/>
    </row>
    <row r="16" spans="1:32" ht="14.25" customHeight="1" x14ac:dyDescent="0.35">
      <c r="A16" s="24" t="s">
        <v>198</v>
      </c>
      <c r="B16" s="24">
        <v>9.2799999999999994</v>
      </c>
      <c r="C16" s="24">
        <v>10.039999999999999</v>
      </c>
      <c r="D16" s="24">
        <v>11.22</v>
      </c>
      <c r="E16" s="24">
        <v>12.68</v>
      </c>
      <c r="F16" s="39">
        <f>SUM(C35:F35)/AVERAGE(F2,B2)</f>
        <v>13.779816513761467</v>
      </c>
      <c r="G16" s="40">
        <f>F16</f>
        <v>13.779816513761467</v>
      </c>
      <c r="H16" s="39">
        <f>SUM(D35:F35,H35)/AVERAGE(H2,C2)</f>
        <v>15.085714285714285</v>
      </c>
      <c r="I16" s="39">
        <f>SUM(E35:F35,H35:I35)/AVERAGE(I2,D2)</f>
        <v>16.619946091644206</v>
      </c>
      <c r="J16" s="39">
        <f>SUM(F35,H35:J35)/AVERAGE(J2,E2)</f>
        <v>17.328395061728394</v>
      </c>
      <c r="K16" s="39">
        <f>SUM(H35:K35)/AVERAGE(K2,F2)</f>
        <v>17.969827586206893</v>
      </c>
      <c r="L16" s="40">
        <f>K16</f>
        <v>17.969827586206893</v>
      </c>
      <c r="M16" s="39">
        <f>SUM(I35:K35,M35)/AVERAGE(M2,H2)</f>
        <v>19.078156312625246</v>
      </c>
      <c r="N16" s="39">
        <f>SUM(J35:K35,M35:N35)/AVERAGE(N2,I2)</f>
        <v>21.081904761904759</v>
      </c>
      <c r="O16" s="39">
        <f>SUM(K35,M35:O35)/AVERAGE(O2,J2)</f>
        <v>22.552584670231731</v>
      </c>
      <c r="P16" s="39">
        <f>SUM(M35:P35)/AVERAGE(P2,K2)</f>
        <v>23.15</v>
      </c>
      <c r="Q16" s="40">
        <f>P16</f>
        <v>23.15</v>
      </c>
      <c r="R16" s="39">
        <f>SUM(N35:P35,R35)/AVERAGE(R2,M2)</f>
        <v>24.359941944847606</v>
      </c>
      <c r="S16" s="39">
        <f>SUM(O35:P35,R35:S35)/AVERAGE(S2,N2)</f>
        <v>24.933333333333334</v>
      </c>
      <c r="T16" s="39">
        <v>27</v>
      </c>
      <c r="U16" s="39">
        <v>28.76</v>
      </c>
      <c r="V16" s="40">
        <f>U16</f>
        <v>28.76</v>
      </c>
      <c r="W16" s="63">
        <v>32.14</v>
      </c>
      <c r="X16" s="63"/>
      <c r="Y16" s="63"/>
      <c r="Z16" s="63"/>
      <c r="AA16" s="29">
        <f>V16*(1+AA17)</f>
        <v>35.950000000000003</v>
      </c>
      <c r="AB16" s="29">
        <f t="shared" ref="AB16:AE16" si="24">AA16*(1+AB17)</f>
        <v>44.038750000000007</v>
      </c>
      <c r="AC16" s="29">
        <f t="shared" si="24"/>
        <v>52.846500000000006</v>
      </c>
      <c r="AD16" s="29">
        <f t="shared" si="24"/>
        <v>62.094637500000012</v>
      </c>
      <c r="AE16" s="29">
        <f t="shared" si="24"/>
        <v>71.408833125000001</v>
      </c>
      <c r="AF16" s="35"/>
    </row>
    <row r="17" spans="1:32" ht="14.25" customHeight="1" x14ac:dyDescent="0.35">
      <c r="A17" s="30" t="s">
        <v>194</v>
      </c>
      <c r="B17" s="30"/>
      <c r="C17" s="30"/>
      <c r="D17" s="30"/>
      <c r="E17" s="30"/>
      <c r="F17" s="31">
        <f>F16/B16-1</f>
        <v>0.48489402087946853</v>
      </c>
      <c r="G17" s="32"/>
      <c r="H17" s="31">
        <f t="shared" ref="H17:K17" si="25">H16/C16-1</f>
        <v>0.50256118383608439</v>
      </c>
      <c r="I17" s="31">
        <f t="shared" si="25"/>
        <v>0.48127861779360104</v>
      </c>
      <c r="J17" s="31">
        <f t="shared" si="25"/>
        <v>0.36659267048331179</v>
      </c>
      <c r="K17" s="31">
        <f t="shared" si="25"/>
        <v>0.30406871298039384</v>
      </c>
      <c r="L17" s="32">
        <f>L16/G16-1</f>
        <v>0.30406871298039384</v>
      </c>
      <c r="M17" s="31">
        <f t="shared" ref="M17:P17" si="26">M16/H16-1</f>
        <v>0.26465051314750698</v>
      </c>
      <c r="N17" s="31">
        <f t="shared" si="26"/>
        <v>0.2684701048762026</v>
      </c>
      <c r="O17" s="31">
        <f t="shared" si="26"/>
        <v>0.30148144648672726</v>
      </c>
      <c r="P17" s="31">
        <f t="shared" si="26"/>
        <v>0.28827056848165045</v>
      </c>
      <c r="Q17" s="32">
        <f>Q16/L16-1</f>
        <v>0.28827056848165045</v>
      </c>
      <c r="R17" s="31">
        <f t="shared" ref="R17:W17" si="27">R16/M16-1</f>
        <v>0.27684989815955441</v>
      </c>
      <c r="S17" s="31">
        <f t="shared" si="27"/>
        <v>0.18268883267076275</v>
      </c>
      <c r="T17" s="31">
        <f t="shared" si="27"/>
        <v>0.19720202339551052</v>
      </c>
      <c r="U17" s="31">
        <f t="shared" si="27"/>
        <v>0.24233261339092893</v>
      </c>
      <c r="V17" s="32">
        <f>V16/Q16-1</f>
        <v>0.24233261339092893</v>
      </c>
      <c r="W17" s="31">
        <f t="shared" si="27"/>
        <v>0.31937917063870347</v>
      </c>
      <c r="X17" s="64"/>
      <c r="Y17" s="64"/>
      <c r="Z17" s="64"/>
      <c r="AA17" s="34">
        <v>0.25</v>
      </c>
      <c r="AB17" s="34">
        <f>AA17-2.5%</f>
        <v>0.22500000000000001</v>
      </c>
      <c r="AC17" s="34">
        <f t="shared" ref="AC17:AE17" si="28">AB17-2.5%</f>
        <v>0.2</v>
      </c>
      <c r="AD17" s="34">
        <f t="shared" si="28"/>
        <v>0.17500000000000002</v>
      </c>
      <c r="AE17" s="34">
        <f t="shared" si="28"/>
        <v>0.15000000000000002</v>
      </c>
      <c r="AF17" s="35"/>
    </row>
    <row r="18" spans="1:32" ht="14.25" customHeight="1" x14ac:dyDescent="0.35">
      <c r="A18" s="30"/>
      <c r="B18" s="30"/>
      <c r="C18" s="30"/>
      <c r="D18" s="30"/>
      <c r="E18" s="30"/>
      <c r="F18" s="35"/>
      <c r="G18" s="41"/>
      <c r="H18" s="35"/>
      <c r="I18" s="35"/>
      <c r="J18" s="35"/>
      <c r="K18" s="35"/>
      <c r="L18" s="41"/>
      <c r="M18" s="35"/>
      <c r="N18" s="35"/>
      <c r="O18" s="35"/>
      <c r="P18" s="35"/>
      <c r="Q18" s="41"/>
      <c r="R18" s="35"/>
      <c r="S18" s="35"/>
      <c r="T18" s="35"/>
      <c r="U18" s="35"/>
      <c r="V18" s="41"/>
      <c r="W18" s="64"/>
      <c r="X18" s="64"/>
      <c r="Y18" s="64"/>
      <c r="Z18" s="64"/>
      <c r="AA18" s="33"/>
      <c r="AB18" s="33"/>
      <c r="AC18" s="33"/>
      <c r="AD18" s="33"/>
      <c r="AE18" s="33"/>
      <c r="AF18" s="35"/>
    </row>
    <row r="19" spans="1:32" ht="14.25" customHeight="1" x14ac:dyDescent="0.35">
      <c r="A19" s="24" t="s">
        <v>262</v>
      </c>
      <c r="B19" s="39"/>
      <c r="C19" s="39"/>
      <c r="D19" s="39"/>
      <c r="E19" s="39"/>
      <c r="F19" s="39">
        <f t="shared" ref="F19:W19" si="29">F41/F2</f>
        <v>3.3005181347150261</v>
      </c>
      <c r="G19" s="40">
        <f t="shared" si="29"/>
        <v>10.450229709035224</v>
      </c>
      <c r="H19" s="39">
        <f t="shared" si="29"/>
        <v>2.5673076923076921</v>
      </c>
      <c r="I19" s="39">
        <f t="shared" si="29"/>
        <v>2.8636363636363638</v>
      </c>
      <c r="J19" s="39">
        <f t="shared" si="29"/>
        <v>2.9621848739495795</v>
      </c>
      <c r="K19" s="39">
        <f t="shared" si="29"/>
        <v>4.03690036900369</v>
      </c>
      <c r="L19" s="40">
        <f t="shared" si="29"/>
        <v>12.648879402347921</v>
      </c>
      <c r="M19" s="39">
        <f t="shared" si="29"/>
        <v>3.2233676975945014</v>
      </c>
      <c r="N19" s="39">
        <f t="shared" si="29"/>
        <v>3.59672131147541</v>
      </c>
      <c r="O19" s="39">
        <f t="shared" si="29"/>
        <v>3.4736842105263164</v>
      </c>
      <c r="P19" s="39">
        <f t="shared" si="29"/>
        <v>4.4010840108401084</v>
      </c>
      <c r="Q19" s="40">
        <f t="shared" si="29"/>
        <v>14.847826086956522</v>
      </c>
      <c r="R19" s="39">
        <f t="shared" si="29"/>
        <v>3.2814070351758793</v>
      </c>
      <c r="S19" s="39">
        <f t="shared" si="29"/>
        <v>3.2209302325581395</v>
      </c>
      <c r="T19" s="39">
        <f t="shared" si="29"/>
        <v>4.232608695652174</v>
      </c>
      <c r="U19" s="39">
        <f t="shared" si="29"/>
        <v>5.875</v>
      </c>
      <c r="V19" s="40">
        <f t="shared" si="29"/>
        <v>16.991111111111113</v>
      </c>
      <c r="W19" s="39">
        <f t="shared" si="29"/>
        <v>5.8190298507462677</v>
      </c>
      <c r="X19" s="63"/>
      <c r="Y19" s="63"/>
      <c r="Z19" s="63"/>
      <c r="AA19" s="29"/>
      <c r="AB19" s="29"/>
      <c r="AC19" s="29"/>
      <c r="AD19" s="29"/>
      <c r="AE19" s="29"/>
      <c r="AF19" s="37"/>
    </row>
    <row r="20" spans="1:32" ht="14.25" customHeight="1" x14ac:dyDescent="0.35">
      <c r="A20" s="30" t="s">
        <v>194</v>
      </c>
      <c r="B20" s="30"/>
      <c r="C20" s="30"/>
      <c r="D20" s="30"/>
      <c r="E20" s="30"/>
      <c r="F20" s="35"/>
      <c r="G20" s="41"/>
      <c r="H20" s="35"/>
      <c r="I20" s="35"/>
      <c r="J20" s="35"/>
      <c r="K20" s="31">
        <f>K19/F19-1</f>
        <v>0.22311110081273489</v>
      </c>
      <c r="L20" s="32">
        <f>L19/G19-1</f>
        <v>0.21039247504882641</v>
      </c>
      <c r="M20" s="31">
        <f t="shared" ref="M20:P20" si="30">M19/H19-1</f>
        <v>0.25554397209673474</v>
      </c>
      <c r="N20" s="31">
        <f t="shared" si="30"/>
        <v>0.25599791829300034</v>
      </c>
      <c r="O20" s="31">
        <f t="shared" si="30"/>
        <v>0.17267637178051554</v>
      </c>
      <c r="P20" s="31">
        <f t="shared" si="30"/>
        <v>9.0213680930227858E-2</v>
      </c>
      <c r="Q20" s="32">
        <f>Q19/L19-1</f>
        <v>0.17384517747875949</v>
      </c>
      <c r="R20" s="31">
        <f t="shared" ref="R20:W20" si="31">R19/M19-1</f>
        <v>1.8005807288039355E-2</v>
      </c>
      <c r="S20" s="31">
        <f t="shared" si="31"/>
        <v>-0.10448156706451006</v>
      </c>
      <c r="T20" s="31">
        <f t="shared" si="31"/>
        <v>0.21847826086956501</v>
      </c>
      <c r="U20" s="31">
        <f t="shared" si="31"/>
        <v>0.33489839901477825</v>
      </c>
      <c r="V20" s="32">
        <f>V19/Q19-1</f>
        <v>0.14435008947454064</v>
      </c>
      <c r="W20" s="31">
        <f t="shared" si="31"/>
        <v>0.77333375237137414</v>
      </c>
      <c r="X20" s="64"/>
      <c r="Y20" s="64"/>
      <c r="Z20" s="64"/>
      <c r="AA20" s="33"/>
      <c r="AB20" s="33"/>
      <c r="AC20" s="33"/>
      <c r="AD20" s="33"/>
      <c r="AE20" s="33"/>
      <c r="AF20" s="35"/>
    </row>
    <row r="21" spans="1:32" ht="14.25" customHeight="1" x14ac:dyDescent="0.35">
      <c r="A21" s="30"/>
      <c r="B21" s="30"/>
      <c r="C21" s="30"/>
      <c r="D21" s="30"/>
      <c r="E21" s="30"/>
      <c r="F21" s="35"/>
      <c r="G21" s="41"/>
      <c r="H21" s="35"/>
      <c r="I21" s="35"/>
      <c r="J21" s="35"/>
      <c r="K21" s="35"/>
      <c r="L21" s="41"/>
      <c r="M21" s="35"/>
      <c r="N21" s="35"/>
      <c r="O21" s="35"/>
      <c r="P21" s="35"/>
      <c r="Q21" s="41"/>
      <c r="R21" s="35"/>
      <c r="S21" s="35"/>
      <c r="T21" s="35"/>
      <c r="U21" s="35"/>
      <c r="V21" s="41"/>
      <c r="W21" s="62"/>
      <c r="X21" s="62"/>
      <c r="Y21" s="62"/>
      <c r="Z21" s="62"/>
      <c r="AA21" s="26"/>
      <c r="AB21" s="26"/>
      <c r="AC21" s="26"/>
      <c r="AD21" s="26"/>
      <c r="AE21" s="26"/>
    </row>
    <row r="22" spans="1:32" ht="14.25" customHeight="1" x14ac:dyDescent="0.35">
      <c r="A22" s="24" t="s">
        <v>263</v>
      </c>
      <c r="F22" s="39">
        <f t="shared" ref="F22:W22" si="32">F51/F2</f>
        <v>1.6217616580310881</v>
      </c>
      <c r="G22" s="40">
        <f t="shared" si="32"/>
        <v>6.6094946401225112</v>
      </c>
      <c r="H22" s="39">
        <f t="shared" si="32"/>
        <v>1.6394230769230769</v>
      </c>
      <c r="I22" s="39">
        <f t="shared" si="32"/>
        <v>1.8272727272727274</v>
      </c>
      <c r="J22" s="39">
        <f t="shared" si="32"/>
        <v>1.9075630252100839</v>
      </c>
      <c r="K22" s="39">
        <f t="shared" si="32"/>
        <v>1.8819188191881917</v>
      </c>
      <c r="L22" s="40">
        <f t="shared" si="32"/>
        <v>7.287086446104591</v>
      </c>
      <c r="M22" s="39">
        <f t="shared" si="32"/>
        <v>1.9140893470790379</v>
      </c>
      <c r="N22" s="39">
        <f t="shared" si="32"/>
        <v>2.0327868852459017</v>
      </c>
      <c r="O22" s="39">
        <f t="shared" si="32"/>
        <v>2.1207430340557276</v>
      </c>
      <c r="P22" s="39">
        <f t="shared" si="32"/>
        <v>2.1355013550135502</v>
      </c>
      <c r="Q22" s="40">
        <f t="shared" si="32"/>
        <v>8.2298136645962732</v>
      </c>
      <c r="R22" s="39">
        <f t="shared" si="32"/>
        <v>2.2185929648241207</v>
      </c>
      <c r="S22" s="39">
        <f t="shared" si="32"/>
        <v>1.9627906976744187</v>
      </c>
      <c r="T22" s="39">
        <f t="shared" si="32"/>
        <v>1.9217391304347828</v>
      </c>
      <c r="U22" s="39">
        <f t="shared" si="32"/>
        <v>1.849609375</v>
      </c>
      <c r="V22" s="40">
        <f t="shared" si="32"/>
        <v>7.9066666666666672</v>
      </c>
      <c r="W22" s="39">
        <f t="shared" si="32"/>
        <v>1.8955223880597014</v>
      </c>
      <c r="X22" s="62"/>
      <c r="Y22" s="62"/>
      <c r="Z22" s="62"/>
      <c r="AA22" s="26"/>
      <c r="AB22" s="26"/>
      <c r="AC22" s="26"/>
      <c r="AD22" s="26"/>
      <c r="AE22" s="26"/>
    </row>
    <row r="23" spans="1:32" ht="14.25" customHeight="1" x14ac:dyDescent="0.35">
      <c r="A23" s="30" t="s">
        <v>194</v>
      </c>
      <c r="B23" s="30"/>
      <c r="C23" s="30"/>
      <c r="D23" s="30"/>
      <c r="E23" s="30"/>
      <c r="F23" s="35"/>
      <c r="G23" s="41"/>
      <c r="H23" s="35"/>
      <c r="I23" s="35"/>
      <c r="J23" s="35"/>
      <c r="K23" s="31">
        <f>K22/F22-1</f>
        <v>0.16041639649623329</v>
      </c>
      <c r="L23" s="32">
        <f>L22/G22-1</f>
        <v>0.10251794469562059</v>
      </c>
      <c r="M23" s="31">
        <f t="shared" ref="M23:P23" si="33">M22/H22-1</f>
        <v>0.16753837006580619</v>
      </c>
      <c r="N23" s="31">
        <f t="shared" si="33"/>
        <v>0.11247043471168738</v>
      </c>
      <c r="O23" s="31">
        <f t="shared" si="33"/>
        <v>0.11175515882216569</v>
      </c>
      <c r="P23" s="31">
        <f t="shared" si="33"/>
        <v>0.13474679844837678</v>
      </c>
      <c r="Q23" s="32">
        <f>Q22/L22-1</f>
        <v>0.12936956703671743</v>
      </c>
      <c r="R23" s="31">
        <f t="shared" ref="R23:W23" si="34">R22/M22-1</f>
        <v>0.1590853730050612</v>
      </c>
      <c r="S23" s="31">
        <f t="shared" si="34"/>
        <v>-3.4433608402100524E-2</v>
      </c>
      <c r="T23" s="31">
        <f t="shared" si="34"/>
        <v>-9.3836877181846967E-2</v>
      </c>
      <c r="U23" s="31">
        <f t="shared" si="34"/>
        <v>-0.13387581297588835</v>
      </c>
      <c r="V23" s="32">
        <f>V22/Q22-1</f>
        <v>-3.9265408805031377E-2</v>
      </c>
      <c r="W23" s="31">
        <f t="shared" si="34"/>
        <v>-0.14561958046686174</v>
      </c>
      <c r="X23" s="62"/>
      <c r="Y23" s="62"/>
      <c r="Z23" s="62"/>
      <c r="AA23" s="26"/>
      <c r="AB23" s="26"/>
      <c r="AC23" s="26"/>
      <c r="AD23" s="26"/>
      <c r="AE23" s="26"/>
    </row>
    <row r="24" spans="1:32" ht="14.25" customHeight="1" x14ac:dyDescent="0.35">
      <c r="A24" s="30"/>
      <c r="B24" s="30"/>
      <c r="C24" s="30"/>
      <c r="D24" s="30"/>
      <c r="E24" s="30"/>
      <c r="F24" s="35"/>
      <c r="G24" s="41"/>
      <c r="H24" s="35"/>
      <c r="I24" s="35"/>
      <c r="J24" s="35"/>
      <c r="K24" s="35"/>
      <c r="L24" s="41"/>
      <c r="M24" s="35"/>
      <c r="N24" s="35"/>
      <c r="O24" s="35"/>
      <c r="P24" s="35"/>
      <c r="Q24" s="41"/>
      <c r="R24" s="35"/>
      <c r="S24" s="35"/>
      <c r="T24" s="35"/>
      <c r="U24" s="35"/>
      <c r="V24" s="41"/>
      <c r="W24" s="62"/>
      <c r="X24" s="62"/>
      <c r="Y24" s="62"/>
      <c r="Z24" s="62"/>
      <c r="AA24" s="26"/>
      <c r="AB24" s="26"/>
      <c r="AC24" s="26"/>
      <c r="AD24" s="26"/>
      <c r="AE24" s="26"/>
    </row>
    <row r="25" spans="1:32" ht="14.25" customHeight="1" x14ac:dyDescent="0.35">
      <c r="A25" s="24" t="s">
        <v>264</v>
      </c>
      <c r="F25" s="39">
        <f t="shared" ref="F25:W25" si="35">F53/F2</f>
        <v>0.98963730569948194</v>
      </c>
      <c r="G25" s="40">
        <f t="shared" si="35"/>
        <v>3.926493108728943</v>
      </c>
      <c r="H25" s="39">
        <f t="shared" si="35"/>
        <v>0.97596153846153844</v>
      </c>
      <c r="I25" s="39">
        <f t="shared" si="35"/>
        <v>1.0136363636363637</v>
      </c>
      <c r="J25" s="39">
        <f t="shared" si="35"/>
        <v>1.0756302521008403</v>
      </c>
      <c r="K25" s="39">
        <f t="shared" si="35"/>
        <v>1.2767527675276753</v>
      </c>
      <c r="L25" s="40">
        <f t="shared" si="35"/>
        <v>4.3884738527214529</v>
      </c>
      <c r="M25" s="39">
        <f t="shared" si="35"/>
        <v>1.1615120274914088</v>
      </c>
      <c r="N25" s="39">
        <f t="shared" si="35"/>
        <v>1.2</v>
      </c>
      <c r="O25" s="39">
        <f t="shared" si="35"/>
        <v>1.4458204334365328</v>
      </c>
      <c r="P25" s="39">
        <f t="shared" si="35"/>
        <v>1.6747967479674797</v>
      </c>
      <c r="Q25" s="40">
        <f t="shared" si="35"/>
        <v>5.5559006211180124</v>
      </c>
      <c r="R25" s="39">
        <f t="shared" si="35"/>
        <v>1.7135678391959801</v>
      </c>
      <c r="S25" s="39">
        <f t="shared" si="35"/>
        <v>1.4930232558139536</v>
      </c>
      <c r="T25" s="39">
        <f t="shared" si="35"/>
        <v>1.5434782608695652</v>
      </c>
      <c r="U25" s="39">
        <f t="shared" si="35"/>
        <v>1.8769531249999998</v>
      </c>
      <c r="V25" s="40">
        <f t="shared" si="35"/>
        <v>6.6555555555555559</v>
      </c>
      <c r="W25" s="39">
        <f t="shared" si="35"/>
        <v>1.658582089552239</v>
      </c>
      <c r="X25" s="62"/>
      <c r="Y25" s="62"/>
      <c r="Z25" s="62"/>
      <c r="AA25" s="26"/>
      <c r="AB25" s="26"/>
      <c r="AC25" s="26"/>
      <c r="AD25" s="26"/>
      <c r="AE25" s="26"/>
    </row>
    <row r="26" spans="1:32" ht="14.25" customHeight="1" x14ac:dyDescent="0.35">
      <c r="A26" s="30" t="s">
        <v>194</v>
      </c>
      <c r="B26" s="30"/>
      <c r="C26" s="30"/>
      <c r="D26" s="30"/>
      <c r="E26" s="30"/>
      <c r="F26" s="35"/>
      <c r="G26" s="41"/>
      <c r="H26" s="35"/>
      <c r="I26" s="35"/>
      <c r="J26" s="35"/>
      <c r="K26" s="31">
        <f>K25/F25-1</f>
        <v>0.29012190645466651</v>
      </c>
      <c r="L26" s="32">
        <f>L25/G25-1</f>
        <v>0.11765734236626724</v>
      </c>
      <c r="M26" s="31">
        <f t="shared" ref="M26:P26" si="36">M25/H25-1</f>
        <v>0.19012069811927601</v>
      </c>
      <c r="N26" s="31">
        <f t="shared" si="36"/>
        <v>0.18385650224215233</v>
      </c>
      <c r="O26" s="31">
        <f t="shared" si="36"/>
        <v>0.34416118421052655</v>
      </c>
      <c r="P26" s="31">
        <f t="shared" si="36"/>
        <v>0.31176277080689885</v>
      </c>
      <c r="Q26" s="32">
        <f>Q25/L25-1</f>
        <v>0.2660211288880292</v>
      </c>
      <c r="R26" s="31">
        <f t="shared" ref="R26:U26" si="37">R25/M25-1</f>
        <v>0.47529065445571095</v>
      </c>
      <c r="S26" s="31">
        <f t="shared" si="37"/>
        <v>0.24418604651162812</v>
      </c>
      <c r="T26" s="31">
        <f t="shared" si="37"/>
        <v>6.7544921329484975E-2</v>
      </c>
      <c r="U26" s="31">
        <f t="shared" si="37"/>
        <v>0.12070502123786397</v>
      </c>
      <c r="V26" s="32">
        <f>V25/Q25-1</f>
        <v>0.19792559468356008</v>
      </c>
      <c r="W26" s="31">
        <f t="shared" ref="W26" si="38">W25/R25-1</f>
        <v>-3.2088458003239007E-2</v>
      </c>
      <c r="X26" s="62"/>
      <c r="Y26" s="62"/>
      <c r="Z26" s="62"/>
      <c r="AA26" s="26"/>
      <c r="AB26" s="26"/>
      <c r="AC26" s="26"/>
      <c r="AD26" s="26"/>
      <c r="AE26" s="26"/>
    </row>
    <row r="27" spans="1:32" ht="14.25" customHeight="1" x14ac:dyDescent="0.35">
      <c r="A27" s="30"/>
      <c r="B27" s="30"/>
      <c r="C27" s="30"/>
      <c r="D27" s="30"/>
      <c r="E27" s="30"/>
      <c r="F27" s="35"/>
      <c r="G27" s="41"/>
      <c r="H27" s="35"/>
      <c r="I27" s="35"/>
      <c r="J27" s="35"/>
      <c r="K27" s="35"/>
      <c r="L27" s="41"/>
      <c r="M27" s="35"/>
      <c r="N27" s="35"/>
      <c r="O27" s="35"/>
      <c r="P27" s="35"/>
      <c r="Q27" s="41"/>
      <c r="R27" s="35"/>
      <c r="S27" s="35"/>
      <c r="T27" s="35"/>
      <c r="U27" s="35"/>
      <c r="V27" s="41"/>
      <c r="W27" s="62"/>
      <c r="X27" s="62"/>
      <c r="Y27" s="62"/>
      <c r="Z27" s="62"/>
      <c r="AA27" s="26"/>
      <c r="AB27" s="26"/>
      <c r="AC27" s="26"/>
      <c r="AD27" s="26"/>
      <c r="AE27" s="26"/>
    </row>
    <row r="28" spans="1:32" ht="14.25" customHeight="1" x14ac:dyDescent="0.35">
      <c r="A28" s="24" t="s">
        <v>265</v>
      </c>
      <c r="B28" s="30"/>
      <c r="C28" s="30"/>
      <c r="D28" s="30"/>
      <c r="E28" s="30"/>
      <c r="F28" s="74">
        <f t="shared" ref="F28:W28" si="39">F55/F2</f>
        <v>0.69948186528497402</v>
      </c>
      <c r="G28" s="75">
        <f t="shared" si="39"/>
        <v>2.903522205206738</v>
      </c>
      <c r="H28" s="74">
        <f t="shared" si="39"/>
        <v>0.75</v>
      </c>
      <c r="I28" s="74">
        <f t="shared" si="39"/>
        <v>0.70000000000000007</v>
      </c>
      <c r="J28" s="74">
        <f t="shared" si="39"/>
        <v>0.83193277310924374</v>
      </c>
      <c r="K28" s="74">
        <f t="shared" si="39"/>
        <v>0.78228782287822873</v>
      </c>
      <c r="L28" s="75">
        <f t="shared" si="39"/>
        <v>3.0736392742796164</v>
      </c>
      <c r="M28" s="74">
        <f t="shared" si="39"/>
        <v>0.75945017182130581</v>
      </c>
      <c r="N28" s="74">
        <f t="shared" si="39"/>
        <v>0.85245901639344257</v>
      </c>
      <c r="O28" s="74">
        <f t="shared" si="39"/>
        <v>0.92569659442724461</v>
      </c>
      <c r="P28" s="74">
        <f t="shared" si="39"/>
        <v>1.0406504065040652</v>
      </c>
      <c r="Q28" s="75">
        <f t="shared" si="39"/>
        <v>3.6149068322981366</v>
      </c>
      <c r="R28" s="74">
        <f t="shared" si="39"/>
        <v>0.9974874371859298</v>
      </c>
      <c r="S28" s="74">
        <f t="shared" si="39"/>
        <v>0.94186046511627908</v>
      </c>
      <c r="T28" s="74">
        <f t="shared" si="39"/>
        <v>0.94565217391304346</v>
      </c>
      <c r="U28" s="74">
        <f t="shared" si="39"/>
        <v>0.966796875</v>
      </c>
      <c r="V28" s="75">
        <f t="shared" si="39"/>
        <v>3.8488888888888888</v>
      </c>
      <c r="W28" s="74">
        <f t="shared" si="39"/>
        <v>1.1287313432835822</v>
      </c>
      <c r="X28" s="62"/>
      <c r="Y28" s="62"/>
      <c r="Z28" s="62"/>
      <c r="AA28" s="26"/>
      <c r="AB28" s="26"/>
      <c r="AC28" s="26"/>
      <c r="AD28" s="26"/>
      <c r="AE28" s="26"/>
    </row>
    <row r="29" spans="1:32" ht="14.25" customHeight="1" x14ac:dyDescent="0.35">
      <c r="A29" s="30" t="s">
        <v>194</v>
      </c>
      <c r="B29" s="30"/>
      <c r="C29" s="30"/>
      <c r="D29" s="30"/>
      <c r="E29" s="30"/>
      <c r="F29" s="35"/>
      <c r="G29" s="41"/>
      <c r="H29" s="35"/>
      <c r="I29" s="35"/>
      <c r="J29" s="35"/>
      <c r="K29" s="31">
        <f>K28/F28-1</f>
        <v>0.11838185048517147</v>
      </c>
      <c r="L29" s="32">
        <f>L28/G28-1</f>
        <v>5.8589897734488083E-2</v>
      </c>
      <c r="M29" s="31">
        <f t="shared" ref="M29" si="40">M28/H28-1</f>
        <v>1.2600229095074411E-2</v>
      </c>
      <c r="N29" s="31">
        <f t="shared" ref="N29" si="41">N28/I28-1</f>
        <v>0.21779859484777497</v>
      </c>
      <c r="O29" s="31">
        <f t="shared" ref="O29" si="42">O28/J28-1</f>
        <v>0.11270600744284942</v>
      </c>
      <c r="P29" s="31">
        <f t="shared" ref="P29" si="43">P28/K28-1</f>
        <v>0.33026537812547963</v>
      </c>
      <c r="Q29" s="32">
        <f>Q28/L28-1</f>
        <v>0.17609989648033109</v>
      </c>
      <c r="R29" s="31">
        <f t="shared" ref="R29" si="44">R28/M28-1</f>
        <v>0.31343368425839624</v>
      </c>
      <c r="S29" s="31">
        <f t="shared" ref="S29" si="45">S28/N28-1</f>
        <v>0.10487477638640441</v>
      </c>
      <c r="T29" s="31">
        <f t="shared" ref="T29" si="46">T28/O28-1</f>
        <v>2.1557365130143946E-2</v>
      </c>
      <c r="U29" s="31">
        <f t="shared" ref="U29" si="47">U28/P28-1</f>
        <v>-7.0968627929687611E-2</v>
      </c>
      <c r="V29" s="32">
        <f>V28/Q28-1</f>
        <v>6.4726995036273438E-2</v>
      </c>
      <c r="W29" s="31">
        <f t="shared" ref="W29" si="48">W28/R28-1</f>
        <v>0.13157449528177745</v>
      </c>
      <c r="X29" s="62"/>
      <c r="Y29" s="62"/>
      <c r="Z29" s="62"/>
      <c r="AA29" s="26"/>
      <c r="AB29" s="26"/>
      <c r="AC29" s="26"/>
      <c r="AD29" s="26"/>
      <c r="AE29" s="26"/>
    </row>
    <row r="30" spans="1:32" ht="14.25" customHeight="1" x14ac:dyDescent="0.35">
      <c r="A30" s="30"/>
      <c r="B30" s="30"/>
      <c r="C30" s="30"/>
      <c r="D30" s="30"/>
      <c r="E30" s="30"/>
      <c r="F30" s="35"/>
      <c r="G30" s="41"/>
      <c r="H30" s="35"/>
      <c r="I30" s="35"/>
      <c r="J30" s="35"/>
      <c r="K30" s="35"/>
      <c r="L30" s="41"/>
      <c r="M30" s="35"/>
      <c r="N30" s="35"/>
      <c r="O30" s="35"/>
      <c r="P30" s="35"/>
      <c r="Q30" s="41"/>
      <c r="R30" s="35"/>
      <c r="S30" s="35"/>
      <c r="T30" s="35"/>
      <c r="U30" s="35"/>
      <c r="V30" s="41"/>
      <c r="W30" s="62"/>
      <c r="X30" s="62"/>
      <c r="Y30" s="62"/>
      <c r="Z30" s="62"/>
      <c r="AA30" s="26"/>
      <c r="AB30" s="26"/>
      <c r="AC30" s="26"/>
      <c r="AD30" s="26"/>
      <c r="AE30" s="26"/>
    </row>
    <row r="31" spans="1:32" ht="14.25" customHeight="1" x14ac:dyDescent="0.35">
      <c r="A31" s="24" t="s">
        <v>266</v>
      </c>
      <c r="B31" s="30"/>
      <c r="C31" s="30"/>
      <c r="D31" s="30"/>
      <c r="E31" s="30"/>
      <c r="F31" s="42">
        <f>F19-F22-F25-F28</f>
        <v>-1.0362694300517949E-2</v>
      </c>
      <c r="G31" s="43">
        <f>G19-G22-G25-G28</f>
        <v>-2.9892802450229685</v>
      </c>
      <c r="H31" s="42">
        <f t="shared" ref="H31:K31" si="49">H19-H22-H25-H28</f>
        <v>-0.79807692307692324</v>
      </c>
      <c r="I31" s="42">
        <f t="shared" si="49"/>
        <v>-0.67727272727272736</v>
      </c>
      <c r="J31" s="42">
        <f t="shared" si="49"/>
        <v>-0.85294117647058842</v>
      </c>
      <c r="K31" s="42">
        <f t="shared" si="49"/>
        <v>9.594095940959424E-2</v>
      </c>
      <c r="L31" s="43">
        <f>L19-L22-L25-L28</f>
        <v>-2.100320170757739</v>
      </c>
      <c r="M31" s="42">
        <f t="shared" ref="M31:P31" si="50">M19-M22-M25-M28</f>
        <v>-0.61168384879725113</v>
      </c>
      <c r="N31" s="42">
        <f t="shared" si="50"/>
        <v>-0.48852459016393424</v>
      </c>
      <c r="O31" s="42">
        <f t="shared" si="50"/>
        <v>-1.0185758513931886</v>
      </c>
      <c r="P31" s="42">
        <f t="shared" si="50"/>
        <v>-0.44986449864498668</v>
      </c>
      <c r="Q31" s="43">
        <f>Q19-Q22-Q25-Q28</f>
        <v>-2.5527950310559007</v>
      </c>
      <c r="R31" s="42">
        <f t="shared" ref="R31:U31" si="51">R19-R22-R25-R28</f>
        <v>-1.6482412060301512</v>
      </c>
      <c r="S31" s="42">
        <f t="shared" si="51"/>
        <v>-1.1767441860465118</v>
      </c>
      <c r="T31" s="42">
        <f t="shared" si="51"/>
        <v>-0.17826086956521725</v>
      </c>
      <c r="U31" s="42">
        <f t="shared" si="51"/>
        <v>1.181640625</v>
      </c>
      <c r="V31" s="43">
        <f>V19-V22-V25-V28</f>
        <v>-1.4199999999999977</v>
      </c>
      <c r="W31" s="42">
        <f>W19-W22-W25-W28</f>
        <v>1.1361940298507451</v>
      </c>
      <c r="X31" s="62"/>
      <c r="Y31" s="62"/>
      <c r="Z31" s="62"/>
      <c r="AA31" s="26"/>
      <c r="AB31" s="26"/>
      <c r="AC31" s="26"/>
      <c r="AD31" s="26"/>
      <c r="AE31" s="26"/>
    </row>
    <row r="32" spans="1:32" ht="14.25" customHeight="1" x14ac:dyDescent="0.35">
      <c r="A32" s="30" t="s">
        <v>199</v>
      </c>
      <c r="B32" s="30"/>
      <c r="C32" s="30"/>
      <c r="D32" s="30"/>
      <c r="E32" s="30"/>
      <c r="F32" s="31">
        <f t="shared" ref="F32:W32" si="52">F31/F16</f>
        <v>-7.5201975949164886E-4</v>
      </c>
      <c r="G32" s="32">
        <f t="shared" si="52"/>
        <v>-0.21693178875333127</v>
      </c>
      <c r="H32" s="31">
        <f t="shared" si="52"/>
        <v>-5.290282634032635E-2</v>
      </c>
      <c r="I32" s="31">
        <f t="shared" si="52"/>
        <v>-4.0750597116150152E-2</v>
      </c>
      <c r="J32" s="31">
        <f t="shared" si="52"/>
        <v>-4.922216820612544E-2</v>
      </c>
      <c r="K32" s="31">
        <f t="shared" si="52"/>
        <v>5.3390027783703211E-3</v>
      </c>
      <c r="L32" s="32">
        <f t="shared" si="52"/>
        <v>-0.11688037409829588</v>
      </c>
      <c r="M32" s="31">
        <f t="shared" si="52"/>
        <v>-3.2062000057755079E-2</v>
      </c>
      <c r="N32" s="31">
        <f t="shared" si="52"/>
        <v>-2.3172696949409606E-2</v>
      </c>
      <c r="O32" s="31">
        <f t="shared" si="52"/>
        <v>-4.516448408406408E-2</v>
      </c>
      <c r="P32" s="31">
        <f t="shared" si="52"/>
        <v>-1.9432591734124694E-2</v>
      </c>
      <c r="Q32" s="32">
        <f t="shared" si="52"/>
        <v>-0.1102719235877279</v>
      </c>
      <c r="R32" s="31">
        <f t="shared" si="52"/>
        <v>-6.7661951319993696E-2</v>
      </c>
      <c r="S32" s="31">
        <f t="shared" si="52"/>
        <v>-4.7195622435020526E-2</v>
      </c>
      <c r="T32" s="31">
        <f t="shared" si="52"/>
        <v>-6.6022544283413798E-3</v>
      </c>
      <c r="U32" s="31">
        <f t="shared" si="52"/>
        <v>4.1086252607788594E-2</v>
      </c>
      <c r="V32" s="32">
        <f t="shared" si="52"/>
        <v>-4.9374130737134828E-2</v>
      </c>
      <c r="W32" s="31">
        <f t="shared" si="52"/>
        <v>3.5351401053227913E-2</v>
      </c>
      <c r="X32" s="62"/>
      <c r="Y32" s="62"/>
      <c r="Z32" s="62"/>
      <c r="AA32" s="26"/>
      <c r="AB32" s="26"/>
      <c r="AC32" s="26"/>
      <c r="AD32" s="26"/>
      <c r="AE32" s="26"/>
    </row>
    <row r="33" spans="1:32" ht="14.25" customHeight="1" x14ac:dyDescent="0.35">
      <c r="A33" s="30"/>
      <c r="B33" s="30"/>
      <c r="C33" s="30"/>
      <c r="D33" s="30"/>
      <c r="E33" s="30"/>
      <c r="F33" s="35"/>
      <c r="G33" s="41"/>
      <c r="H33" s="35"/>
      <c r="I33" s="35"/>
      <c r="J33" s="35"/>
      <c r="K33" s="35"/>
      <c r="L33" s="41"/>
      <c r="M33" s="35"/>
      <c r="N33" s="35"/>
      <c r="O33" s="35"/>
      <c r="P33" s="35"/>
      <c r="Q33" s="41"/>
      <c r="R33" s="35"/>
      <c r="S33" s="35"/>
      <c r="T33" s="35"/>
      <c r="U33" s="35"/>
      <c r="V33" s="41"/>
      <c r="W33" s="62"/>
      <c r="X33" s="62"/>
      <c r="Y33" s="62"/>
      <c r="Z33" s="62"/>
      <c r="AA33" s="26"/>
      <c r="AB33" s="26"/>
      <c r="AC33" s="26"/>
      <c r="AD33" s="26"/>
      <c r="AE33" s="26"/>
    </row>
    <row r="34" spans="1:32" ht="14.25" customHeight="1" x14ac:dyDescent="0.35">
      <c r="A34" s="23" t="s">
        <v>200</v>
      </c>
      <c r="B34" s="24" t="s">
        <v>174</v>
      </c>
      <c r="C34" s="24" t="s">
        <v>175</v>
      </c>
      <c r="D34" s="24" t="s">
        <v>176</v>
      </c>
      <c r="E34" s="24" t="s">
        <v>177</v>
      </c>
      <c r="F34" s="24" t="s">
        <v>178</v>
      </c>
      <c r="G34" s="36">
        <v>2017</v>
      </c>
      <c r="H34" s="24" t="s">
        <v>179</v>
      </c>
      <c r="I34" s="24" t="s">
        <v>180</v>
      </c>
      <c r="J34" s="24" t="s">
        <v>181</v>
      </c>
      <c r="K34" s="24" t="s">
        <v>182</v>
      </c>
      <c r="L34" s="36">
        <v>2018</v>
      </c>
      <c r="M34" s="24" t="s">
        <v>183</v>
      </c>
      <c r="N34" s="24" t="s">
        <v>184</v>
      </c>
      <c r="O34" s="24" t="s">
        <v>185</v>
      </c>
      <c r="P34" s="24" t="s">
        <v>186</v>
      </c>
      <c r="Q34" s="36">
        <v>2019</v>
      </c>
      <c r="R34" s="24" t="s">
        <v>187</v>
      </c>
      <c r="S34" s="24" t="s">
        <v>188</v>
      </c>
      <c r="T34" s="24" t="s">
        <v>189</v>
      </c>
      <c r="U34" s="24" t="s">
        <v>261</v>
      </c>
      <c r="V34" s="36">
        <v>2020</v>
      </c>
      <c r="W34" s="62" t="s">
        <v>267</v>
      </c>
      <c r="X34" s="62"/>
      <c r="Y34" s="62"/>
      <c r="Z34" s="62"/>
      <c r="AA34" s="26" t="s">
        <v>190</v>
      </c>
      <c r="AB34" s="26" t="s">
        <v>191</v>
      </c>
      <c r="AC34" s="26" t="s">
        <v>158</v>
      </c>
      <c r="AD34" s="26" t="s">
        <v>192</v>
      </c>
      <c r="AE34" s="26" t="s">
        <v>128</v>
      </c>
      <c r="AF34" s="44"/>
    </row>
    <row r="35" spans="1:32" ht="14.25" customHeight="1" x14ac:dyDescent="0.35">
      <c r="A35" s="24" t="s">
        <v>201</v>
      </c>
      <c r="B35" s="24">
        <v>37.299999999999997</v>
      </c>
      <c r="C35" s="24">
        <v>36.4</v>
      </c>
      <c r="D35" s="24">
        <v>46</v>
      </c>
      <c r="E35" s="24">
        <v>57.5</v>
      </c>
      <c r="F35" s="24">
        <v>85.4</v>
      </c>
      <c r="G35" s="36">
        <f>SUM(C35:F35)</f>
        <v>225.3</v>
      </c>
      <c r="H35" s="24">
        <v>75.099999999999994</v>
      </c>
      <c r="I35" s="24">
        <v>90.3</v>
      </c>
      <c r="J35" s="24">
        <v>100.1</v>
      </c>
      <c r="K35" s="24">
        <v>151.4</v>
      </c>
      <c r="L35" s="36">
        <f>SUM(H35:K35)</f>
        <v>416.9</v>
      </c>
      <c r="M35" s="24">
        <v>134.19999999999999</v>
      </c>
      <c r="N35" s="24">
        <v>167.7</v>
      </c>
      <c r="O35" s="24">
        <v>179.3</v>
      </c>
      <c r="P35" s="24">
        <v>259.60000000000002</v>
      </c>
      <c r="Q35" s="36">
        <f>SUM(M35:P35)</f>
        <v>740.8</v>
      </c>
      <c r="R35" s="24">
        <v>232.6</v>
      </c>
      <c r="S35" s="24">
        <v>244.8</v>
      </c>
      <c r="T35" s="24">
        <v>319.2</v>
      </c>
      <c r="U35" s="24">
        <v>471.2</v>
      </c>
      <c r="V35" s="83">
        <f>SUM(R35:U35)</f>
        <v>1267.8</v>
      </c>
      <c r="W35" s="66">
        <v>466.5</v>
      </c>
      <c r="X35" s="66"/>
      <c r="Y35" s="66"/>
      <c r="Z35" s="66"/>
      <c r="AA35" s="81">
        <f>AA2*AA16</f>
        <v>2077.91</v>
      </c>
      <c r="AB35" s="81">
        <f>AB2*AB16</f>
        <v>3205.8399518055553</v>
      </c>
      <c r="AC35" s="81">
        <f>AC2*AC16</f>
        <v>4748.9175819412949</v>
      </c>
      <c r="AD35" s="81">
        <f>AD2*AD16</f>
        <v>6748.673584259046</v>
      </c>
      <c r="AE35" s="81">
        <f>AE2*AE16</f>
        <v>9192.4432743812904</v>
      </c>
      <c r="AF35" s="47" t="s">
        <v>203</v>
      </c>
    </row>
    <row r="36" spans="1:32" ht="14.25" customHeight="1" x14ac:dyDescent="0.35">
      <c r="A36" s="30" t="s">
        <v>194</v>
      </c>
      <c r="B36" s="30"/>
      <c r="C36" s="30"/>
      <c r="D36" s="30"/>
      <c r="E36" s="30"/>
      <c r="F36" s="35">
        <f>F35/B35-1</f>
        <v>1.2895442359249332</v>
      </c>
      <c r="G36" s="41"/>
      <c r="H36" s="35">
        <f t="shared" ref="H36:K36" si="53">H35/C35-1</f>
        <v>1.063186813186813</v>
      </c>
      <c r="I36" s="35">
        <f t="shared" si="53"/>
        <v>0.96304347826086945</v>
      </c>
      <c r="J36" s="35">
        <f t="shared" si="53"/>
        <v>0.74086956521739111</v>
      </c>
      <c r="K36" s="35">
        <f t="shared" si="53"/>
        <v>0.77283372365339575</v>
      </c>
      <c r="L36" s="41">
        <f>L35/G35-1</f>
        <v>0.85042166000887676</v>
      </c>
      <c r="M36" s="35">
        <f t="shared" ref="M36:P36" si="54">M35/H35-1</f>
        <v>0.78695073235685742</v>
      </c>
      <c r="N36" s="35">
        <f t="shared" si="54"/>
        <v>0.85714285714285698</v>
      </c>
      <c r="O36" s="35">
        <f t="shared" si="54"/>
        <v>0.79120879120879151</v>
      </c>
      <c r="P36" s="35">
        <f t="shared" si="54"/>
        <v>0.71466314398943198</v>
      </c>
      <c r="Q36" s="41">
        <f>Q35/L35-1</f>
        <v>0.7769249220436556</v>
      </c>
      <c r="R36" s="35">
        <f t="shared" ref="R36:W36" si="55">R35/M35-1</f>
        <v>0.73323397913561861</v>
      </c>
      <c r="S36" s="35">
        <f t="shared" si="55"/>
        <v>0.45974955277280882</v>
      </c>
      <c r="T36" s="35">
        <f t="shared" si="55"/>
        <v>0.78025655326268795</v>
      </c>
      <c r="U36" s="35">
        <f t="shared" si="55"/>
        <v>0.8151001540832048</v>
      </c>
      <c r="V36" s="41">
        <f>V35/Q35-1</f>
        <v>0.71139308855291583</v>
      </c>
      <c r="W36" s="35">
        <f t="shared" si="55"/>
        <v>1.0055889939810836</v>
      </c>
      <c r="X36" s="64"/>
      <c r="Y36" s="64"/>
      <c r="Z36" s="64"/>
      <c r="AA36" s="33">
        <f>AA35/V35-1</f>
        <v>0.63898879949518839</v>
      </c>
      <c r="AB36" s="33">
        <f t="shared" ref="AB36:AE36" si="56">AB35/AA35-1</f>
        <v>0.54281944444444452</v>
      </c>
      <c r="AC36" s="33">
        <f t="shared" si="56"/>
        <v>0.48133333333333295</v>
      </c>
      <c r="AD36" s="33">
        <f t="shared" si="56"/>
        <v>0.42109722222222201</v>
      </c>
      <c r="AE36" s="33">
        <f t="shared" si="56"/>
        <v>0.36211111111111061</v>
      </c>
      <c r="AF36" s="35"/>
    </row>
    <row r="37" spans="1:32" ht="14.25" customHeight="1" x14ac:dyDescent="0.35">
      <c r="A37" s="24" t="s">
        <v>202</v>
      </c>
      <c r="B37" s="44">
        <v>110</v>
      </c>
      <c r="C37" s="44">
        <v>63.7</v>
      </c>
      <c r="D37" s="44">
        <v>53.7</v>
      </c>
      <c r="E37" s="44">
        <v>67.3</v>
      </c>
      <c r="F37" s="44">
        <v>102.8</v>
      </c>
      <c r="G37" s="46">
        <f>SUM(C37:F37)</f>
        <v>287.5</v>
      </c>
      <c r="H37" s="44">
        <v>61.5</v>
      </c>
      <c r="I37" s="44">
        <v>66.5</v>
      </c>
      <c r="J37" s="44">
        <v>73.3</v>
      </c>
      <c r="K37" s="44">
        <v>124.3</v>
      </c>
      <c r="L37" s="46">
        <f>SUM(H37:K37)</f>
        <v>325.60000000000002</v>
      </c>
      <c r="M37" s="44">
        <v>72.5</v>
      </c>
      <c r="N37" s="44">
        <v>82.4</v>
      </c>
      <c r="O37" s="44">
        <v>81.599999999999994</v>
      </c>
      <c r="P37" s="44">
        <v>151.6</v>
      </c>
      <c r="Q37" s="46">
        <f>SUM(M37:P37)</f>
        <v>388.1</v>
      </c>
      <c r="R37" s="44">
        <v>88.2</v>
      </c>
      <c r="S37" s="44">
        <v>111.3</v>
      </c>
      <c r="T37" s="44">
        <v>132.4</v>
      </c>
      <c r="U37" s="44">
        <v>178.7</v>
      </c>
      <c r="V37" s="46">
        <f>SUM(R37:U37)</f>
        <v>510.59999999999997</v>
      </c>
      <c r="W37" s="67">
        <v>107.7</v>
      </c>
      <c r="X37" s="62"/>
      <c r="Y37" s="62"/>
      <c r="Z37" s="62"/>
      <c r="AA37" s="33"/>
      <c r="AB37" s="33"/>
      <c r="AC37" s="33"/>
      <c r="AD37" s="33"/>
      <c r="AE37" s="33"/>
    </row>
    <row r="38" spans="1:32" ht="14.25" customHeight="1" x14ac:dyDescent="0.35">
      <c r="A38" s="24" t="s">
        <v>204</v>
      </c>
      <c r="B38" s="24">
        <f t="shared" ref="B38:T38" si="57">B35+B37</f>
        <v>147.30000000000001</v>
      </c>
      <c r="C38" s="24">
        <f t="shared" si="57"/>
        <v>100.1</v>
      </c>
      <c r="D38" s="24">
        <f t="shared" si="57"/>
        <v>99.7</v>
      </c>
      <c r="E38" s="24">
        <f t="shared" si="57"/>
        <v>124.8</v>
      </c>
      <c r="F38" s="24">
        <f t="shared" si="57"/>
        <v>188.2</v>
      </c>
      <c r="G38" s="36">
        <f t="shared" si="57"/>
        <v>512.79999999999995</v>
      </c>
      <c r="H38" s="24">
        <f t="shared" si="57"/>
        <v>136.6</v>
      </c>
      <c r="I38" s="24">
        <f t="shared" si="57"/>
        <v>156.80000000000001</v>
      </c>
      <c r="J38" s="24">
        <f t="shared" si="57"/>
        <v>173.39999999999998</v>
      </c>
      <c r="K38" s="24">
        <f t="shared" si="57"/>
        <v>275.7</v>
      </c>
      <c r="L38" s="36">
        <f t="shared" si="57"/>
        <v>742.5</v>
      </c>
      <c r="M38" s="24">
        <f t="shared" si="57"/>
        <v>206.7</v>
      </c>
      <c r="N38" s="24">
        <f t="shared" si="57"/>
        <v>250.1</v>
      </c>
      <c r="O38" s="24">
        <f t="shared" si="57"/>
        <v>260.89999999999998</v>
      </c>
      <c r="P38" s="24">
        <f t="shared" si="57"/>
        <v>411.20000000000005</v>
      </c>
      <c r="Q38" s="83">
        <f t="shared" si="57"/>
        <v>1128.9000000000001</v>
      </c>
      <c r="R38" s="24">
        <f t="shared" si="57"/>
        <v>320.8</v>
      </c>
      <c r="S38" s="24">
        <f t="shared" si="57"/>
        <v>356.1</v>
      </c>
      <c r="T38" s="24">
        <f t="shared" si="57"/>
        <v>451.6</v>
      </c>
      <c r="U38" s="24">
        <f t="shared" ref="U38:V38" si="58">U35+U37</f>
        <v>649.9</v>
      </c>
      <c r="V38" s="83">
        <f t="shared" si="58"/>
        <v>1778.3999999999999</v>
      </c>
      <c r="W38" s="24">
        <f t="shared" ref="W38" si="59">W35+W37</f>
        <v>574.20000000000005</v>
      </c>
      <c r="X38" s="66">
        <v>615</v>
      </c>
      <c r="Y38" s="66"/>
      <c r="Z38" s="66"/>
      <c r="AA38" s="81">
        <f>Estimates!C19/10</f>
        <v>2568.0299999999997</v>
      </c>
      <c r="AB38" s="81">
        <f>Estimates!D19/10</f>
        <v>3549.25</v>
      </c>
      <c r="AC38" s="81">
        <f>Estimates!E19/10</f>
        <v>4729.58</v>
      </c>
      <c r="AD38" s="81">
        <f>AC38*(1+AD39)</f>
        <v>6148.4539999999997</v>
      </c>
      <c r="AE38" s="81">
        <f>AD38*(1+AE39)</f>
        <v>7839.2788499999988</v>
      </c>
      <c r="AF38" s="47" t="s">
        <v>205</v>
      </c>
    </row>
    <row r="39" spans="1:32" ht="14.25" customHeight="1" x14ac:dyDescent="0.35">
      <c r="A39" s="30" t="s">
        <v>194</v>
      </c>
      <c r="B39" s="30"/>
      <c r="C39" s="30"/>
      <c r="D39" s="30"/>
      <c r="E39" s="30"/>
      <c r="F39" s="35">
        <f>F38/B38-1</f>
        <v>0.27766463000678865</v>
      </c>
      <c r="G39" s="41"/>
      <c r="H39" s="35">
        <f t="shared" ref="H39:X39" si="60">H38/C38-1</f>
        <v>0.36463536463536461</v>
      </c>
      <c r="I39" s="35">
        <f t="shared" si="60"/>
        <v>0.57271815446339014</v>
      </c>
      <c r="J39" s="35">
        <f t="shared" si="60"/>
        <v>0.38942307692307687</v>
      </c>
      <c r="K39" s="35">
        <f t="shared" si="60"/>
        <v>0.46493092454835283</v>
      </c>
      <c r="L39" s="41">
        <f t="shared" si="60"/>
        <v>0.44793291731669282</v>
      </c>
      <c r="M39" s="35">
        <f t="shared" si="60"/>
        <v>0.51317715959004384</v>
      </c>
      <c r="N39" s="35">
        <f t="shared" si="60"/>
        <v>0.59502551020408156</v>
      </c>
      <c r="O39" s="35">
        <f t="shared" si="60"/>
        <v>0.50461361014994233</v>
      </c>
      <c r="P39" s="35">
        <f t="shared" si="60"/>
        <v>0.49147624229234688</v>
      </c>
      <c r="Q39" s="41">
        <f t="shared" si="60"/>
        <v>0.52040404040404042</v>
      </c>
      <c r="R39" s="35">
        <f t="shared" si="60"/>
        <v>0.5520077406869861</v>
      </c>
      <c r="S39" s="35">
        <f t="shared" si="60"/>
        <v>0.42383046781287503</v>
      </c>
      <c r="T39" s="35">
        <f t="shared" si="60"/>
        <v>0.73093139133767759</v>
      </c>
      <c r="U39" s="35">
        <f t="shared" si="60"/>
        <v>0.58049610894941606</v>
      </c>
      <c r="V39" s="41">
        <f t="shared" si="60"/>
        <v>0.5753388254052616</v>
      </c>
      <c r="W39" s="35">
        <f t="shared" si="60"/>
        <v>0.78990024937655878</v>
      </c>
      <c r="X39" s="35">
        <f t="shared" si="60"/>
        <v>0.7270429654591406</v>
      </c>
      <c r="Y39" s="64"/>
      <c r="Z39" s="64"/>
      <c r="AA39" s="33">
        <f>AA38/V38-1</f>
        <v>0.44401147098515525</v>
      </c>
      <c r="AB39" s="33">
        <f t="shared" ref="AB39:AC39" si="61">AB38/AA38-1</f>
        <v>0.38209055190165242</v>
      </c>
      <c r="AC39" s="33">
        <f t="shared" si="61"/>
        <v>0.3325575825878706</v>
      </c>
      <c r="AD39" s="33">
        <v>0.3</v>
      </c>
      <c r="AE39" s="33">
        <v>0.27500000000000002</v>
      </c>
      <c r="AF39" s="35"/>
    </row>
    <row r="40" spans="1:32" ht="14.25" customHeight="1" x14ac:dyDescent="0.35">
      <c r="G40" s="36"/>
      <c r="L40" s="36"/>
      <c r="Q40" s="36"/>
      <c r="V40" s="36"/>
      <c r="W40" s="67"/>
      <c r="X40" s="67"/>
      <c r="Y40" s="67"/>
      <c r="Z40" s="67"/>
      <c r="AA40" s="48"/>
      <c r="AB40" s="48"/>
      <c r="AC40" s="48"/>
      <c r="AD40" s="48"/>
      <c r="AE40" s="48"/>
      <c r="AF40" s="44"/>
    </row>
    <row r="41" spans="1:32" ht="14.25" customHeight="1" x14ac:dyDescent="0.35">
      <c r="A41" s="24" t="s">
        <v>206</v>
      </c>
      <c r="B41" s="24">
        <v>28.9</v>
      </c>
      <c r="C41" s="24">
        <v>28.1</v>
      </c>
      <c r="D41" s="24">
        <v>34.200000000000003</v>
      </c>
      <c r="E41" s="24">
        <v>44.6</v>
      </c>
      <c r="F41" s="24">
        <v>63.7</v>
      </c>
      <c r="G41" s="36">
        <f>SUM(C41:F41)</f>
        <v>170.60000000000002</v>
      </c>
      <c r="H41" s="24">
        <v>53.4</v>
      </c>
      <c r="I41" s="24">
        <v>63</v>
      </c>
      <c r="J41" s="24">
        <v>70.5</v>
      </c>
      <c r="K41" s="24">
        <v>109.4</v>
      </c>
      <c r="L41" s="36">
        <f>SUM(H41:K41)</f>
        <v>296.3</v>
      </c>
      <c r="M41" s="24">
        <v>93.8</v>
      </c>
      <c r="N41" s="24">
        <v>109.7</v>
      </c>
      <c r="O41" s="24">
        <v>112.2</v>
      </c>
      <c r="P41" s="24">
        <v>162.4</v>
      </c>
      <c r="Q41" s="36">
        <f>SUM(M41:P41)</f>
        <v>478.1</v>
      </c>
      <c r="R41" s="24">
        <v>130.6</v>
      </c>
      <c r="S41" s="24">
        <v>138.5</v>
      </c>
      <c r="T41" s="24">
        <v>194.7</v>
      </c>
      <c r="U41" s="24">
        <v>300.8</v>
      </c>
      <c r="V41" s="36">
        <f>SUM(R41:U41)</f>
        <v>764.6</v>
      </c>
      <c r="W41" s="62">
        <v>311.89999999999998</v>
      </c>
      <c r="X41" s="62"/>
      <c r="Y41" s="62"/>
      <c r="Z41" s="62"/>
      <c r="AA41" s="26"/>
      <c r="AB41" s="26"/>
      <c r="AC41" s="26"/>
      <c r="AD41" s="26"/>
      <c r="AE41" s="26"/>
    </row>
    <row r="42" spans="1:32" ht="14.25" customHeight="1" x14ac:dyDescent="0.35">
      <c r="A42" s="30" t="s">
        <v>194</v>
      </c>
      <c r="B42" s="30"/>
      <c r="C42" s="30"/>
      <c r="D42" s="30"/>
      <c r="E42" s="30"/>
      <c r="F42" s="35">
        <f>F41/B41-1</f>
        <v>1.2041522491349483</v>
      </c>
      <c r="G42" s="41"/>
      <c r="H42" s="35">
        <f t="shared" ref="H42:W42" si="62">H41/C41-1</f>
        <v>0.90035587188612087</v>
      </c>
      <c r="I42" s="35">
        <f t="shared" si="62"/>
        <v>0.84210526315789469</v>
      </c>
      <c r="J42" s="35">
        <f t="shared" si="62"/>
        <v>0.58071748878923768</v>
      </c>
      <c r="K42" s="35">
        <f t="shared" si="62"/>
        <v>0.71742543171114592</v>
      </c>
      <c r="L42" s="41">
        <f t="shared" si="62"/>
        <v>0.73681125439624839</v>
      </c>
      <c r="M42" s="35">
        <f t="shared" si="62"/>
        <v>0.75655430711610494</v>
      </c>
      <c r="N42" s="35">
        <f t="shared" si="62"/>
        <v>0.7412698412698413</v>
      </c>
      <c r="O42" s="35">
        <f t="shared" si="62"/>
        <v>0.59148936170212774</v>
      </c>
      <c r="P42" s="35">
        <f t="shared" si="62"/>
        <v>0.48446069469835473</v>
      </c>
      <c r="Q42" s="41">
        <f t="shared" si="62"/>
        <v>0.61356733040836997</v>
      </c>
      <c r="R42" s="35">
        <f t="shared" si="62"/>
        <v>0.39232409381663103</v>
      </c>
      <c r="S42" s="35">
        <f t="shared" si="62"/>
        <v>0.26253418413855978</v>
      </c>
      <c r="T42" s="35">
        <f t="shared" si="62"/>
        <v>0.73529411764705865</v>
      </c>
      <c r="U42" s="35">
        <f t="shared" si="62"/>
        <v>0.85221674876847286</v>
      </c>
      <c r="V42" s="41">
        <f t="shared" si="62"/>
        <v>0.59924701945199743</v>
      </c>
      <c r="W42" s="35">
        <f t="shared" si="62"/>
        <v>1.388208269525268</v>
      </c>
      <c r="X42" s="62"/>
      <c r="Y42" s="62"/>
      <c r="Z42" s="62"/>
      <c r="AA42" s="26"/>
      <c r="AB42" s="26"/>
      <c r="AC42" s="26"/>
      <c r="AD42" s="26"/>
      <c r="AE42" s="26"/>
    </row>
    <row r="43" spans="1:32" ht="14.25" customHeight="1" x14ac:dyDescent="0.35">
      <c r="A43" s="24" t="s">
        <v>207</v>
      </c>
      <c r="B43" s="44">
        <v>15.7</v>
      </c>
      <c r="C43" s="44">
        <v>10.8</v>
      </c>
      <c r="D43" s="44">
        <v>3.4</v>
      </c>
      <c r="E43" s="44">
        <v>5.3</v>
      </c>
      <c r="F43" s="44">
        <v>9.8000000000000007</v>
      </c>
      <c r="G43" s="46">
        <f>SUM(C43:F43)</f>
        <v>29.3</v>
      </c>
      <c r="H43" s="44">
        <v>9.6999999999999993</v>
      </c>
      <c r="I43" s="44">
        <v>14.7</v>
      </c>
      <c r="J43" s="44">
        <v>8.4</v>
      </c>
      <c r="K43" s="44">
        <v>2.9</v>
      </c>
      <c r="L43" s="46">
        <f>SUM(H43:K43)</f>
        <v>35.699999999999996</v>
      </c>
      <c r="M43" s="44">
        <v>7.1</v>
      </c>
      <c r="N43" s="44">
        <v>4.5</v>
      </c>
      <c r="O43" s="44">
        <v>6.2</v>
      </c>
      <c r="P43" s="49">
        <v>-0.7</v>
      </c>
      <c r="Q43" s="46">
        <f>SUM(M43:P43)</f>
        <v>17.100000000000001</v>
      </c>
      <c r="R43" s="44">
        <v>10.5</v>
      </c>
      <c r="S43" s="44">
        <v>8.4</v>
      </c>
      <c r="T43" s="44">
        <v>20.2</v>
      </c>
      <c r="U43" s="44">
        <v>4.5999999999999996</v>
      </c>
      <c r="V43" s="46">
        <f>SUM(R43:U43)</f>
        <v>43.699999999999996</v>
      </c>
      <c r="W43" s="76">
        <v>14.8</v>
      </c>
      <c r="X43" s="68"/>
      <c r="Y43" s="68"/>
      <c r="Z43" s="68"/>
      <c r="AA43" s="34"/>
      <c r="AB43" s="34"/>
      <c r="AC43" s="34"/>
      <c r="AD43" s="34"/>
      <c r="AE43" s="34"/>
      <c r="AF43" s="31"/>
    </row>
    <row r="44" spans="1:32" ht="14.25" customHeight="1" x14ac:dyDescent="0.35">
      <c r="A44" s="24" t="s">
        <v>208</v>
      </c>
      <c r="B44" s="24">
        <f t="shared" ref="B44:U44" si="63">B41+B43</f>
        <v>44.599999999999994</v>
      </c>
      <c r="C44" s="24">
        <f t="shared" si="63"/>
        <v>38.900000000000006</v>
      </c>
      <c r="D44" s="24">
        <f t="shared" si="63"/>
        <v>37.6</v>
      </c>
      <c r="E44" s="24">
        <f t="shared" si="63"/>
        <v>49.9</v>
      </c>
      <c r="F44" s="24">
        <f t="shared" si="63"/>
        <v>73.5</v>
      </c>
      <c r="G44" s="36">
        <f t="shared" si="63"/>
        <v>199.90000000000003</v>
      </c>
      <c r="H44" s="24">
        <f t="shared" si="63"/>
        <v>63.099999999999994</v>
      </c>
      <c r="I44" s="24">
        <f t="shared" si="63"/>
        <v>77.7</v>
      </c>
      <c r="J44" s="24">
        <f t="shared" si="63"/>
        <v>78.900000000000006</v>
      </c>
      <c r="K44" s="24">
        <f t="shared" si="63"/>
        <v>112.30000000000001</v>
      </c>
      <c r="L44" s="36">
        <f t="shared" si="63"/>
        <v>332</v>
      </c>
      <c r="M44" s="24">
        <f t="shared" si="63"/>
        <v>100.89999999999999</v>
      </c>
      <c r="N44" s="24">
        <f t="shared" si="63"/>
        <v>114.2</v>
      </c>
      <c r="O44" s="24">
        <f t="shared" si="63"/>
        <v>118.4</v>
      </c>
      <c r="P44" s="42">
        <f t="shared" si="63"/>
        <v>161.70000000000002</v>
      </c>
      <c r="Q44" s="36">
        <f t="shared" si="63"/>
        <v>495.20000000000005</v>
      </c>
      <c r="R44" s="24">
        <f t="shared" si="63"/>
        <v>141.1</v>
      </c>
      <c r="S44" s="24">
        <f t="shared" si="63"/>
        <v>146.9</v>
      </c>
      <c r="T44" s="24">
        <f t="shared" si="63"/>
        <v>214.89999999999998</v>
      </c>
      <c r="U44" s="24">
        <f t="shared" si="63"/>
        <v>305.40000000000003</v>
      </c>
      <c r="V44" s="36">
        <f t="shared" ref="V44" si="64">V41+V43</f>
        <v>808.30000000000007</v>
      </c>
      <c r="W44" s="76">
        <f>W41+W43</f>
        <v>326.7</v>
      </c>
      <c r="X44" s="77">
        <v>300</v>
      </c>
      <c r="Y44" s="68"/>
      <c r="Z44" s="68"/>
      <c r="AA44" s="34"/>
      <c r="AB44" s="34"/>
      <c r="AC44" s="34"/>
      <c r="AD44" s="34"/>
      <c r="AE44" s="34"/>
      <c r="AF44" s="31"/>
    </row>
    <row r="45" spans="1:32" ht="14.25" customHeight="1" x14ac:dyDescent="0.35">
      <c r="A45" s="30" t="s">
        <v>194</v>
      </c>
      <c r="B45" s="24"/>
      <c r="C45" s="24"/>
      <c r="D45" s="24"/>
      <c r="E45" s="24"/>
      <c r="F45" s="78">
        <f>F44/B44-1</f>
        <v>0.64798206278026926</v>
      </c>
      <c r="G45" s="36"/>
      <c r="H45" s="78">
        <f>H44/C44-1</f>
        <v>0.62210796915167066</v>
      </c>
      <c r="I45" s="78">
        <f t="shared" ref="I45:K45" si="65">I44/D44-1</f>
        <v>1.0664893617021276</v>
      </c>
      <c r="J45" s="78">
        <f t="shared" si="65"/>
        <v>0.58116232464929873</v>
      </c>
      <c r="K45" s="78">
        <f t="shared" si="65"/>
        <v>0.52789115646258522</v>
      </c>
      <c r="L45" s="90">
        <f>L44/G44-1</f>
        <v>0.66083041520760344</v>
      </c>
      <c r="M45" s="78">
        <f>M44/H44-1</f>
        <v>0.59904912836767044</v>
      </c>
      <c r="N45" s="78">
        <f t="shared" ref="N45" si="66">N44/I44-1</f>
        <v>0.46975546975546978</v>
      </c>
      <c r="O45" s="78">
        <f t="shared" ref="O45" si="67">O44/J44-1</f>
        <v>0.50063371356147024</v>
      </c>
      <c r="P45" s="78">
        <f t="shared" ref="P45" si="68">P44/K44-1</f>
        <v>0.43989314336598406</v>
      </c>
      <c r="Q45" s="90">
        <f>Q44/L44-1</f>
        <v>0.49156626506024104</v>
      </c>
      <c r="R45" s="78">
        <f>R44/M44-1</f>
        <v>0.39841427155599618</v>
      </c>
      <c r="S45" s="78">
        <f t="shared" ref="S45" si="69">S44/N44-1</f>
        <v>0.28633975481611218</v>
      </c>
      <c r="T45" s="78">
        <f t="shared" ref="T45" si="70">T44/O44-1</f>
        <v>0.81503378378378355</v>
      </c>
      <c r="U45" s="78">
        <f t="shared" ref="U45:X45" si="71">U44/P44-1</f>
        <v>0.88868274582560303</v>
      </c>
      <c r="V45" s="90">
        <f>V44/Q44-1</f>
        <v>0.63226978998384498</v>
      </c>
      <c r="W45" s="78">
        <f t="shared" si="71"/>
        <v>1.3153791637136782</v>
      </c>
      <c r="X45" s="78">
        <f t="shared" si="71"/>
        <v>1.0422055820285907</v>
      </c>
      <c r="Y45" s="68"/>
      <c r="Z45" s="68"/>
      <c r="AA45" s="34"/>
      <c r="AB45" s="34"/>
      <c r="AC45" s="34"/>
      <c r="AD45" s="34"/>
      <c r="AE45" s="34"/>
      <c r="AF45" s="31"/>
    </row>
    <row r="46" spans="1:32" ht="14.25" customHeight="1" x14ac:dyDescent="0.35">
      <c r="G46" s="36"/>
      <c r="L46" s="36"/>
      <c r="Q46" s="36"/>
      <c r="V46" s="36"/>
      <c r="W46" s="68"/>
      <c r="X46" s="68"/>
      <c r="Y46" s="68"/>
      <c r="Z46" s="68"/>
      <c r="AA46" s="34"/>
      <c r="AB46" s="34"/>
      <c r="AC46" s="34"/>
      <c r="AD46" s="34"/>
      <c r="AE46" s="34"/>
      <c r="AF46" s="31"/>
    </row>
    <row r="47" spans="1:32" ht="14.25" customHeight="1" x14ac:dyDescent="0.35">
      <c r="A47" s="30" t="s">
        <v>209</v>
      </c>
      <c r="B47" s="31">
        <f t="shared" ref="B47:T47" si="72">B41/B35</f>
        <v>0.77479892761394109</v>
      </c>
      <c r="C47" s="31">
        <f t="shared" si="72"/>
        <v>0.77197802197802201</v>
      </c>
      <c r="D47" s="31">
        <f t="shared" si="72"/>
        <v>0.74347826086956526</v>
      </c>
      <c r="E47" s="31">
        <f t="shared" si="72"/>
        <v>0.77565217391304353</v>
      </c>
      <c r="F47" s="31">
        <f t="shared" si="72"/>
        <v>0.74590163934426224</v>
      </c>
      <c r="G47" s="32">
        <f t="shared" si="72"/>
        <v>0.75721260541500224</v>
      </c>
      <c r="H47" s="31">
        <f t="shared" si="72"/>
        <v>0.71105193075898809</v>
      </c>
      <c r="I47" s="31">
        <f t="shared" si="72"/>
        <v>0.69767441860465118</v>
      </c>
      <c r="J47" s="31">
        <f t="shared" si="72"/>
        <v>0.70429570429570432</v>
      </c>
      <c r="K47" s="31">
        <f t="shared" si="72"/>
        <v>0.72258916776750326</v>
      </c>
      <c r="L47" s="32">
        <f t="shared" si="72"/>
        <v>0.7107219956824179</v>
      </c>
      <c r="M47" s="31">
        <f t="shared" si="72"/>
        <v>0.69895678092399405</v>
      </c>
      <c r="N47" s="31">
        <f t="shared" si="72"/>
        <v>0.65414430530709611</v>
      </c>
      <c r="O47" s="31">
        <f t="shared" si="72"/>
        <v>0.62576687116564411</v>
      </c>
      <c r="P47" s="31">
        <f t="shared" si="72"/>
        <v>0.62557781201848994</v>
      </c>
      <c r="Q47" s="32">
        <f t="shared" si="72"/>
        <v>0.64538336933045359</v>
      </c>
      <c r="R47" s="31">
        <f t="shared" si="72"/>
        <v>0.56147893379191749</v>
      </c>
      <c r="S47" s="31">
        <f t="shared" si="72"/>
        <v>0.56576797385620914</v>
      </c>
      <c r="T47" s="31">
        <f t="shared" si="72"/>
        <v>0.60996240601503759</v>
      </c>
      <c r="U47" s="31">
        <v>0.63800000000000001</v>
      </c>
      <c r="V47" s="32">
        <f t="shared" ref="V47" si="73">V41/V35</f>
        <v>0.60309197034232531</v>
      </c>
      <c r="W47" s="68">
        <v>0.66900000000000004</v>
      </c>
      <c r="X47" s="69"/>
      <c r="Y47" s="69"/>
      <c r="Z47" s="69"/>
      <c r="AA47" s="50"/>
      <c r="AB47" s="50"/>
      <c r="AC47" s="50"/>
      <c r="AD47" s="50"/>
      <c r="AE47" s="50"/>
      <c r="AF47" s="51"/>
    </row>
    <row r="48" spans="1:32" ht="14.25" customHeight="1" x14ac:dyDescent="0.35">
      <c r="A48" s="30" t="s">
        <v>210</v>
      </c>
      <c r="B48" s="31">
        <f t="shared" ref="B48:T48" si="74">B43/B37</f>
        <v>0.14272727272727273</v>
      </c>
      <c r="C48" s="31">
        <f t="shared" si="74"/>
        <v>0.1695447409733124</v>
      </c>
      <c r="D48" s="31">
        <f t="shared" si="74"/>
        <v>6.3314711359404086E-2</v>
      </c>
      <c r="E48" s="31">
        <f t="shared" si="74"/>
        <v>7.8751857355126298E-2</v>
      </c>
      <c r="F48" s="31">
        <f t="shared" si="74"/>
        <v>9.5330739299610903E-2</v>
      </c>
      <c r="G48" s="32">
        <f t="shared" si="74"/>
        <v>0.10191304347826087</v>
      </c>
      <c r="H48" s="31">
        <f t="shared" si="74"/>
        <v>0.15772357723577235</v>
      </c>
      <c r="I48" s="31">
        <f t="shared" si="74"/>
        <v>0.22105263157894736</v>
      </c>
      <c r="J48" s="31">
        <f t="shared" si="74"/>
        <v>0.11459754433833562</v>
      </c>
      <c r="K48" s="31">
        <f t="shared" si="74"/>
        <v>2.3330651649235718E-2</v>
      </c>
      <c r="L48" s="32">
        <f t="shared" si="74"/>
        <v>0.10964373464373463</v>
      </c>
      <c r="M48" s="31">
        <f t="shared" si="74"/>
        <v>9.7931034482758611E-2</v>
      </c>
      <c r="N48" s="31">
        <f t="shared" si="74"/>
        <v>5.461165048543689E-2</v>
      </c>
      <c r="O48" s="31">
        <f t="shared" si="74"/>
        <v>7.5980392156862753E-2</v>
      </c>
      <c r="P48" s="31">
        <f t="shared" si="74"/>
        <v>-4.6174142480211082E-3</v>
      </c>
      <c r="Q48" s="32">
        <f t="shared" si="74"/>
        <v>4.4060809069827366E-2</v>
      </c>
      <c r="R48" s="31">
        <f t="shared" si="74"/>
        <v>0.11904761904761904</v>
      </c>
      <c r="S48" s="31">
        <f t="shared" si="74"/>
        <v>7.5471698113207558E-2</v>
      </c>
      <c r="T48" s="31">
        <f t="shared" si="74"/>
        <v>0.15256797583081569</v>
      </c>
      <c r="U48" s="31">
        <v>2.5999999999999999E-2</v>
      </c>
      <c r="V48" s="32">
        <f t="shared" ref="V48" si="75">V43/V37</f>
        <v>8.5585585585585586E-2</v>
      </c>
      <c r="W48" s="68">
        <v>0.13800000000000001</v>
      </c>
      <c r="X48" s="62"/>
      <c r="Y48" s="62"/>
      <c r="Z48" s="62"/>
      <c r="AA48" s="26"/>
      <c r="AB48" s="26"/>
      <c r="AC48" s="26"/>
      <c r="AD48" s="26"/>
      <c r="AE48" s="26"/>
    </row>
    <row r="49" spans="1:32" ht="14.25" customHeight="1" x14ac:dyDescent="0.35">
      <c r="A49" s="30" t="s">
        <v>211</v>
      </c>
      <c r="B49" s="31">
        <f t="shared" ref="B49:T49" si="76">B44/B38</f>
        <v>0.30278343516632716</v>
      </c>
      <c r="C49" s="31">
        <f t="shared" si="76"/>
        <v>0.38861138861138866</v>
      </c>
      <c r="D49" s="31">
        <f t="shared" si="76"/>
        <v>0.37713139418254765</v>
      </c>
      <c r="E49" s="31">
        <f t="shared" si="76"/>
        <v>0.39983974358974361</v>
      </c>
      <c r="F49" s="31">
        <f t="shared" si="76"/>
        <v>0.3905419766206164</v>
      </c>
      <c r="G49" s="32">
        <f t="shared" si="76"/>
        <v>0.38982059282371306</v>
      </c>
      <c r="H49" s="31">
        <f t="shared" si="76"/>
        <v>0.46193265007320644</v>
      </c>
      <c r="I49" s="31">
        <f t="shared" si="76"/>
        <v>0.49553571428571425</v>
      </c>
      <c r="J49" s="31">
        <f t="shared" si="76"/>
        <v>0.45501730103806237</v>
      </c>
      <c r="K49" s="31">
        <f t="shared" si="76"/>
        <v>0.40732680449764241</v>
      </c>
      <c r="L49" s="32">
        <f t="shared" si="76"/>
        <v>0.44713804713804711</v>
      </c>
      <c r="M49" s="31">
        <f t="shared" si="76"/>
        <v>0.48814707305273342</v>
      </c>
      <c r="N49" s="31">
        <f t="shared" si="76"/>
        <v>0.45661735305877649</v>
      </c>
      <c r="O49" s="31">
        <f t="shared" si="76"/>
        <v>0.45381372173246459</v>
      </c>
      <c r="P49" s="31">
        <f t="shared" si="76"/>
        <v>0.39323929961089493</v>
      </c>
      <c r="Q49" s="32">
        <f t="shared" si="76"/>
        <v>0.4386570998316946</v>
      </c>
      <c r="R49" s="31">
        <f t="shared" si="76"/>
        <v>0.43983790523690769</v>
      </c>
      <c r="S49" s="31">
        <f t="shared" si="76"/>
        <v>0.41252457174950857</v>
      </c>
      <c r="T49" s="31">
        <f t="shared" si="76"/>
        <v>0.4758635961027457</v>
      </c>
      <c r="U49" s="31">
        <f>U44/U38</f>
        <v>0.46991844899215268</v>
      </c>
      <c r="V49" s="32">
        <f t="shared" ref="V49" si="77">V44/V38</f>
        <v>0.45450967161493483</v>
      </c>
      <c r="W49" s="31">
        <f>W44/W38</f>
        <v>0.56896551724137923</v>
      </c>
      <c r="X49" s="31">
        <f>X44/X38</f>
        <v>0.48780487804878048</v>
      </c>
      <c r="Y49" s="64"/>
      <c r="Z49" s="64"/>
      <c r="AA49" s="33"/>
      <c r="AB49" s="33"/>
      <c r="AC49" s="33"/>
      <c r="AD49" s="33"/>
      <c r="AE49" s="33"/>
      <c r="AF49" s="35"/>
    </row>
    <row r="50" spans="1:32" ht="14.25" customHeight="1" x14ac:dyDescent="0.35">
      <c r="G50" s="36"/>
      <c r="L50" s="36"/>
      <c r="M50" s="51"/>
      <c r="N50" s="51"/>
      <c r="O50" s="51"/>
      <c r="P50" s="51"/>
      <c r="Q50" s="36"/>
      <c r="R50" s="51"/>
      <c r="S50" s="51"/>
      <c r="T50" s="51"/>
      <c r="U50" s="51"/>
      <c r="V50" s="36"/>
      <c r="W50" s="62"/>
      <c r="X50" s="62"/>
      <c r="Y50" s="62"/>
      <c r="Z50" s="62"/>
      <c r="AA50" s="26"/>
      <c r="AB50" s="26"/>
      <c r="AC50" s="26"/>
      <c r="AD50" s="26"/>
      <c r="AE50" s="26"/>
    </row>
    <row r="51" spans="1:32" ht="14.25" customHeight="1" x14ac:dyDescent="0.35">
      <c r="A51" s="24" t="s">
        <v>212</v>
      </c>
      <c r="B51" s="24">
        <v>19.5</v>
      </c>
      <c r="C51" s="24">
        <v>22.3</v>
      </c>
      <c r="D51" s="24">
        <v>25.8</v>
      </c>
      <c r="E51" s="24">
        <v>28.5</v>
      </c>
      <c r="F51" s="24">
        <v>31.3</v>
      </c>
      <c r="G51" s="36">
        <f>SUM(C51:F51)</f>
        <v>107.89999999999999</v>
      </c>
      <c r="H51" s="24">
        <v>34.1</v>
      </c>
      <c r="I51" s="24">
        <v>40.200000000000003</v>
      </c>
      <c r="J51" s="24">
        <v>45.4</v>
      </c>
      <c r="K51" s="24">
        <v>51</v>
      </c>
      <c r="L51" s="36">
        <f>SUM(H51:K51)</f>
        <v>170.70000000000002</v>
      </c>
      <c r="M51" s="24">
        <v>55.7</v>
      </c>
      <c r="N51" s="24">
        <v>62</v>
      </c>
      <c r="O51" s="24">
        <v>68.5</v>
      </c>
      <c r="P51" s="24">
        <v>78.8</v>
      </c>
      <c r="Q51" s="36">
        <f>SUM(M51:P51)</f>
        <v>265</v>
      </c>
      <c r="R51" s="24">
        <v>88.3</v>
      </c>
      <c r="S51" s="24">
        <v>84.4</v>
      </c>
      <c r="T51" s="24">
        <v>88.4</v>
      </c>
      <c r="U51" s="24">
        <v>94.7</v>
      </c>
      <c r="V51" s="36">
        <f>SUM(R51:U51)</f>
        <v>355.8</v>
      </c>
      <c r="W51" s="77">
        <v>101.6</v>
      </c>
      <c r="X51" s="64"/>
      <c r="Y51" s="64"/>
      <c r="Z51" s="64"/>
      <c r="AA51" s="33"/>
      <c r="AB51" s="33"/>
      <c r="AC51" s="33"/>
      <c r="AD51" s="33"/>
      <c r="AE51" s="33"/>
      <c r="AF51" s="35"/>
    </row>
    <row r="52" spans="1:32" ht="14.25" customHeight="1" x14ac:dyDescent="0.35">
      <c r="A52" s="30" t="s">
        <v>268</v>
      </c>
      <c r="B52" s="80">
        <f>B51/B$38</f>
        <v>0.13238289205702647</v>
      </c>
      <c r="C52" s="80">
        <f t="shared" ref="C52:F52" si="78">C51/C$38</f>
        <v>0.22277722277722278</v>
      </c>
      <c r="D52" s="80">
        <f t="shared" si="78"/>
        <v>0.2587763289869609</v>
      </c>
      <c r="E52" s="80">
        <f t="shared" si="78"/>
        <v>0.22836538461538461</v>
      </c>
      <c r="F52" s="80">
        <f t="shared" si="78"/>
        <v>0.16631243358129652</v>
      </c>
      <c r="G52" s="41">
        <f>G51/G$38</f>
        <v>0.21041341653666146</v>
      </c>
      <c r="H52" s="80">
        <f t="shared" ref="H52" si="79">H51/H$38</f>
        <v>0.24963396778916547</v>
      </c>
      <c r="I52" s="80">
        <f t="shared" ref="I52" si="80">I51/I$38</f>
        <v>0.25637755102040816</v>
      </c>
      <c r="J52" s="80">
        <f t="shared" ref="J52" si="81">J51/J$38</f>
        <v>0.26182237600922725</v>
      </c>
      <c r="K52" s="80">
        <f t="shared" ref="K52" si="82">K51/K$38</f>
        <v>0.18498367791077258</v>
      </c>
      <c r="L52" s="41">
        <f>L51/L$38</f>
        <v>0.22989898989898991</v>
      </c>
      <c r="M52" s="80">
        <f t="shared" ref="M52" si="83">M51/M$38</f>
        <v>0.26947266569908085</v>
      </c>
      <c r="N52" s="80">
        <f t="shared" ref="N52" si="84">N51/N$38</f>
        <v>0.24790083966413434</v>
      </c>
      <c r="O52" s="80">
        <f t="shared" ref="O52" si="85">O51/O$38</f>
        <v>0.26255270218474513</v>
      </c>
      <c r="P52" s="80">
        <f t="shared" ref="P52" si="86">P51/P$38</f>
        <v>0.19163424124513617</v>
      </c>
      <c r="Q52" s="41">
        <f>Q51/Q$38</f>
        <v>0.23474178403755866</v>
      </c>
      <c r="R52" s="80">
        <f t="shared" ref="R52" si="87">R51/R$38</f>
        <v>0.27524937655860349</v>
      </c>
      <c r="S52" s="80">
        <f t="shared" ref="S52" si="88">S51/S$38</f>
        <v>0.23701207525975851</v>
      </c>
      <c r="T52" s="80">
        <f t="shared" ref="T52" si="89">T51/T$38</f>
        <v>0.19574844995571303</v>
      </c>
      <c r="U52" s="80">
        <f t="shared" ref="U52" si="90">U51/U$38</f>
        <v>0.14571472534236038</v>
      </c>
      <c r="V52" s="41">
        <f>V51/V$38</f>
        <v>0.20006747638326589</v>
      </c>
      <c r="W52" s="80">
        <f t="shared" ref="W52" si="91">W51/W$38</f>
        <v>0.17694183211424588</v>
      </c>
      <c r="X52" s="80">
        <f t="shared" ref="X52" si="92">X51/X$38</f>
        <v>0</v>
      </c>
      <c r="Y52" s="80" t="e">
        <f t="shared" ref="Y52" si="93">Y51/Y$38</f>
        <v>#DIV/0!</v>
      </c>
      <c r="Z52" s="80" t="e">
        <f t="shared" ref="Z52" si="94">Z51/Z$38</f>
        <v>#DIV/0!</v>
      </c>
      <c r="AA52" s="41">
        <f>AA51/AA$38</f>
        <v>0</v>
      </c>
      <c r="AB52" s="26"/>
      <c r="AC52" s="26"/>
      <c r="AD52" s="26"/>
      <c r="AE52" s="26"/>
      <c r="AF52" s="24"/>
    </row>
    <row r="53" spans="1:32" ht="14.25" customHeight="1" x14ac:dyDescent="0.35">
      <c r="A53" s="24" t="s">
        <v>213</v>
      </c>
      <c r="B53" s="24">
        <v>13.8</v>
      </c>
      <c r="C53" s="24">
        <v>14.1</v>
      </c>
      <c r="D53" s="24">
        <v>14.7</v>
      </c>
      <c r="E53" s="24">
        <v>16.2</v>
      </c>
      <c r="F53" s="24">
        <v>19.100000000000001</v>
      </c>
      <c r="G53" s="36">
        <f>SUM(C53:F53)</f>
        <v>64.099999999999994</v>
      </c>
      <c r="H53" s="24">
        <v>20.3</v>
      </c>
      <c r="I53" s="24">
        <v>22.3</v>
      </c>
      <c r="J53" s="24">
        <v>25.6</v>
      </c>
      <c r="K53" s="24">
        <v>34.6</v>
      </c>
      <c r="L53" s="36">
        <f>SUM(H53:K53)</f>
        <v>102.80000000000001</v>
      </c>
      <c r="M53" s="24">
        <v>33.799999999999997</v>
      </c>
      <c r="N53" s="24">
        <v>36.6</v>
      </c>
      <c r="O53" s="24">
        <v>46.7</v>
      </c>
      <c r="P53" s="24">
        <v>61.8</v>
      </c>
      <c r="Q53" s="36">
        <f>SUM(M53:P53)</f>
        <v>178.9</v>
      </c>
      <c r="R53" s="24">
        <v>68.2</v>
      </c>
      <c r="S53" s="24">
        <v>64.2</v>
      </c>
      <c r="T53" s="37">
        <v>71</v>
      </c>
      <c r="U53" s="37">
        <v>96.1</v>
      </c>
      <c r="V53" s="36">
        <f>SUM(R53:U53)</f>
        <v>299.5</v>
      </c>
      <c r="W53" s="77">
        <v>88.9</v>
      </c>
      <c r="X53" s="64"/>
      <c r="Y53" s="64"/>
      <c r="Z53" s="64"/>
      <c r="AA53" s="33"/>
      <c r="AB53" s="33"/>
      <c r="AC53" s="33"/>
      <c r="AD53" s="33"/>
      <c r="AE53" s="33"/>
      <c r="AF53" s="35"/>
    </row>
    <row r="54" spans="1:32" ht="14.25" customHeight="1" x14ac:dyDescent="0.35">
      <c r="A54" s="30" t="s">
        <v>268</v>
      </c>
      <c r="B54" s="80">
        <f>B53/B$38</f>
        <v>9.368635437881874E-2</v>
      </c>
      <c r="C54" s="80">
        <f t="shared" ref="C54" si="95">C53/C$38</f>
        <v>0.14085914085914086</v>
      </c>
      <c r="D54" s="80">
        <f t="shared" ref="D54" si="96">D53/D$38</f>
        <v>0.14744232698094281</v>
      </c>
      <c r="E54" s="80">
        <f t="shared" ref="E54" si="97">E53/E$38</f>
        <v>0.12980769230769232</v>
      </c>
      <c r="F54" s="80">
        <f t="shared" ref="F54" si="98">F53/F$38</f>
        <v>0.10148777895855474</v>
      </c>
      <c r="G54" s="41">
        <f>G53/G$38</f>
        <v>0.125</v>
      </c>
      <c r="H54" s="80">
        <f t="shared" ref="H54" si="99">H53/H$38</f>
        <v>0.14860907759882871</v>
      </c>
      <c r="I54" s="80">
        <f t="shared" ref="I54" si="100">I53/I$38</f>
        <v>0.14221938775510204</v>
      </c>
      <c r="J54" s="80">
        <f t="shared" ref="J54" si="101">J53/J$38</f>
        <v>0.14763552479815459</v>
      </c>
      <c r="K54" s="80">
        <f t="shared" ref="K54" si="102">K53/K$38</f>
        <v>0.12549873050417121</v>
      </c>
      <c r="L54" s="41">
        <f>L53/L$38</f>
        <v>0.13845117845117846</v>
      </c>
      <c r="M54" s="80">
        <f t="shared" ref="M54" si="103">M53/M$38</f>
        <v>0.16352201257861634</v>
      </c>
      <c r="N54" s="80">
        <f t="shared" ref="N54" si="104">N53/N$38</f>
        <v>0.14634146341463417</v>
      </c>
      <c r="O54" s="80">
        <f t="shared" ref="O54" si="105">O53/O$38</f>
        <v>0.17899578382522041</v>
      </c>
      <c r="P54" s="80">
        <f t="shared" ref="P54" si="106">P53/P$38</f>
        <v>0.15029182879377428</v>
      </c>
      <c r="Q54" s="41">
        <f>Q53/Q$38</f>
        <v>0.15847284967667641</v>
      </c>
      <c r="R54" s="80">
        <f t="shared" ref="R54" si="107">R53/R$38</f>
        <v>0.21259351620947631</v>
      </c>
      <c r="S54" s="80">
        <f t="shared" ref="S54" si="108">S53/S$38</f>
        <v>0.18028643639427128</v>
      </c>
      <c r="T54" s="80">
        <f t="shared" ref="T54" si="109">T53/T$38</f>
        <v>0.15721877767936226</v>
      </c>
      <c r="U54" s="80">
        <f t="shared" ref="U54" si="110">U53/U$38</f>
        <v>0.1478689029081397</v>
      </c>
      <c r="V54" s="41">
        <f>V53/V$38</f>
        <v>0.16840980656770133</v>
      </c>
      <c r="W54" s="80">
        <f t="shared" ref="W54" si="111">W53/W$38</f>
        <v>0.15482410309996517</v>
      </c>
      <c r="X54" s="80">
        <f t="shared" ref="X54" si="112">X53/X$38</f>
        <v>0</v>
      </c>
      <c r="Y54" s="80" t="e">
        <f t="shared" ref="Y54" si="113">Y53/Y$38</f>
        <v>#DIV/0!</v>
      </c>
      <c r="Z54" s="80" t="e">
        <f t="shared" ref="Z54" si="114">Z53/Z$38</f>
        <v>#DIV/0!</v>
      </c>
      <c r="AA54" s="41">
        <f>AA53/AA$38</f>
        <v>0</v>
      </c>
      <c r="AB54" s="26"/>
      <c r="AC54" s="26"/>
      <c r="AD54" s="26"/>
      <c r="AE54" s="26"/>
    </row>
    <row r="55" spans="1:32" ht="14.25" customHeight="1" x14ac:dyDescent="0.35">
      <c r="A55" s="24" t="s">
        <v>214</v>
      </c>
      <c r="B55" s="24">
        <v>8</v>
      </c>
      <c r="C55" s="24">
        <v>10.3</v>
      </c>
      <c r="D55" s="24">
        <v>10.6</v>
      </c>
      <c r="E55" s="24">
        <v>13</v>
      </c>
      <c r="F55" s="24">
        <v>13.5</v>
      </c>
      <c r="G55" s="36">
        <f>SUM(C55:F55)</f>
        <v>47.4</v>
      </c>
      <c r="H55" s="24">
        <v>15.6</v>
      </c>
      <c r="I55" s="24">
        <v>15.4</v>
      </c>
      <c r="J55" s="24">
        <v>19.8</v>
      </c>
      <c r="K55" s="24">
        <v>21.2</v>
      </c>
      <c r="L55" s="36">
        <f>SUM(H55:K55)</f>
        <v>72</v>
      </c>
      <c r="M55" s="24">
        <v>22.1</v>
      </c>
      <c r="N55" s="24">
        <v>26</v>
      </c>
      <c r="O55" s="24">
        <v>29.9</v>
      </c>
      <c r="P55" s="24">
        <v>38.4</v>
      </c>
      <c r="Q55" s="36">
        <f>SUM(M55:P55)</f>
        <v>116.4</v>
      </c>
      <c r="R55" s="24">
        <v>39.700000000000003</v>
      </c>
      <c r="S55" s="24">
        <v>40.5</v>
      </c>
      <c r="T55" s="24">
        <v>43.5</v>
      </c>
      <c r="U55" s="24">
        <v>49.5</v>
      </c>
      <c r="V55" s="36">
        <f>SUM(R55:U55)</f>
        <v>173.2</v>
      </c>
      <c r="W55" s="77">
        <v>60.5</v>
      </c>
      <c r="X55" s="64"/>
      <c r="Y55" s="64"/>
      <c r="Z55" s="64"/>
      <c r="AA55" s="33"/>
      <c r="AB55" s="33"/>
      <c r="AC55" s="33"/>
      <c r="AD55" s="33"/>
      <c r="AE55" s="33"/>
      <c r="AF55" s="35"/>
    </row>
    <row r="56" spans="1:32" ht="14.25" customHeight="1" x14ac:dyDescent="0.35">
      <c r="A56" s="30" t="s">
        <v>268</v>
      </c>
      <c r="B56" s="80">
        <f>B55/B$38</f>
        <v>5.4310930074677521E-2</v>
      </c>
      <c r="C56" s="80">
        <f t="shared" ref="C56" si="115">C55/C$38</f>
        <v>0.10289710289710291</v>
      </c>
      <c r="D56" s="80">
        <f t="shared" ref="D56" si="116">D55/D$38</f>
        <v>0.10631895687061182</v>
      </c>
      <c r="E56" s="80">
        <f t="shared" ref="E56" si="117">E55/E$38</f>
        <v>0.10416666666666667</v>
      </c>
      <c r="F56" s="80">
        <f t="shared" ref="F56" si="118">F55/F$38</f>
        <v>7.1732199787460149E-2</v>
      </c>
      <c r="G56" s="41">
        <f>G55/G$38</f>
        <v>9.2433697347893917E-2</v>
      </c>
      <c r="H56" s="80">
        <f t="shared" ref="H56" si="119">H55/H$38</f>
        <v>0.11420204978038068</v>
      </c>
      <c r="I56" s="80">
        <f t="shared" ref="I56" si="120">I55/I$38</f>
        <v>9.8214285714285712E-2</v>
      </c>
      <c r="J56" s="80">
        <f t="shared" ref="J56" si="121">J55/J$38</f>
        <v>0.11418685121107268</v>
      </c>
      <c r="K56" s="80">
        <f t="shared" ref="K56" si="122">K55/K$38</f>
        <v>7.6895175915850558E-2</v>
      </c>
      <c r="L56" s="41">
        <f>L55/L$38</f>
        <v>9.696969696969697E-2</v>
      </c>
      <c r="M56" s="80">
        <f t="shared" ref="M56" si="123">M55/M$38</f>
        <v>0.10691823899371071</v>
      </c>
      <c r="N56" s="80">
        <f t="shared" ref="N56" si="124">N55/N$38</f>
        <v>0.10395841663334666</v>
      </c>
      <c r="O56" s="80">
        <f t="shared" ref="O56" si="125">O55/O$38</f>
        <v>0.11460329628210042</v>
      </c>
      <c r="P56" s="80">
        <f t="shared" ref="P56" si="126">P55/P$38</f>
        <v>9.3385214007782089E-2</v>
      </c>
      <c r="Q56" s="41">
        <f>Q55/Q$38</f>
        <v>0.10310922136593144</v>
      </c>
      <c r="R56" s="80">
        <f t="shared" ref="R56" si="127">R55/R$38</f>
        <v>0.12375311720698255</v>
      </c>
      <c r="S56" s="80">
        <f t="shared" ref="S56" si="128">S55/S$38</f>
        <v>0.11373209772535804</v>
      </c>
      <c r="T56" s="80">
        <f t="shared" ref="T56" si="129">T55/T$38</f>
        <v>9.6324180690876879E-2</v>
      </c>
      <c r="U56" s="80">
        <f t="shared" ref="U56" si="130">U55/U$38</f>
        <v>7.6165563932912753E-2</v>
      </c>
      <c r="V56" s="41">
        <f>V55/V$38</f>
        <v>9.7390913180386868E-2</v>
      </c>
      <c r="W56" s="80">
        <f t="shared" ref="W56" si="131">W55/W$38</f>
        <v>0.10536398467432949</v>
      </c>
      <c r="X56" s="80">
        <f t="shared" ref="X56" si="132">X55/X$38</f>
        <v>0</v>
      </c>
      <c r="Y56" s="80" t="e">
        <f t="shared" ref="Y56" si="133">Y55/Y$38</f>
        <v>#DIV/0!</v>
      </c>
      <c r="Z56" s="80" t="e">
        <f t="shared" ref="Z56" si="134">Z55/Z$38</f>
        <v>#DIV/0!</v>
      </c>
      <c r="AA56" s="41">
        <f>AA55/AA$38</f>
        <v>0</v>
      </c>
      <c r="AB56" s="26"/>
      <c r="AC56" s="26"/>
      <c r="AD56" s="26"/>
      <c r="AE56" s="26"/>
    </row>
    <row r="57" spans="1:32" ht="14.25" customHeight="1" x14ac:dyDescent="0.35">
      <c r="A57" s="24" t="s">
        <v>215</v>
      </c>
      <c r="B57" s="24">
        <f t="shared" ref="B57:W57" si="135">B51+B53+B55</f>
        <v>41.3</v>
      </c>
      <c r="C57" s="24">
        <f t="shared" si="135"/>
        <v>46.7</v>
      </c>
      <c r="D57" s="24">
        <f t="shared" si="135"/>
        <v>51.1</v>
      </c>
      <c r="E57" s="24">
        <f t="shared" si="135"/>
        <v>57.7</v>
      </c>
      <c r="F57" s="24">
        <f t="shared" si="135"/>
        <v>63.900000000000006</v>
      </c>
      <c r="G57" s="36">
        <f t="shared" si="135"/>
        <v>219.4</v>
      </c>
      <c r="H57" s="24">
        <f t="shared" si="135"/>
        <v>70</v>
      </c>
      <c r="I57" s="24">
        <f t="shared" si="135"/>
        <v>77.900000000000006</v>
      </c>
      <c r="J57" s="24">
        <f t="shared" si="135"/>
        <v>90.8</v>
      </c>
      <c r="K57" s="24">
        <f t="shared" si="135"/>
        <v>106.8</v>
      </c>
      <c r="L57" s="36">
        <f t="shared" si="135"/>
        <v>345.5</v>
      </c>
      <c r="M57" s="24">
        <f t="shared" si="135"/>
        <v>111.6</v>
      </c>
      <c r="N57" s="24">
        <f t="shared" si="135"/>
        <v>124.6</v>
      </c>
      <c r="O57" s="24">
        <f t="shared" si="135"/>
        <v>145.1</v>
      </c>
      <c r="P57" s="24">
        <f t="shared" si="135"/>
        <v>179</v>
      </c>
      <c r="Q57" s="36">
        <f t="shared" si="135"/>
        <v>560.29999999999995</v>
      </c>
      <c r="R57" s="24">
        <f t="shared" si="135"/>
        <v>196.2</v>
      </c>
      <c r="S57" s="24">
        <f t="shared" si="135"/>
        <v>189.10000000000002</v>
      </c>
      <c r="T57" s="37">
        <f t="shared" si="135"/>
        <v>202.9</v>
      </c>
      <c r="U57" s="37">
        <f t="shared" si="135"/>
        <v>240.3</v>
      </c>
      <c r="V57" s="36">
        <f t="shared" si="135"/>
        <v>828.5</v>
      </c>
      <c r="W57" s="37">
        <f t="shared" si="135"/>
        <v>251</v>
      </c>
      <c r="X57" s="66"/>
      <c r="Y57" s="66"/>
      <c r="Z57" s="66"/>
      <c r="AA57" s="45"/>
      <c r="AB57" s="45"/>
      <c r="AC57" s="45"/>
      <c r="AD57" s="45"/>
      <c r="AE57" s="45"/>
      <c r="AF57" s="42"/>
    </row>
    <row r="58" spans="1:32" ht="14.25" customHeight="1" x14ac:dyDescent="0.35">
      <c r="A58" s="30" t="s">
        <v>268</v>
      </c>
      <c r="B58" s="80">
        <f>B57/B$38</f>
        <v>0.28038017651052272</v>
      </c>
      <c r="C58" s="80">
        <f t="shared" ref="C58" si="136">C57/C$38</f>
        <v>0.46653346653346661</v>
      </c>
      <c r="D58" s="80">
        <f t="shared" ref="D58" si="137">D57/D$38</f>
        <v>0.51253761283851551</v>
      </c>
      <c r="E58" s="80">
        <f t="shared" ref="E58" si="138">E57/E$38</f>
        <v>0.46233974358974361</v>
      </c>
      <c r="F58" s="80">
        <f t="shared" ref="F58" si="139">F57/F$38</f>
        <v>0.33953241232731141</v>
      </c>
      <c r="G58" s="41">
        <f>G57/G$38</f>
        <v>0.42784711388455543</v>
      </c>
      <c r="H58" s="80">
        <f t="shared" ref="H58" si="140">H57/H$38</f>
        <v>0.51244509516837489</v>
      </c>
      <c r="I58" s="80">
        <f t="shared" ref="I58" si="141">I57/I$38</f>
        <v>0.49681122448979592</v>
      </c>
      <c r="J58" s="80">
        <f t="shared" ref="J58" si="142">J57/J$38</f>
        <v>0.52364475201845451</v>
      </c>
      <c r="K58" s="80">
        <f t="shared" ref="K58" si="143">K57/K$38</f>
        <v>0.38737758433079433</v>
      </c>
      <c r="L58" s="41">
        <f>L57/L$38</f>
        <v>0.4653198653198653</v>
      </c>
      <c r="M58" s="80">
        <f t="shared" ref="M58" si="144">M57/M$38</f>
        <v>0.53991291727140789</v>
      </c>
      <c r="N58" s="80">
        <f t="shared" ref="N58" si="145">N57/N$38</f>
        <v>0.49820071971211516</v>
      </c>
      <c r="O58" s="80">
        <f t="shared" ref="O58" si="146">O57/O$38</f>
        <v>0.55615178229206597</v>
      </c>
      <c r="P58" s="80">
        <f t="shared" ref="P58" si="147">P57/P$38</f>
        <v>0.43531128404669256</v>
      </c>
      <c r="Q58" s="41">
        <f>Q57/Q$38</f>
        <v>0.49632385508016647</v>
      </c>
      <c r="R58" s="80">
        <f t="shared" ref="R58" si="148">R57/R$38</f>
        <v>0.61159600997506225</v>
      </c>
      <c r="S58" s="80">
        <f t="shared" ref="S58" si="149">S57/S$38</f>
        <v>0.53103060937938784</v>
      </c>
      <c r="T58" s="80">
        <f t="shared" ref="T58" si="150">T57/T$38</f>
        <v>0.44929140832595216</v>
      </c>
      <c r="U58" s="80">
        <f t="shared" ref="U58" si="151">U57/U$38</f>
        <v>0.36974919218341284</v>
      </c>
      <c r="V58" s="41">
        <f>V57/V$38</f>
        <v>0.46586819613135405</v>
      </c>
      <c r="W58" s="80">
        <f t="shared" ref="W58" si="152">W57/W$38</f>
        <v>0.43712991988854055</v>
      </c>
      <c r="X58" s="80">
        <f t="shared" ref="X58" si="153">X57/X$38</f>
        <v>0</v>
      </c>
      <c r="Y58" s="80" t="e">
        <f t="shared" ref="Y58" si="154">Y57/Y$38</f>
        <v>#DIV/0!</v>
      </c>
      <c r="Z58" s="80" t="e">
        <f t="shared" ref="Z58" si="155">Z57/Z$38</f>
        <v>#DIV/0!</v>
      </c>
      <c r="AA58" s="41">
        <f>AA57/AA$38</f>
        <v>0</v>
      </c>
      <c r="AB58" s="26"/>
      <c r="AC58" s="26"/>
      <c r="AD58" s="26"/>
      <c r="AE58" s="26"/>
    </row>
    <row r="59" spans="1:32" ht="14.25" customHeight="1" x14ac:dyDescent="0.35">
      <c r="G59" s="36"/>
      <c r="L59" s="36"/>
      <c r="Q59" s="36"/>
      <c r="V59" s="36"/>
      <c r="W59" s="68"/>
      <c r="X59" s="68"/>
      <c r="Y59" s="68"/>
      <c r="Z59" s="68"/>
      <c r="AA59" s="34"/>
      <c r="AB59" s="34"/>
      <c r="AC59" s="34"/>
      <c r="AD59" s="34"/>
      <c r="AE59" s="34"/>
      <c r="AF59" s="31"/>
    </row>
    <row r="60" spans="1:32" ht="14.25" customHeight="1" x14ac:dyDescent="0.35">
      <c r="A60" s="24" t="s">
        <v>216</v>
      </c>
      <c r="B60" s="42">
        <f t="shared" ref="B60:F60" si="156">B44-B57</f>
        <v>3.2999999999999972</v>
      </c>
      <c r="C60" s="42">
        <f t="shared" si="156"/>
        <v>-7.7999999999999972</v>
      </c>
      <c r="D60" s="42">
        <f t="shared" si="156"/>
        <v>-13.5</v>
      </c>
      <c r="E60" s="42">
        <f t="shared" si="156"/>
        <v>-7.8000000000000043</v>
      </c>
      <c r="F60" s="42">
        <f t="shared" si="156"/>
        <v>9.5999999999999943</v>
      </c>
      <c r="G60" s="43">
        <f>SUM(C60:F60)</f>
        <v>-19.500000000000007</v>
      </c>
      <c r="H60" s="42">
        <f t="shared" ref="H60:K60" si="157">H44-H57</f>
        <v>-6.9000000000000057</v>
      </c>
      <c r="I60" s="42">
        <f t="shared" si="157"/>
        <v>-0.20000000000000284</v>
      </c>
      <c r="J60" s="42">
        <f t="shared" si="157"/>
        <v>-11.899999999999991</v>
      </c>
      <c r="K60" s="42">
        <f t="shared" si="157"/>
        <v>5.5000000000000142</v>
      </c>
      <c r="L60" s="43">
        <f>SUM(H60:K60)</f>
        <v>-13.499999999999986</v>
      </c>
      <c r="M60" s="42">
        <f t="shared" ref="M60:P60" si="158">M44-M57</f>
        <v>-10.700000000000003</v>
      </c>
      <c r="N60" s="42">
        <f t="shared" si="158"/>
        <v>-10.399999999999991</v>
      </c>
      <c r="O60" s="42">
        <f t="shared" si="158"/>
        <v>-26.699999999999989</v>
      </c>
      <c r="P60" s="42">
        <f t="shared" si="158"/>
        <v>-17.299999999999983</v>
      </c>
      <c r="Q60" s="43">
        <f>SUM(M60:P60)</f>
        <v>-65.099999999999966</v>
      </c>
      <c r="R60" s="42">
        <f t="shared" ref="R60:W60" si="159">R44-R57</f>
        <v>-55.099999999999994</v>
      </c>
      <c r="S60" s="42">
        <f t="shared" si="159"/>
        <v>-42.200000000000017</v>
      </c>
      <c r="T60" s="42">
        <f t="shared" si="159"/>
        <v>11.999999999999972</v>
      </c>
      <c r="U60" s="42">
        <f t="shared" si="159"/>
        <v>65.100000000000023</v>
      </c>
      <c r="V60" s="43">
        <f>SUM(R60:U60)</f>
        <v>-20.200000000000017</v>
      </c>
      <c r="W60" s="42">
        <f t="shared" si="159"/>
        <v>75.699999999999989</v>
      </c>
      <c r="X60" s="66"/>
      <c r="Y60" s="69"/>
      <c r="Z60" s="69"/>
      <c r="AA60" s="50"/>
      <c r="AB60" s="50"/>
      <c r="AC60" s="50"/>
      <c r="AD60" s="50"/>
      <c r="AE60" s="50"/>
      <c r="AF60" s="51"/>
    </row>
    <row r="61" spans="1:32" ht="14.25" customHeight="1" x14ac:dyDescent="0.35">
      <c r="A61" s="24" t="s">
        <v>217</v>
      </c>
      <c r="B61" s="24">
        <v>2.19</v>
      </c>
      <c r="F61" s="24">
        <v>3.4359999999999999</v>
      </c>
      <c r="G61" s="36">
        <v>3.4359999999999999</v>
      </c>
      <c r="K61" s="37">
        <v>16.437000000000001</v>
      </c>
      <c r="L61" s="28">
        <v>16.437000000000001</v>
      </c>
      <c r="M61" s="42">
        <v>17.864000000000001</v>
      </c>
      <c r="N61" s="52"/>
      <c r="O61" s="52"/>
      <c r="P61" s="52"/>
      <c r="Q61" s="28">
        <v>17.864000000000001</v>
      </c>
      <c r="R61" s="42">
        <v>30.405000000000001</v>
      </c>
      <c r="S61" s="52"/>
      <c r="T61" s="52"/>
      <c r="U61" s="52"/>
      <c r="V61" s="36"/>
      <c r="W61" s="77">
        <v>39</v>
      </c>
      <c r="X61" s="66"/>
      <c r="Y61" s="69"/>
      <c r="Z61" s="69"/>
      <c r="AA61" s="50"/>
      <c r="AB61" s="50"/>
      <c r="AC61" s="50"/>
      <c r="AD61" s="50"/>
      <c r="AE61" s="50"/>
      <c r="AF61" s="51"/>
    </row>
    <row r="62" spans="1:32" ht="14.25" customHeight="1" x14ac:dyDescent="0.35">
      <c r="A62" s="24" t="s">
        <v>218</v>
      </c>
      <c r="B62" s="42"/>
      <c r="C62" s="42"/>
      <c r="D62" s="42"/>
      <c r="E62" s="42"/>
      <c r="F62" s="42"/>
      <c r="G62" s="43"/>
      <c r="H62" s="42"/>
      <c r="I62" s="42"/>
      <c r="J62" s="42"/>
      <c r="K62" s="42"/>
      <c r="L62" s="43"/>
      <c r="M62" s="42"/>
      <c r="N62" s="42"/>
      <c r="O62" s="42"/>
      <c r="P62" s="42"/>
      <c r="Q62" s="43"/>
      <c r="R62" s="42"/>
      <c r="S62" s="42"/>
      <c r="T62" s="42"/>
      <c r="U62" s="42"/>
      <c r="V62" s="43"/>
      <c r="W62" s="77">
        <v>12</v>
      </c>
      <c r="X62" s="66"/>
      <c r="Y62" s="69"/>
      <c r="Z62" s="69"/>
      <c r="AA62" s="50"/>
      <c r="AB62" s="50"/>
      <c r="AC62" s="50"/>
      <c r="AD62" s="50"/>
      <c r="AE62" s="50"/>
      <c r="AF62" s="51"/>
    </row>
    <row r="63" spans="1:32" ht="14.25" customHeight="1" x14ac:dyDescent="0.35">
      <c r="A63" s="24" t="s">
        <v>219</v>
      </c>
      <c r="B63" s="42">
        <v>6.7</v>
      </c>
      <c r="C63" s="42">
        <v>-4.4000000000000004</v>
      </c>
      <c r="D63" s="42">
        <v>-9.6</v>
      </c>
      <c r="E63" s="42">
        <v>-3.7</v>
      </c>
      <c r="F63" s="24">
        <v>14.4</v>
      </c>
      <c r="G63" s="43">
        <f>SUM(C63:F63)</f>
        <v>-3.2999999999999989</v>
      </c>
      <c r="H63" s="24">
        <v>0.8</v>
      </c>
      <c r="I63" s="24">
        <v>7.1</v>
      </c>
      <c r="J63" s="24">
        <v>2</v>
      </c>
      <c r="K63" s="24">
        <v>24.5</v>
      </c>
      <c r="L63" s="43">
        <f>SUM(H63:K63)</f>
        <v>34.4</v>
      </c>
      <c r="M63" s="24">
        <v>10</v>
      </c>
      <c r="N63" s="24">
        <v>11.1</v>
      </c>
      <c r="O63" s="24">
        <v>-0.4</v>
      </c>
      <c r="P63" s="24">
        <v>15.1</v>
      </c>
      <c r="Q63" s="43">
        <f>SUM(M63:P63)</f>
        <v>35.800000000000004</v>
      </c>
      <c r="R63" s="24">
        <v>-16.3</v>
      </c>
      <c r="S63" s="24">
        <v>-3.4</v>
      </c>
      <c r="T63" s="24">
        <v>56.2</v>
      </c>
      <c r="U63" s="24">
        <v>113.5</v>
      </c>
      <c r="V63" s="43">
        <v>71.05</v>
      </c>
      <c r="W63" s="66">
        <v>125.9</v>
      </c>
      <c r="X63" s="66">
        <v>65</v>
      </c>
      <c r="Y63" s="70"/>
      <c r="Z63" s="70"/>
      <c r="AA63" s="53">
        <v>133.59</v>
      </c>
      <c r="AB63" s="53"/>
      <c r="AC63" s="53"/>
      <c r="AD63" s="53"/>
      <c r="AE63" s="53"/>
      <c r="AF63" s="52"/>
    </row>
    <row r="64" spans="1:32" ht="14.25" customHeight="1" x14ac:dyDescent="0.35">
      <c r="A64" s="30" t="s">
        <v>220</v>
      </c>
      <c r="B64" s="31">
        <f t="shared" ref="B64:V64" si="160">B63/B38</f>
        <v>4.5485403937542426E-2</v>
      </c>
      <c r="C64" s="31">
        <f t="shared" si="160"/>
        <v>-4.3956043956043959E-2</v>
      </c>
      <c r="D64" s="31">
        <f t="shared" si="160"/>
        <v>-9.6288866599799391E-2</v>
      </c>
      <c r="E64" s="31">
        <f t="shared" si="160"/>
        <v>-2.96474358974359E-2</v>
      </c>
      <c r="F64" s="31">
        <f t="shared" si="160"/>
        <v>7.6514346439957498E-2</v>
      </c>
      <c r="G64" s="32">
        <f t="shared" si="160"/>
        <v>-6.4352574102964103E-3</v>
      </c>
      <c r="H64" s="31">
        <f t="shared" si="160"/>
        <v>5.8565153733528552E-3</v>
      </c>
      <c r="I64" s="31">
        <f t="shared" si="160"/>
        <v>4.5280612244897954E-2</v>
      </c>
      <c r="J64" s="31">
        <f t="shared" si="160"/>
        <v>1.1534025374855827E-2</v>
      </c>
      <c r="K64" s="31">
        <f t="shared" si="160"/>
        <v>8.8864708015959373E-2</v>
      </c>
      <c r="L64" s="32">
        <f t="shared" si="160"/>
        <v>4.6329966329966325E-2</v>
      </c>
      <c r="M64" s="31">
        <f t="shared" si="160"/>
        <v>4.8379293662312535E-2</v>
      </c>
      <c r="N64" s="31">
        <f t="shared" si="160"/>
        <v>4.4382247101159539E-2</v>
      </c>
      <c r="O64" s="31">
        <f t="shared" si="160"/>
        <v>-1.5331544653123805E-3</v>
      </c>
      <c r="P64" s="31">
        <f t="shared" si="160"/>
        <v>3.6721789883268477E-2</v>
      </c>
      <c r="Q64" s="32">
        <f t="shared" si="160"/>
        <v>3.1712286296394721E-2</v>
      </c>
      <c r="R64" s="31">
        <f t="shared" si="160"/>
        <v>-5.0810473815461346E-2</v>
      </c>
      <c r="S64" s="31">
        <f t="shared" si="160"/>
        <v>-9.547879809042403E-3</v>
      </c>
      <c r="T64" s="31">
        <f t="shared" si="160"/>
        <v>0.12444641275465013</v>
      </c>
      <c r="U64" s="31">
        <f t="shared" si="160"/>
        <v>0.17464225265425451</v>
      </c>
      <c r="V64" s="32">
        <f t="shared" si="160"/>
        <v>3.9951641925326138E-2</v>
      </c>
      <c r="W64" s="79">
        <f t="shared" ref="W64:X64" si="161">W63/W38</f>
        <v>0.21926158133054685</v>
      </c>
      <c r="X64" s="79">
        <f t="shared" si="161"/>
        <v>0.10569105691056911</v>
      </c>
      <c r="Y64" s="69"/>
      <c r="Z64" s="69"/>
      <c r="AA64" s="50">
        <f t="shared" ref="AA64" si="162">AA63/V63-1</f>
        <v>0.88022519352568618</v>
      </c>
      <c r="AB64" s="53"/>
      <c r="AC64" s="53"/>
      <c r="AD64" s="53"/>
      <c r="AE64" s="53"/>
      <c r="AF64" s="52"/>
    </row>
    <row r="65" spans="1:32" ht="14.25" customHeight="1" x14ac:dyDescent="0.35">
      <c r="G65" s="36"/>
      <c r="L65" s="36"/>
      <c r="M65" s="51"/>
      <c r="N65" s="51"/>
      <c r="O65" s="51"/>
      <c r="P65" s="51"/>
      <c r="Q65" s="36"/>
      <c r="R65" s="51"/>
      <c r="S65" s="51"/>
      <c r="T65" s="51"/>
      <c r="U65" s="51"/>
      <c r="V65" s="36"/>
      <c r="W65" s="91"/>
      <c r="X65" s="91"/>
      <c r="Y65" s="68"/>
      <c r="Z65" s="68"/>
      <c r="AA65" s="34"/>
      <c r="AB65" s="34"/>
      <c r="AC65" s="34"/>
      <c r="AD65" s="34"/>
      <c r="AE65" s="34"/>
      <c r="AF65" s="31"/>
    </row>
    <row r="66" spans="1:32" ht="14.25" customHeight="1" x14ac:dyDescent="0.35">
      <c r="A66" s="24" t="s">
        <v>221</v>
      </c>
      <c r="B66" s="52">
        <f t="shared" ref="B66:T66" si="163">B63-B61</f>
        <v>4.51</v>
      </c>
      <c r="C66" s="52">
        <f t="shared" si="163"/>
        <v>-4.4000000000000004</v>
      </c>
      <c r="D66" s="52">
        <f t="shared" si="163"/>
        <v>-9.6</v>
      </c>
      <c r="E66" s="52">
        <f t="shared" si="163"/>
        <v>-3.7</v>
      </c>
      <c r="F66" s="52">
        <f t="shared" si="163"/>
        <v>10.964</v>
      </c>
      <c r="G66" s="54">
        <f t="shared" si="163"/>
        <v>-6.7359999999999989</v>
      </c>
      <c r="H66" s="52">
        <f t="shared" si="163"/>
        <v>0.8</v>
      </c>
      <c r="I66" s="52">
        <f t="shared" si="163"/>
        <v>7.1</v>
      </c>
      <c r="J66" s="52">
        <f t="shared" si="163"/>
        <v>2</v>
      </c>
      <c r="K66" s="52">
        <f t="shared" si="163"/>
        <v>8.0629999999999988</v>
      </c>
      <c r="L66" s="54">
        <f t="shared" si="163"/>
        <v>17.962999999999997</v>
      </c>
      <c r="M66" s="52">
        <f t="shared" si="163"/>
        <v>-7.8640000000000008</v>
      </c>
      <c r="N66" s="52">
        <f t="shared" si="163"/>
        <v>11.1</v>
      </c>
      <c r="O66" s="52">
        <f t="shared" si="163"/>
        <v>-0.4</v>
      </c>
      <c r="P66" s="52">
        <f t="shared" si="163"/>
        <v>15.1</v>
      </c>
      <c r="Q66" s="54">
        <f t="shared" si="163"/>
        <v>17.936000000000003</v>
      </c>
      <c r="R66" s="52">
        <f t="shared" si="163"/>
        <v>-46.704999999999998</v>
      </c>
      <c r="S66" s="52">
        <f t="shared" si="163"/>
        <v>-3.4</v>
      </c>
      <c r="T66" s="52">
        <f t="shared" si="163"/>
        <v>56.2</v>
      </c>
      <c r="U66" s="52">
        <f t="shared" ref="U66:W66" si="164">U63-U61</f>
        <v>113.5</v>
      </c>
      <c r="V66" s="43">
        <f t="shared" si="164"/>
        <v>71.05</v>
      </c>
      <c r="W66" s="42">
        <f t="shared" si="164"/>
        <v>86.9</v>
      </c>
      <c r="X66" s="66"/>
      <c r="Y66" s="62"/>
      <c r="Z66" s="62"/>
      <c r="AA66" s="26"/>
      <c r="AB66" s="26"/>
      <c r="AC66" s="26"/>
      <c r="AD66" s="26"/>
      <c r="AE66" s="26"/>
    </row>
    <row r="67" spans="1:32" ht="14.25" customHeight="1" x14ac:dyDescent="0.35">
      <c r="A67" s="30" t="s">
        <v>222</v>
      </c>
      <c r="B67" s="31">
        <f t="shared" ref="B67:T67" si="165">B66/B38</f>
        <v>3.0617786829599453E-2</v>
      </c>
      <c r="C67" s="31">
        <f t="shared" si="165"/>
        <v>-4.3956043956043959E-2</v>
      </c>
      <c r="D67" s="31">
        <f t="shared" si="165"/>
        <v>-9.6288866599799391E-2</v>
      </c>
      <c r="E67" s="31">
        <f t="shared" si="165"/>
        <v>-2.96474358974359E-2</v>
      </c>
      <c r="F67" s="31">
        <f t="shared" si="165"/>
        <v>5.8257173219978753E-2</v>
      </c>
      <c r="G67" s="55">
        <f t="shared" si="165"/>
        <v>-1.3135725429017159E-2</v>
      </c>
      <c r="H67" s="31">
        <f t="shared" si="165"/>
        <v>5.8565153733528552E-3</v>
      </c>
      <c r="I67" s="31">
        <f t="shared" si="165"/>
        <v>4.5280612244897954E-2</v>
      </c>
      <c r="J67" s="31">
        <f t="shared" si="165"/>
        <v>1.1534025374855827E-2</v>
      </c>
      <c r="K67" s="31">
        <f t="shared" si="165"/>
        <v>2.9245556764599199E-2</v>
      </c>
      <c r="L67" s="55">
        <f t="shared" si="165"/>
        <v>2.4192592592592588E-2</v>
      </c>
      <c r="M67" s="31">
        <f t="shared" si="165"/>
        <v>-3.804547653604258E-2</v>
      </c>
      <c r="N67" s="31">
        <f t="shared" si="165"/>
        <v>4.4382247101159539E-2</v>
      </c>
      <c r="O67" s="31">
        <f t="shared" si="165"/>
        <v>-1.5331544653123805E-3</v>
      </c>
      <c r="P67" s="31">
        <f t="shared" si="165"/>
        <v>3.6721789883268477E-2</v>
      </c>
      <c r="Q67" s="55">
        <f t="shared" si="165"/>
        <v>1.5888032598104351E-2</v>
      </c>
      <c r="R67" s="31">
        <f t="shared" si="165"/>
        <v>-0.14558915211970075</v>
      </c>
      <c r="S67" s="31">
        <f t="shared" si="165"/>
        <v>-9.547879809042403E-3</v>
      </c>
      <c r="T67" s="31">
        <f t="shared" si="165"/>
        <v>0.12444641275465013</v>
      </c>
      <c r="U67" s="31">
        <f t="shared" ref="U67:W67" si="166">U66/U38</f>
        <v>0.17464225265425451</v>
      </c>
      <c r="V67" s="32">
        <f t="shared" si="166"/>
        <v>3.9951641925326138E-2</v>
      </c>
      <c r="W67" s="31">
        <f t="shared" si="166"/>
        <v>0.15134099616858238</v>
      </c>
      <c r="X67" s="62"/>
      <c r="Y67" s="62"/>
      <c r="Z67" s="62"/>
      <c r="AA67" s="26"/>
      <c r="AB67" s="26"/>
      <c r="AC67" s="26"/>
      <c r="AD67" s="26"/>
      <c r="AE67" s="26"/>
    </row>
    <row r="68" spans="1:32" ht="14.25" customHeight="1" x14ac:dyDescent="0.3"/>
    <row r="69" spans="1:32" ht="14.25" customHeight="1" x14ac:dyDescent="0.35">
      <c r="A69" s="23" t="s">
        <v>89</v>
      </c>
      <c r="B69" s="56"/>
    </row>
    <row r="70" spans="1:32" ht="14.25" customHeight="1" x14ac:dyDescent="0.35">
      <c r="A70" s="24" t="s">
        <v>115</v>
      </c>
      <c r="B70" s="52">
        <v>305</v>
      </c>
    </row>
    <row r="71" spans="1:32" ht="14.25" customHeight="1" x14ac:dyDescent="0.35">
      <c r="A71" s="24" t="s">
        <v>164</v>
      </c>
      <c r="B71" s="56">
        <f>'Income Statement'!G21*1000000</f>
        <v>124000000</v>
      </c>
    </row>
    <row r="72" spans="1:32" ht="14.25" customHeight="1" x14ac:dyDescent="0.35">
      <c r="A72" s="24" t="s">
        <v>86</v>
      </c>
      <c r="B72" s="56">
        <f>B70*B71</f>
        <v>37820000000</v>
      </c>
    </row>
    <row r="73" spans="1:32" ht="14.25" customHeight="1" x14ac:dyDescent="0.35">
      <c r="A73" s="24" t="s">
        <v>87</v>
      </c>
      <c r="B73" s="56">
        <f>Valuation!B6*1000000</f>
        <v>1092800000</v>
      </c>
    </row>
    <row r="74" spans="1:32" ht="14.25" customHeight="1" x14ac:dyDescent="0.35">
      <c r="A74" s="24" t="s">
        <v>166</v>
      </c>
      <c r="B74" s="56">
        <f>Valuation!B7*1000000</f>
        <v>94700000</v>
      </c>
    </row>
    <row r="75" spans="1:32" ht="14.25" customHeight="1" x14ac:dyDescent="0.35">
      <c r="A75" s="24" t="s">
        <v>167</v>
      </c>
      <c r="B75" s="56">
        <f>B72-B73+B74</f>
        <v>36821900000</v>
      </c>
    </row>
    <row r="76" spans="1:32" ht="14.25" customHeight="1" x14ac:dyDescent="0.35">
      <c r="N76" s="24" t="s">
        <v>223</v>
      </c>
    </row>
    <row r="77" spans="1:32" ht="14.25" customHeight="1" x14ac:dyDescent="0.35">
      <c r="A77" s="24" t="s">
        <v>115</v>
      </c>
      <c r="B77" s="52">
        <f>$B$78*$B$79*1000000/$B$71</f>
        <v>296.95080645161289</v>
      </c>
      <c r="C77" s="52">
        <f>C78*C79*1000000/SUM($B$71:$B$71)</f>
        <v>108.72707661290323</v>
      </c>
      <c r="N77" s="24" t="s">
        <v>115</v>
      </c>
      <c r="O77" s="52">
        <f t="shared" ref="O77:T77" si="167">$B$78*$B$79*1000000/SUM($B$71:$B$71)</f>
        <v>296.95080645161289</v>
      </c>
      <c r="P77" s="52">
        <f t="shared" si="167"/>
        <v>296.95080645161289</v>
      </c>
      <c r="Q77" s="52">
        <f t="shared" si="167"/>
        <v>296.95080645161289</v>
      </c>
      <c r="R77" s="52">
        <f t="shared" si="167"/>
        <v>296.95080645161289</v>
      </c>
      <c r="S77" s="52">
        <f t="shared" si="167"/>
        <v>296.95080645161289</v>
      </c>
      <c r="T77" s="52">
        <f t="shared" si="167"/>
        <v>296.95080645161289</v>
      </c>
      <c r="U77" s="52"/>
      <c r="W77" s="70"/>
      <c r="X77" s="70"/>
      <c r="Y77" s="70"/>
      <c r="Z77" s="70"/>
      <c r="AA77" s="52">
        <f>$B$78*$B$79*1000000/SUM($B$71:$B$71)</f>
        <v>296.95080645161289</v>
      </c>
      <c r="AB77" s="52">
        <f>$B$78*$B$79*1000000/SUM($B$71:$B$71)</f>
        <v>296.95080645161289</v>
      </c>
      <c r="AC77" s="52">
        <f>$B$78*$B$79*1000000/SUM($B$71:$B$71)</f>
        <v>296.95080645161289</v>
      </c>
      <c r="AD77" s="52">
        <f>$B$78*$B$79*1000000/SUM($B$71:$B$71)</f>
        <v>296.95080645161289</v>
      </c>
      <c r="AE77" s="52">
        <f>$B$78*$B$79*1000000/SUM($B$71:$B$71)</f>
        <v>296.95080645161289</v>
      </c>
    </row>
    <row r="78" spans="1:32" ht="14.25" customHeight="1" x14ac:dyDescent="0.35">
      <c r="A78" s="24" t="s">
        <v>224</v>
      </c>
      <c r="B78" s="56">
        <f t="shared" ref="B78:C78" si="168">$AA$38</f>
        <v>2568.0299999999997</v>
      </c>
      <c r="C78" s="56">
        <f t="shared" si="168"/>
        <v>2568.0299999999997</v>
      </c>
      <c r="N78" s="24" t="s">
        <v>224</v>
      </c>
      <c r="O78" s="56">
        <f t="shared" ref="O78:P78" si="169">$AA$38</f>
        <v>2568.0299999999997</v>
      </c>
      <c r="P78" s="56">
        <f t="shared" si="169"/>
        <v>2568.0299999999997</v>
      </c>
      <c r="Q78" s="56">
        <f>$AA$38</f>
        <v>2568.0299999999997</v>
      </c>
      <c r="R78" s="56">
        <f>$AA$38</f>
        <v>2568.0299999999997</v>
      </c>
      <c r="S78" s="56">
        <f>$AA$38</f>
        <v>2568.0299999999997</v>
      </c>
      <c r="T78" s="56">
        <f t="shared" ref="T78:AE78" si="170">$AA$38</f>
        <v>2568.0299999999997</v>
      </c>
      <c r="U78" s="56"/>
      <c r="W78" s="72"/>
      <c r="X78" s="72"/>
      <c r="Y78" s="72"/>
      <c r="Z78" s="72"/>
      <c r="AA78" s="56">
        <f t="shared" si="170"/>
        <v>2568.0299999999997</v>
      </c>
      <c r="AB78" s="56">
        <f t="shared" si="170"/>
        <v>2568.0299999999997</v>
      </c>
      <c r="AC78" s="56">
        <f t="shared" si="170"/>
        <v>2568.0299999999997</v>
      </c>
      <c r="AD78" s="56">
        <f t="shared" si="170"/>
        <v>2568.0299999999997</v>
      </c>
      <c r="AE78" s="56">
        <f t="shared" si="170"/>
        <v>2568.0299999999997</v>
      </c>
    </row>
    <row r="79" spans="1:32" ht="14.25" customHeight="1" x14ac:dyDescent="0.35">
      <c r="A79" s="24" t="s">
        <v>225</v>
      </c>
      <c r="B79" s="42">
        <f>$B$75/$B$78/1000000</f>
        <v>14.338578599159669</v>
      </c>
      <c r="C79" s="45">
        <f>C80*C81*((1+C82)/(C83-C82))</f>
        <v>5.25</v>
      </c>
      <c r="E79" s="24" t="s">
        <v>269</v>
      </c>
      <c r="N79" s="24" t="s">
        <v>225</v>
      </c>
      <c r="O79" s="42">
        <f t="shared" ref="O79:P79" si="171">$B$75/$B$78/1000000</f>
        <v>14.338578599159669</v>
      </c>
      <c r="P79" s="42">
        <f t="shared" si="171"/>
        <v>14.338578599159669</v>
      </c>
      <c r="Q79" s="42">
        <f t="shared" ref="Q79:AE79" si="172">$B$75/$B$78/1000000</f>
        <v>14.338578599159669</v>
      </c>
      <c r="R79" s="42">
        <f t="shared" si="172"/>
        <v>14.338578599159669</v>
      </c>
      <c r="S79" s="42">
        <f t="shared" si="172"/>
        <v>14.338578599159669</v>
      </c>
      <c r="T79" s="42">
        <f t="shared" si="172"/>
        <v>14.338578599159669</v>
      </c>
      <c r="U79" s="42"/>
      <c r="W79" s="66"/>
      <c r="X79" s="66"/>
      <c r="Y79" s="66"/>
      <c r="Z79" s="66"/>
      <c r="AA79" s="42">
        <f t="shared" si="172"/>
        <v>14.338578599159669</v>
      </c>
      <c r="AB79" s="42">
        <f t="shared" si="172"/>
        <v>14.338578599159669</v>
      </c>
      <c r="AC79" s="42">
        <f t="shared" si="172"/>
        <v>14.338578599159669</v>
      </c>
      <c r="AD79" s="42">
        <f t="shared" si="172"/>
        <v>14.338578599159669</v>
      </c>
      <c r="AE79" s="42">
        <f t="shared" si="172"/>
        <v>14.338578599159669</v>
      </c>
    </row>
    <row r="80" spans="1:32" ht="14.25" customHeight="1" x14ac:dyDescent="0.35">
      <c r="A80" s="24" t="s">
        <v>226</v>
      </c>
      <c r="B80" s="50">
        <f>(($B$75/1000000)*(B83-B82))/((B82+1)*B78)</f>
        <v>0.68278945710284145</v>
      </c>
      <c r="C80" s="57">
        <v>0.25</v>
      </c>
      <c r="E80" s="24" t="s">
        <v>270</v>
      </c>
      <c r="N80" s="24" t="s">
        <v>226</v>
      </c>
      <c r="O80" s="58">
        <f t="shared" ref="O80:P80" si="173">(($B$72/1000000)*(O83-O82))/((O82+1)*O78)</f>
        <v>1.4025945031423939</v>
      </c>
      <c r="P80" s="58">
        <f t="shared" si="173"/>
        <v>0.70129725157119704</v>
      </c>
      <c r="Q80" s="58">
        <f>(($B$72/1000000)*(Q83-Q82))/((Q82+1)*Q78)</f>
        <v>0.56103780125695757</v>
      </c>
      <c r="R80" s="58">
        <f>(($B$72/1000000)*(R83-R82))/((R82+1)*R78)</f>
        <v>0.4207783509427182</v>
      </c>
      <c r="S80" s="58">
        <f>(($B$72/1000000)*(S83-S82))/((S82+1)*S78)</f>
        <v>0.28051890062847884</v>
      </c>
      <c r="T80" s="58">
        <f>(($B$72/1000000)*(T83-T82))/((T82+1)*T78)</f>
        <v>0.14025945031423934</v>
      </c>
      <c r="U80" s="58"/>
      <c r="W80" s="73"/>
      <c r="X80" s="73"/>
      <c r="Y80" s="73"/>
      <c r="Z80" s="73"/>
      <c r="AA80" s="58">
        <f t="shared" ref="AA80:AE80" si="174">(($B$72/1000000)*(AA83-AA82))/((AA82+1)*AA78)</f>
        <v>0.70129725157119704</v>
      </c>
      <c r="AB80" s="58">
        <f t="shared" si="174"/>
        <v>0.55574499181113735</v>
      </c>
      <c r="AC80" s="58">
        <f t="shared" si="174"/>
        <v>0.41291333503724681</v>
      </c>
      <c r="AD80" s="58">
        <f t="shared" si="174"/>
        <v>0.27272670894435441</v>
      </c>
      <c r="AE80" s="58">
        <f t="shared" si="174"/>
        <v>0.13511231452289127</v>
      </c>
    </row>
    <row r="81" spans="1:31" ht="14.25" customHeight="1" x14ac:dyDescent="0.35">
      <c r="A81" s="24" t="s">
        <v>227</v>
      </c>
      <c r="B81" s="57">
        <v>1</v>
      </c>
      <c r="C81" s="57">
        <v>1</v>
      </c>
      <c r="N81" s="24" t="s">
        <v>227</v>
      </c>
      <c r="O81" s="57">
        <v>1</v>
      </c>
      <c r="P81" s="57">
        <v>1</v>
      </c>
      <c r="Q81" s="57">
        <v>1</v>
      </c>
      <c r="R81" s="57">
        <v>1</v>
      </c>
      <c r="S81" s="57">
        <v>1</v>
      </c>
      <c r="T81" s="57">
        <v>1</v>
      </c>
      <c r="U81" s="57"/>
      <c r="W81" s="73"/>
      <c r="X81" s="73"/>
      <c r="Y81" s="73"/>
      <c r="Z81" s="73"/>
      <c r="AA81" s="57">
        <v>1</v>
      </c>
      <c r="AB81" s="57">
        <v>1</v>
      </c>
      <c r="AC81" s="57">
        <v>1</v>
      </c>
      <c r="AD81" s="57">
        <v>1</v>
      </c>
      <c r="AE81" s="57">
        <v>1</v>
      </c>
    </row>
    <row r="82" spans="1:31" ht="14.25" customHeight="1" x14ac:dyDescent="0.35">
      <c r="A82" s="24" t="s">
        <v>228</v>
      </c>
      <c r="B82" s="57">
        <v>0.05</v>
      </c>
      <c r="C82" s="57">
        <v>0.05</v>
      </c>
      <c r="N82" s="24" t="s">
        <v>228</v>
      </c>
      <c r="O82" s="57">
        <v>0.05</v>
      </c>
      <c r="P82" s="57">
        <v>0.05</v>
      </c>
      <c r="Q82" s="57">
        <v>0.05</v>
      </c>
      <c r="R82" s="57">
        <v>0.05</v>
      </c>
      <c r="S82" s="57">
        <v>0.05</v>
      </c>
      <c r="T82" s="57">
        <v>0.05</v>
      </c>
      <c r="U82" s="57"/>
      <c r="W82" s="73"/>
      <c r="X82" s="73"/>
      <c r="Y82" s="73"/>
      <c r="Z82" s="73"/>
      <c r="AA82" s="57">
        <v>0.05</v>
      </c>
      <c r="AB82" s="57">
        <v>0.06</v>
      </c>
      <c r="AC82" s="57">
        <v>7.0000000000000007E-2</v>
      </c>
      <c r="AD82" s="57">
        <v>0.08</v>
      </c>
      <c r="AE82" s="57">
        <v>0.09</v>
      </c>
    </row>
    <row r="83" spans="1:31" ht="14.25" customHeight="1" x14ac:dyDescent="0.35">
      <c r="A83" s="24" t="s">
        <v>229</v>
      </c>
      <c r="B83" s="57">
        <v>0.1</v>
      </c>
      <c r="C83" s="57">
        <v>0.1</v>
      </c>
      <c r="N83" s="24" t="s">
        <v>229</v>
      </c>
      <c r="O83" s="57">
        <v>0.15</v>
      </c>
      <c r="P83" s="57">
        <v>0.1</v>
      </c>
      <c r="Q83" s="57">
        <v>0.09</v>
      </c>
      <c r="R83" s="57">
        <v>0.08</v>
      </c>
      <c r="S83" s="57">
        <v>7.0000000000000007E-2</v>
      </c>
      <c r="T83" s="57">
        <v>0.06</v>
      </c>
      <c r="U83" s="57"/>
      <c r="W83" s="73"/>
      <c r="X83" s="73"/>
      <c r="Y83" s="73"/>
      <c r="Z83" s="73"/>
      <c r="AA83" s="57">
        <v>0.1</v>
      </c>
      <c r="AB83" s="57">
        <v>0.1</v>
      </c>
      <c r="AC83" s="57">
        <v>0.1</v>
      </c>
      <c r="AD83" s="57">
        <v>0.1</v>
      </c>
      <c r="AE83" s="57">
        <v>0.1</v>
      </c>
    </row>
    <row r="84" spans="1:31" ht="14.25" customHeight="1" x14ac:dyDescent="0.35">
      <c r="N84" s="24" t="s">
        <v>230</v>
      </c>
      <c r="O84" s="57">
        <f t="shared" ref="O84:P84" si="175">O83-O82</f>
        <v>9.9999999999999992E-2</v>
      </c>
      <c r="P84" s="57">
        <f t="shared" si="175"/>
        <v>0.05</v>
      </c>
      <c r="Q84" s="57">
        <f>Q83-Q82</f>
        <v>3.9999999999999994E-2</v>
      </c>
      <c r="R84" s="57">
        <f>R83-R82</f>
        <v>0.03</v>
      </c>
      <c r="S84" s="57">
        <f>S83-S82</f>
        <v>2.0000000000000004E-2</v>
      </c>
      <c r="T84" s="57">
        <f>T83-T82</f>
        <v>9.999999999999995E-3</v>
      </c>
      <c r="U84" s="57"/>
      <c r="W84" s="73"/>
      <c r="X84" s="73"/>
      <c r="Y84" s="73"/>
      <c r="Z84" s="73"/>
      <c r="AA84" s="57">
        <f t="shared" ref="AA84:AE84" si="176">AA83-AA82</f>
        <v>0.05</v>
      </c>
      <c r="AB84" s="57">
        <f t="shared" si="176"/>
        <v>4.0000000000000008E-2</v>
      </c>
      <c r="AC84" s="57">
        <f t="shared" si="176"/>
        <v>0.03</v>
      </c>
      <c r="AD84" s="57">
        <f t="shared" si="176"/>
        <v>2.0000000000000004E-2</v>
      </c>
      <c r="AE84" s="57">
        <f t="shared" si="176"/>
        <v>1.0000000000000009E-2</v>
      </c>
    </row>
    <row r="85" spans="1:31" ht="14.25" customHeight="1" x14ac:dyDescent="0.35">
      <c r="A85" s="24" t="s">
        <v>231</v>
      </c>
      <c r="B85" s="57">
        <v>0.3</v>
      </c>
      <c r="C85" s="59" t="s">
        <v>232</v>
      </c>
    </row>
    <row r="86" spans="1:31" ht="14.25" customHeight="1" x14ac:dyDescent="0.35">
      <c r="A86" s="24" t="s">
        <v>233</v>
      </c>
      <c r="B86" s="57">
        <v>0.2</v>
      </c>
      <c r="C86" s="60" t="s">
        <v>234</v>
      </c>
      <c r="N86" s="24" t="s">
        <v>235</v>
      </c>
    </row>
    <row r="87" spans="1:31" ht="14.25" customHeight="1" x14ac:dyDescent="0.35">
      <c r="A87" s="24" t="s">
        <v>236</v>
      </c>
      <c r="B87" s="57">
        <v>0.3</v>
      </c>
      <c r="C87" s="60" t="s">
        <v>234</v>
      </c>
      <c r="N87" s="24" t="s">
        <v>115</v>
      </c>
      <c r="O87" s="52">
        <f t="shared" ref="O87:T87" si="177">O88*O89*1000000/SUM($B$71:$B$71)</f>
        <v>54.363538306451623</v>
      </c>
      <c r="P87" s="52">
        <f t="shared" si="177"/>
        <v>108.72707661290323</v>
      </c>
      <c r="Q87" s="52">
        <f t="shared" si="177"/>
        <v>135.90884576612905</v>
      </c>
      <c r="R87" s="52">
        <f t="shared" si="177"/>
        <v>181.21179435483867</v>
      </c>
      <c r="S87" s="52">
        <f t="shared" si="177"/>
        <v>271.81769153225804</v>
      </c>
      <c r="T87" s="52">
        <f t="shared" si="177"/>
        <v>543.63538306451642</v>
      </c>
      <c r="U87" s="52"/>
      <c r="W87" s="70"/>
      <c r="X87" s="70"/>
      <c r="Y87" s="70"/>
      <c r="Z87" s="70"/>
      <c r="AA87" s="52">
        <f>AA88*AA89*1000000/SUM($B$71:$B$71)</f>
        <v>86.981661290322563</v>
      </c>
      <c r="AB87" s="52">
        <f>AB88*AB89*1000000/SUM($B$71:$B$71)</f>
        <v>109.76257258064514</v>
      </c>
      <c r="AC87" s="52">
        <f>AC88*AC89*1000000/SUM($B$71:$B$71)</f>
        <v>147.73075806451612</v>
      </c>
      <c r="AD87" s="52">
        <f>AD88*AD89*1000000/SUM($B$71:$B$71)</f>
        <v>223.66712903225803</v>
      </c>
      <c r="AE87" s="52">
        <f>AE88*AE89*1000000/SUM($B$71:$B$71)</f>
        <v>451.47624193548353</v>
      </c>
    </row>
    <row r="88" spans="1:31" ht="14.25" customHeight="1" x14ac:dyDescent="0.35">
      <c r="N88" s="24" t="s">
        <v>224</v>
      </c>
      <c r="O88" s="56">
        <f t="shared" ref="O88:P88" si="178">$AA$38</f>
        <v>2568.0299999999997</v>
      </c>
      <c r="P88" s="56">
        <f t="shared" si="178"/>
        <v>2568.0299999999997</v>
      </c>
      <c r="Q88" s="56">
        <f>$AA$38</f>
        <v>2568.0299999999997</v>
      </c>
      <c r="R88" s="56">
        <f>$AA$38</f>
        <v>2568.0299999999997</v>
      </c>
      <c r="S88" s="56">
        <f>$AA$38</f>
        <v>2568.0299999999997</v>
      </c>
      <c r="T88" s="56">
        <f t="shared" ref="T88:AE88" si="179">$AA$38</f>
        <v>2568.0299999999997</v>
      </c>
      <c r="U88" s="56"/>
      <c r="W88" s="72"/>
      <c r="X88" s="72"/>
      <c r="Y88" s="72"/>
      <c r="Z88" s="72"/>
      <c r="AA88" s="56">
        <f t="shared" si="179"/>
        <v>2568.0299999999997</v>
      </c>
      <c r="AB88" s="56">
        <f t="shared" si="179"/>
        <v>2568.0299999999997</v>
      </c>
      <c r="AC88" s="56">
        <f t="shared" si="179"/>
        <v>2568.0299999999997</v>
      </c>
      <c r="AD88" s="56">
        <f t="shared" si="179"/>
        <v>2568.0299999999997</v>
      </c>
      <c r="AE88" s="56">
        <f t="shared" si="179"/>
        <v>2568.0299999999997</v>
      </c>
    </row>
    <row r="89" spans="1:31" ht="14.25" customHeight="1" x14ac:dyDescent="0.35">
      <c r="A89" s="24" t="s">
        <v>237</v>
      </c>
      <c r="B89" s="24" t="s">
        <v>238</v>
      </c>
      <c r="C89" s="24" t="s">
        <v>239</v>
      </c>
      <c r="D89" s="24" t="s">
        <v>240</v>
      </c>
      <c r="N89" s="24" t="s">
        <v>225</v>
      </c>
      <c r="O89" s="45">
        <f t="shared" ref="O89:P89" si="180">O90*O91*((1+O92)/(O93-O92))</f>
        <v>2.6250000000000004</v>
      </c>
      <c r="P89" s="45">
        <f t="shared" si="180"/>
        <v>5.25</v>
      </c>
      <c r="Q89" s="45">
        <f>Q90*Q91*((1+Q92)/(Q93-Q92))</f>
        <v>6.5625000000000009</v>
      </c>
      <c r="R89" s="45">
        <f>R90*R91*((1+R92)/(R93-R92))</f>
        <v>8.75</v>
      </c>
      <c r="S89" s="45">
        <f>S90*S91*((1+S92)/(S93-S92))</f>
        <v>13.124999999999998</v>
      </c>
      <c r="T89" s="45">
        <f>T90*T91*((1+T92)/(T93-T92))</f>
        <v>26.250000000000014</v>
      </c>
      <c r="U89" s="45"/>
      <c r="W89" s="66"/>
      <c r="X89" s="66"/>
      <c r="Y89" s="66"/>
      <c r="Z89" s="66"/>
      <c r="AA89" s="45">
        <f t="shared" ref="AA89:AE89" si="181">AA90*AA91*((1+AA92)/(AA93-AA92))</f>
        <v>4.2</v>
      </c>
      <c r="AB89" s="45">
        <f t="shared" si="181"/>
        <v>5.3</v>
      </c>
      <c r="AC89" s="45">
        <f t="shared" si="181"/>
        <v>7.1333333333333346</v>
      </c>
      <c r="AD89" s="45">
        <f t="shared" si="181"/>
        <v>10.799999999999999</v>
      </c>
      <c r="AE89" s="45">
        <f t="shared" si="181"/>
        <v>21.799999999999983</v>
      </c>
    </row>
    <row r="90" spans="1:31" ht="14.25" customHeight="1" x14ac:dyDescent="0.35">
      <c r="A90" s="24" t="s">
        <v>241</v>
      </c>
      <c r="B90" s="24">
        <v>78.03</v>
      </c>
      <c r="C90" s="24">
        <v>13.04</v>
      </c>
      <c r="D90" s="39">
        <f t="shared" ref="D90:D99" si="182">$B$85*$B$86*B90*C90*12</f>
        <v>732.60806400000001</v>
      </c>
      <c r="N90" s="24" t="s">
        <v>226</v>
      </c>
      <c r="O90" s="57">
        <v>0.25</v>
      </c>
      <c r="P90" s="57">
        <v>0.25</v>
      </c>
      <c r="Q90" s="57">
        <v>0.25</v>
      </c>
      <c r="R90" s="57">
        <v>0.25</v>
      </c>
      <c r="S90" s="57">
        <v>0.25</v>
      </c>
      <c r="T90" s="57">
        <v>0.25</v>
      </c>
      <c r="U90" s="57"/>
      <c r="W90" s="73"/>
      <c r="X90" s="73"/>
      <c r="Y90" s="73"/>
      <c r="Z90" s="73"/>
      <c r="AA90" s="57">
        <v>0.2</v>
      </c>
      <c r="AB90" s="57">
        <v>0.2</v>
      </c>
      <c r="AC90" s="57">
        <v>0.2</v>
      </c>
      <c r="AD90" s="57">
        <v>0.2</v>
      </c>
      <c r="AE90" s="57">
        <v>0.2</v>
      </c>
    </row>
    <row r="91" spans="1:31" ht="14.25" customHeight="1" x14ac:dyDescent="0.35">
      <c r="A91" s="24" t="s">
        <v>242</v>
      </c>
      <c r="B91" s="24">
        <f>73/2</f>
        <v>36.5</v>
      </c>
      <c r="C91" s="24">
        <v>4.5199999999999996</v>
      </c>
      <c r="D91" s="39">
        <f t="shared" si="182"/>
        <v>118.78559999999999</v>
      </c>
      <c r="N91" s="24" t="s">
        <v>227</v>
      </c>
      <c r="O91" s="57">
        <v>1</v>
      </c>
      <c r="P91" s="57">
        <v>1</v>
      </c>
      <c r="Q91" s="57">
        <v>1</v>
      </c>
      <c r="R91" s="57">
        <v>1</v>
      </c>
      <c r="S91" s="57">
        <v>1</v>
      </c>
      <c r="T91" s="57">
        <v>1</v>
      </c>
      <c r="U91" s="57"/>
      <c r="W91" s="73"/>
      <c r="X91" s="73"/>
      <c r="Y91" s="73"/>
      <c r="Z91" s="73"/>
      <c r="AA91" s="57">
        <v>1</v>
      </c>
      <c r="AB91" s="57">
        <v>1</v>
      </c>
      <c r="AC91" s="57">
        <v>1</v>
      </c>
      <c r="AD91" s="57">
        <v>1</v>
      </c>
      <c r="AE91" s="57">
        <v>1</v>
      </c>
    </row>
    <row r="92" spans="1:31" ht="14.25" customHeight="1" x14ac:dyDescent="0.35">
      <c r="A92" s="24" t="s">
        <v>243</v>
      </c>
      <c r="B92" s="24">
        <v>36.299999999999997</v>
      </c>
      <c r="D92" s="39">
        <f t="shared" si="182"/>
        <v>0</v>
      </c>
      <c r="N92" s="24" t="s">
        <v>228</v>
      </c>
      <c r="O92" s="57">
        <v>0.05</v>
      </c>
      <c r="P92" s="57">
        <v>0.05</v>
      </c>
      <c r="Q92" s="57">
        <v>0.05</v>
      </c>
      <c r="R92" s="57">
        <v>0.05</v>
      </c>
      <c r="S92" s="57">
        <v>0.05</v>
      </c>
      <c r="T92" s="57">
        <v>0.05</v>
      </c>
      <c r="U92" s="57"/>
      <c r="W92" s="73"/>
      <c r="X92" s="73"/>
      <c r="Y92" s="73"/>
      <c r="Z92" s="73"/>
      <c r="AA92" s="57">
        <v>0.05</v>
      </c>
      <c r="AB92" s="57">
        <v>0.06</v>
      </c>
      <c r="AC92" s="57">
        <v>7.0000000000000007E-2</v>
      </c>
      <c r="AD92" s="57">
        <v>0.08</v>
      </c>
      <c r="AE92" s="57">
        <v>0.09</v>
      </c>
    </row>
    <row r="93" spans="1:31" ht="14.25" customHeight="1" x14ac:dyDescent="0.35">
      <c r="A93" s="24" t="s">
        <v>244</v>
      </c>
      <c r="B93" s="24">
        <v>22</v>
      </c>
      <c r="C93" s="24">
        <v>6</v>
      </c>
      <c r="D93" s="39">
        <f t="shared" si="182"/>
        <v>95.039999999999992</v>
      </c>
      <c r="N93" s="24" t="s">
        <v>229</v>
      </c>
      <c r="O93" s="57">
        <v>0.15</v>
      </c>
      <c r="P93" s="57">
        <v>0.1</v>
      </c>
      <c r="Q93" s="57">
        <v>0.09</v>
      </c>
      <c r="R93" s="57">
        <v>0.08</v>
      </c>
      <c r="S93" s="57">
        <v>7.0000000000000007E-2</v>
      </c>
      <c r="T93" s="57">
        <v>0.06</v>
      </c>
      <c r="U93" s="57"/>
      <c r="W93" s="73"/>
      <c r="X93" s="73"/>
      <c r="Y93" s="73"/>
      <c r="Z93" s="73"/>
      <c r="AA93" s="57">
        <v>0.1</v>
      </c>
      <c r="AB93" s="57">
        <v>0.1</v>
      </c>
      <c r="AC93" s="57">
        <v>0.1</v>
      </c>
      <c r="AD93" s="57">
        <v>0.1</v>
      </c>
      <c r="AE93" s="57">
        <v>0.1</v>
      </c>
    </row>
    <row r="94" spans="1:31" ht="14.25" customHeight="1" x14ac:dyDescent="0.35">
      <c r="A94" s="24" t="s">
        <v>245</v>
      </c>
      <c r="B94" s="24">
        <v>36.6</v>
      </c>
      <c r="C94" s="24">
        <v>12.59</v>
      </c>
      <c r="D94" s="39">
        <f t="shared" si="182"/>
        <v>331.77168000000006</v>
      </c>
      <c r="N94" s="24" t="s">
        <v>230</v>
      </c>
      <c r="O94" s="57">
        <f t="shared" ref="O94:P94" si="183">O93-O92</f>
        <v>9.9999999999999992E-2</v>
      </c>
      <c r="P94" s="57">
        <f t="shared" si="183"/>
        <v>0.05</v>
      </c>
      <c r="Q94" s="57">
        <f>Q93-Q92</f>
        <v>3.9999999999999994E-2</v>
      </c>
      <c r="R94" s="57">
        <f>R93-R92</f>
        <v>0.03</v>
      </c>
      <c r="S94" s="57">
        <f>S93-S92</f>
        <v>2.0000000000000004E-2</v>
      </c>
      <c r="T94" s="57">
        <f>T93-T92</f>
        <v>9.999999999999995E-3</v>
      </c>
      <c r="U94" s="57"/>
      <c r="W94" s="73"/>
      <c r="X94" s="73"/>
      <c r="Y94" s="73"/>
      <c r="Z94" s="73"/>
      <c r="AA94" s="57">
        <f t="shared" ref="AA94:AE94" si="184">AA93-AA92</f>
        <v>0.05</v>
      </c>
      <c r="AB94" s="57">
        <f t="shared" si="184"/>
        <v>4.0000000000000008E-2</v>
      </c>
      <c r="AC94" s="57">
        <f t="shared" si="184"/>
        <v>0.03</v>
      </c>
      <c r="AD94" s="57">
        <f t="shared" si="184"/>
        <v>2.0000000000000004E-2</v>
      </c>
      <c r="AE94" s="57">
        <f t="shared" si="184"/>
        <v>1.0000000000000009E-2</v>
      </c>
    </row>
    <row r="95" spans="1:31" ht="14.25" customHeight="1" x14ac:dyDescent="0.35">
      <c r="A95" s="24" t="s">
        <v>246</v>
      </c>
      <c r="B95" s="24">
        <v>10.3</v>
      </c>
      <c r="C95" s="24">
        <v>4.54</v>
      </c>
      <c r="D95" s="39">
        <f t="shared" si="182"/>
        <v>33.668639999999996</v>
      </c>
    </row>
    <row r="96" spans="1:31" ht="14.25" customHeight="1" x14ac:dyDescent="0.35">
      <c r="A96" s="24" t="s">
        <v>247</v>
      </c>
      <c r="D96" s="39">
        <f t="shared" si="182"/>
        <v>0</v>
      </c>
    </row>
    <row r="97" spans="1:7" ht="14.25" customHeight="1" x14ac:dyDescent="0.35">
      <c r="A97" s="24" t="s">
        <v>248</v>
      </c>
      <c r="B97" s="24">
        <v>26</v>
      </c>
      <c r="D97" s="39">
        <f t="shared" si="182"/>
        <v>0</v>
      </c>
    </row>
    <row r="98" spans="1:7" ht="14.25" customHeight="1" x14ac:dyDescent="0.35">
      <c r="A98" s="24" t="s">
        <v>249</v>
      </c>
      <c r="B98" s="24">
        <v>0.45500000000000002</v>
      </c>
      <c r="C98" s="24">
        <v>67.7</v>
      </c>
      <c r="D98" s="39">
        <f t="shared" si="182"/>
        <v>22.178520000000002</v>
      </c>
    </row>
    <row r="99" spans="1:7" ht="14.25" customHeight="1" x14ac:dyDescent="0.35">
      <c r="A99" s="24" t="s">
        <v>250</v>
      </c>
      <c r="B99" s="24">
        <v>3</v>
      </c>
      <c r="C99" s="24">
        <v>50</v>
      </c>
      <c r="D99" s="61">
        <f t="shared" si="182"/>
        <v>108</v>
      </c>
    </row>
    <row r="100" spans="1:7" ht="14.25" customHeight="1" x14ac:dyDescent="0.35">
      <c r="A100" s="24" t="s">
        <v>251</v>
      </c>
      <c r="D100" s="39">
        <f>SUM(D90:D99)</f>
        <v>1442.052504</v>
      </c>
    </row>
    <row r="101" spans="1:7" ht="14.25" customHeight="1" x14ac:dyDescent="0.3"/>
    <row r="102" spans="1:7" ht="14.25" customHeight="1" x14ac:dyDescent="0.3"/>
    <row r="103" spans="1:7" ht="14.25" customHeight="1" x14ac:dyDescent="0.3"/>
    <row r="104" spans="1:7" ht="14.25" customHeight="1" x14ac:dyDescent="0.3"/>
    <row r="105" spans="1:7" ht="14.25" customHeight="1" x14ac:dyDescent="0.35">
      <c r="A105" s="24" t="s">
        <v>237</v>
      </c>
      <c r="B105" s="24" t="s">
        <v>252</v>
      </c>
      <c r="C105" s="24" t="s">
        <v>253</v>
      </c>
      <c r="D105" s="24" t="s">
        <v>254</v>
      </c>
      <c r="E105" s="24" t="s">
        <v>255</v>
      </c>
      <c r="F105" s="24" t="s">
        <v>256</v>
      </c>
      <c r="G105" s="24" t="s">
        <v>257</v>
      </c>
    </row>
    <row r="106" spans="1:7" ht="14.25" customHeight="1" x14ac:dyDescent="0.35">
      <c r="A106" s="24" t="s">
        <v>117</v>
      </c>
      <c r="B106" s="56">
        <f>SUM(M35:P35)</f>
        <v>740.8</v>
      </c>
      <c r="C106" s="24">
        <v>32.200000000000003</v>
      </c>
      <c r="D106" s="42">
        <f>SUM(M6:P6)</f>
        <v>37.700000000000003</v>
      </c>
      <c r="E106" s="52">
        <f t="shared" ref="E106:E107" si="185">B106/C106</f>
        <v>23.006211180124222</v>
      </c>
      <c r="F106" s="37">
        <f t="shared" ref="F106:F109" si="186">B106/D106</f>
        <v>19.649867374005304</v>
      </c>
      <c r="G106" s="52">
        <f>R16</f>
        <v>24.359941944847606</v>
      </c>
    </row>
    <row r="107" spans="1:7" ht="14.25" customHeight="1" x14ac:dyDescent="0.35">
      <c r="A107" s="24" t="s">
        <v>241</v>
      </c>
      <c r="B107" s="56">
        <f>20156447000/1000000</f>
        <v>20156.447</v>
      </c>
      <c r="C107" s="24">
        <v>192.9</v>
      </c>
      <c r="D107" s="42">
        <f>165000000*365/1000000000</f>
        <v>60.225000000000001</v>
      </c>
      <c r="E107" s="52">
        <f t="shared" si="185"/>
        <v>104.49168999481597</v>
      </c>
      <c r="F107" s="37">
        <f t="shared" si="186"/>
        <v>334.68571191365709</v>
      </c>
      <c r="G107" s="52">
        <f>13.25*12</f>
        <v>159</v>
      </c>
    </row>
    <row r="108" spans="1:7" ht="14.25" customHeight="1" x14ac:dyDescent="0.35">
      <c r="A108" s="24" t="s">
        <v>258</v>
      </c>
      <c r="B108" s="56">
        <v>15150</v>
      </c>
      <c r="D108" s="42">
        <v>365</v>
      </c>
      <c r="E108" s="52"/>
      <c r="F108" s="37">
        <f t="shared" si="186"/>
        <v>41.506849315068493</v>
      </c>
      <c r="G108" s="52">
        <f>15/2</f>
        <v>7.5</v>
      </c>
    </row>
    <row r="109" spans="1:7" ht="14.25" customHeight="1" x14ac:dyDescent="0.35">
      <c r="A109" s="24" t="s">
        <v>259</v>
      </c>
      <c r="B109" s="56">
        <v>70000</v>
      </c>
      <c r="C109" s="24">
        <v>85</v>
      </c>
      <c r="D109" s="42">
        <f>5*365*328200000/1000000000</f>
        <v>598.96500000000003</v>
      </c>
      <c r="E109" s="52">
        <f>B109/C109</f>
        <v>823.52941176470586</v>
      </c>
      <c r="F109" s="37">
        <f t="shared" si="186"/>
        <v>116.86826442279599</v>
      </c>
      <c r="G109" s="52"/>
    </row>
    <row r="110" spans="1:7" ht="14.25" customHeight="1" x14ac:dyDescent="0.35">
      <c r="A110" s="24" t="s">
        <v>245</v>
      </c>
      <c r="G110" s="52">
        <f>13.15*12</f>
        <v>157.80000000000001</v>
      </c>
    </row>
    <row r="111" spans="1:7" ht="14.25" customHeight="1" x14ac:dyDescent="0.35">
      <c r="A111" s="24" t="s">
        <v>260</v>
      </c>
    </row>
    <row r="112" spans="1:7"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row r="1001" ht="14.25" customHeight="1" x14ac:dyDescent="0.3"/>
    <row r="1002" ht="14.25" customHeight="1" x14ac:dyDescent="0.3"/>
    <row r="1003" ht="14.25" customHeight="1" x14ac:dyDescent="0.3"/>
    <row r="1004" ht="14.25" customHeight="1" x14ac:dyDescent="0.3"/>
    <row r="1005" ht="14.25" customHeight="1" x14ac:dyDescent="0.3"/>
    <row r="1006" ht="14.25" customHeight="1" x14ac:dyDescent="0.3"/>
    <row r="1007" ht="14.25" customHeight="1" x14ac:dyDescent="0.3"/>
    <row r="1008" ht="14.25" customHeight="1" x14ac:dyDescent="0.3"/>
    <row r="1009" ht="14.25" customHeight="1" x14ac:dyDescent="0.3"/>
    <row r="1010" ht="14.25" customHeight="1" x14ac:dyDescent="0.3"/>
    <row r="1011" ht="14.25" customHeight="1" x14ac:dyDescent="0.3"/>
  </sheetData>
  <hyperlinks>
    <hyperlink ref="C85" r:id="rId1" xr:uid="{47D3943E-B2CD-493F-8494-87A8F64A794C}"/>
    <hyperlink ref="C86" r:id="rId2" xr:uid="{BBF671A8-17BA-4FD9-A6CE-2CECE7BF9CA1}"/>
    <hyperlink ref="C87" r:id="rId3" xr:uid="{07A8E7FA-4D57-48A6-90A3-F1F6233F7BFF}"/>
  </hyperlinks>
  <pageMargins left="0.7" right="0.7" top="0.75" bottom="0.75" header="0" footer="0"/>
  <pageSetup orientation="portrait"/>
  <drawing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workbookViewId="0">
      <pane xSplit="1" ySplit="3" topLeftCell="B4" activePane="bottomRight" state="frozen"/>
      <selection pane="topRight"/>
      <selection pane="bottomLeft"/>
      <selection pane="bottomRight" activeCell="A14" sqref="A14"/>
    </sheetView>
  </sheetViews>
  <sheetFormatPr defaultRowHeight="14.5" x14ac:dyDescent="0.35"/>
  <cols>
    <col min="1" max="1" width="50" customWidth="1"/>
    <col min="2" max="7" width="15" customWidth="1"/>
  </cols>
  <sheetData>
    <row r="1" spans="1:7" x14ac:dyDescent="0.35">
      <c r="A1" t="s">
        <v>0</v>
      </c>
      <c r="B1" t="s">
        <v>2</v>
      </c>
      <c r="C1" t="s">
        <v>3</v>
      </c>
      <c r="D1" t="s">
        <v>4</v>
      </c>
      <c r="E1" t="s">
        <v>5</v>
      </c>
      <c r="F1" t="s">
        <v>6</v>
      </c>
      <c r="G1" t="s">
        <v>90</v>
      </c>
    </row>
    <row r="2" spans="1:7" x14ac:dyDescent="0.35">
      <c r="A2" t="s">
        <v>7</v>
      </c>
    </row>
    <row r="3" spans="1:7" x14ac:dyDescent="0.35">
      <c r="A3" t="s">
        <v>8</v>
      </c>
    </row>
    <row r="4" spans="1:7" x14ac:dyDescent="0.35">
      <c r="A4" t="s">
        <v>7</v>
      </c>
    </row>
    <row r="5" spans="1:7" x14ac:dyDescent="0.35">
      <c r="A5" t="s">
        <v>9</v>
      </c>
      <c r="B5" s="12">
        <v>319.89999999999998</v>
      </c>
      <c r="C5" s="12">
        <v>398.6</v>
      </c>
      <c r="D5" s="12">
        <v>512.79999999999995</v>
      </c>
      <c r="E5" s="12">
        <v>742.5</v>
      </c>
      <c r="F5" s="12">
        <v>1128.9000000000001</v>
      </c>
      <c r="G5" s="12">
        <v>1778.4</v>
      </c>
    </row>
    <row r="6" spans="1:7" x14ac:dyDescent="0.35">
      <c r="A6" t="s">
        <v>10</v>
      </c>
      <c r="B6">
        <v>319.89999999999998</v>
      </c>
      <c r="C6">
        <v>398.6</v>
      </c>
      <c r="D6">
        <v>512.79999999999995</v>
      </c>
      <c r="E6">
        <v>742.5</v>
      </c>
      <c r="F6" s="13">
        <v>1128.9000000000001</v>
      </c>
      <c r="G6" s="13">
        <v>1778.4</v>
      </c>
    </row>
    <row r="7" spans="1:7" x14ac:dyDescent="0.35">
      <c r="A7" t="s">
        <v>11</v>
      </c>
      <c r="B7">
        <v>230.1</v>
      </c>
      <c r="C7">
        <v>277.60000000000002</v>
      </c>
      <c r="D7">
        <v>312.89999999999998</v>
      </c>
      <c r="E7">
        <v>410.4</v>
      </c>
      <c r="F7">
        <v>633.70000000000005</v>
      </c>
      <c r="G7">
        <v>970.2</v>
      </c>
    </row>
    <row r="8" spans="1:7" x14ac:dyDescent="0.35">
      <c r="A8" t="s">
        <v>12</v>
      </c>
      <c r="B8">
        <v>89.8</v>
      </c>
      <c r="C8">
        <v>121</v>
      </c>
      <c r="D8">
        <v>199.8</v>
      </c>
      <c r="E8">
        <v>332.1</v>
      </c>
      <c r="F8">
        <v>495.2</v>
      </c>
      <c r="G8">
        <v>808.2</v>
      </c>
    </row>
    <row r="9" spans="1:7" x14ac:dyDescent="0.35">
      <c r="A9" t="s">
        <v>13</v>
      </c>
      <c r="B9">
        <v>76.900000000000006</v>
      </c>
      <c r="C9">
        <v>88.2</v>
      </c>
      <c r="D9">
        <v>111.5</v>
      </c>
      <c r="E9">
        <v>174.8</v>
      </c>
      <c r="F9">
        <v>295.3</v>
      </c>
      <c r="G9">
        <v>472.7</v>
      </c>
    </row>
    <row r="10" spans="1:7" x14ac:dyDescent="0.35">
      <c r="A10" t="s">
        <v>119</v>
      </c>
      <c r="B10">
        <v>50.5</v>
      </c>
      <c r="C10">
        <v>76.2</v>
      </c>
      <c r="D10">
        <v>107.9</v>
      </c>
      <c r="E10">
        <v>170.7</v>
      </c>
      <c r="F10">
        <v>265</v>
      </c>
      <c r="G10">
        <v>355.8</v>
      </c>
    </row>
    <row r="11" spans="1:7" x14ac:dyDescent="0.35">
      <c r="A11" t="s">
        <v>14</v>
      </c>
      <c r="B11" t="s">
        <v>18</v>
      </c>
      <c r="C11" t="s">
        <v>18</v>
      </c>
      <c r="D11">
        <v>2.2999999999999998</v>
      </c>
      <c r="E11">
        <v>0</v>
      </c>
      <c r="F11" t="s">
        <v>18</v>
      </c>
      <c r="G11" t="s">
        <v>18</v>
      </c>
    </row>
    <row r="12" spans="1:7" x14ac:dyDescent="0.35">
      <c r="A12" t="s">
        <v>15</v>
      </c>
      <c r="B12">
        <v>-37.6</v>
      </c>
      <c r="C12">
        <v>-43.4</v>
      </c>
      <c r="D12">
        <v>-22</v>
      </c>
      <c r="E12">
        <v>-13.3</v>
      </c>
      <c r="F12">
        <v>-65.099999999999994</v>
      </c>
      <c r="G12">
        <v>-20.3</v>
      </c>
    </row>
    <row r="13" spans="1:7" x14ac:dyDescent="0.35">
      <c r="A13" t="s">
        <v>16</v>
      </c>
      <c r="B13">
        <v>-1.2</v>
      </c>
      <c r="C13">
        <v>-0.23</v>
      </c>
      <c r="D13">
        <v>-1.6</v>
      </c>
      <c r="E13">
        <v>-0.35</v>
      </c>
      <c r="F13">
        <v>-2.4</v>
      </c>
      <c r="G13">
        <v>-3.4</v>
      </c>
    </row>
    <row r="14" spans="1:7" x14ac:dyDescent="0.35">
      <c r="A14" t="s">
        <v>17</v>
      </c>
      <c r="B14">
        <v>-1.7</v>
      </c>
      <c r="C14">
        <v>1</v>
      </c>
      <c r="D14">
        <v>-39.6</v>
      </c>
      <c r="E14">
        <v>4.3</v>
      </c>
      <c r="F14">
        <v>6.5</v>
      </c>
      <c r="G14">
        <v>5.2</v>
      </c>
    </row>
    <row r="15" spans="1:7" x14ac:dyDescent="0.35">
      <c r="A15" t="s">
        <v>19</v>
      </c>
      <c r="B15">
        <v>-40.5</v>
      </c>
      <c r="C15">
        <v>-42.5</v>
      </c>
      <c r="D15">
        <v>-63.2</v>
      </c>
      <c r="E15">
        <v>-9.3000000000000007</v>
      </c>
      <c r="F15">
        <v>-60.9</v>
      </c>
      <c r="G15">
        <v>-18.5</v>
      </c>
    </row>
    <row r="16" spans="1:7" x14ac:dyDescent="0.35">
      <c r="A16" t="s">
        <v>20</v>
      </c>
      <c r="B16">
        <v>0.15</v>
      </c>
      <c r="C16">
        <v>0.21</v>
      </c>
      <c r="D16">
        <v>0.32</v>
      </c>
      <c r="E16">
        <v>-0.48</v>
      </c>
      <c r="F16">
        <v>-0.98</v>
      </c>
      <c r="G16">
        <v>-0.95</v>
      </c>
    </row>
    <row r="17" spans="1:7" x14ac:dyDescent="0.35">
      <c r="A17" t="s">
        <v>21</v>
      </c>
      <c r="B17">
        <v>-40.6</v>
      </c>
      <c r="C17">
        <v>-42.8</v>
      </c>
      <c r="D17">
        <v>-63.5</v>
      </c>
      <c r="E17">
        <v>-8.9</v>
      </c>
      <c r="F17">
        <v>-59.9</v>
      </c>
      <c r="G17">
        <v>-17.5</v>
      </c>
    </row>
    <row r="18" spans="1:7" x14ac:dyDescent="0.35">
      <c r="A18" t="s">
        <v>22</v>
      </c>
      <c r="B18">
        <v>-40.6</v>
      </c>
      <c r="C18">
        <v>-42.8</v>
      </c>
      <c r="D18">
        <v>-63.5</v>
      </c>
      <c r="E18">
        <v>-8.9</v>
      </c>
      <c r="F18">
        <v>-59.9</v>
      </c>
      <c r="G18">
        <v>-17.5</v>
      </c>
    </row>
    <row r="19" spans="1:7" x14ac:dyDescent="0.35">
      <c r="A19" t="s">
        <v>23</v>
      </c>
      <c r="B19">
        <v>-40.6</v>
      </c>
      <c r="C19">
        <v>-42.8</v>
      </c>
      <c r="D19">
        <v>-63.5</v>
      </c>
      <c r="E19">
        <v>-8.9</v>
      </c>
      <c r="F19">
        <v>-59.9</v>
      </c>
      <c r="G19">
        <v>-17.5</v>
      </c>
    </row>
    <row r="20" spans="1:7" x14ac:dyDescent="0.35">
      <c r="A20" t="s">
        <v>24</v>
      </c>
      <c r="B20">
        <v>-40.6</v>
      </c>
      <c r="C20">
        <v>-42.8</v>
      </c>
      <c r="D20">
        <v>-63.5</v>
      </c>
      <c r="E20">
        <v>-8.9</v>
      </c>
      <c r="F20">
        <v>-59.9</v>
      </c>
      <c r="G20">
        <v>-17.5</v>
      </c>
    </row>
    <row r="21" spans="1:7" x14ac:dyDescent="0.35">
      <c r="A21" t="s">
        <v>25</v>
      </c>
      <c r="B21">
        <v>94.7</v>
      </c>
      <c r="C21">
        <v>94.7</v>
      </c>
      <c r="D21">
        <v>99.2</v>
      </c>
      <c r="E21">
        <v>104.6</v>
      </c>
      <c r="F21">
        <v>115.2</v>
      </c>
      <c r="G21">
        <v>124</v>
      </c>
    </row>
    <row r="22" spans="1:7" x14ac:dyDescent="0.35">
      <c r="A22" t="s">
        <v>26</v>
      </c>
      <c r="B22">
        <v>-0.43</v>
      </c>
      <c r="C22">
        <v>-0.45</v>
      </c>
      <c r="D22">
        <v>-0.64</v>
      </c>
      <c r="E22">
        <v>-0.08</v>
      </c>
      <c r="F22">
        <v>-0.52</v>
      </c>
      <c r="G22">
        <v>-0.14000000000000001</v>
      </c>
    </row>
    <row r="23" spans="1:7" x14ac:dyDescent="0.35">
      <c r="A23" t="s">
        <v>27</v>
      </c>
      <c r="B23">
        <v>-0.43</v>
      </c>
      <c r="C23">
        <v>-0.45</v>
      </c>
      <c r="D23">
        <v>-0.63</v>
      </c>
      <c r="E23">
        <v>-0.08</v>
      </c>
      <c r="F23">
        <v>-0.52</v>
      </c>
      <c r="G23">
        <v>-0.14000000000000001</v>
      </c>
    </row>
    <row r="24" spans="1:7" x14ac:dyDescent="0.35">
      <c r="A24" t="s">
        <v>28</v>
      </c>
      <c r="B24">
        <v>0</v>
      </c>
      <c r="C24">
        <v>0</v>
      </c>
      <c r="D24" t="s">
        <v>18</v>
      </c>
      <c r="E24" t="s">
        <v>18</v>
      </c>
      <c r="F24" t="s">
        <v>18</v>
      </c>
      <c r="G24" t="s">
        <v>18</v>
      </c>
    </row>
    <row r="25" spans="1:7" x14ac:dyDescent="0.35">
      <c r="A25" t="s">
        <v>29</v>
      </c>
      <c r="B25">
        <v>357.4</v>
      </c>
      <c r="C25">
        <v>442</v>
      </c>
      <c r="D25">
        <v>534.70000000000005</v>
      </c>
      <c r="E25">
        <v>755.8</v>
      </c>
      <c r="F25" s="13">
        <v>1194</v>
      </c>
      <c r="G25" s="13">
        <v>1798.6</v>
      </c>
    </row>
    <row r="26" spans="1:7" x14ac:dyDescent="0.35">
      <c r="A26" t="s">
        <v>30</v>
      </c>
      <c r="B26">
        <v>-40.6</v>
      </c>
      <c r="C26">
        <v>-42.8</v>
      </c>
      <c r="D26">
        <v>-63.5</v>
      </c>
      <c r="E26">
        <v>-8.9</v>
      </c>
      <c r="F26">
        <v>-59.9</v>
      </c>
      <c r="G26">
        <v>-17.5</v>
      </c>
    </row>
    <row r="27" spans="1:7" x14ac:dyDescent="0.35">
      <c r="A27" t="s">
        <v>31</v>
      </c>
      <c r="B27">
        <v>-40.6</v>
      </c>
      <c r="C27">
        <v>-42.8</v>
      </c>
      <c r="D27">
        <v>-63.5</v>
      </c>
      <c r="E27">
        <v>-8.9</v>
      </c>
      <c r="F27">
        <v>-59.9</v>
      </c>
      <c r="G27">
        <v>-17.5</v>
      </c>
    </row>
    <row r="28" spans="1:7" x14ac:dyDescent="0.35">
      <c r="B28" s="2"/>
      <c r="C28" s="2"/>
      <c r="D28" s="2"/>
      <c r="E28" s="2"/>
      <c r="F28" s="2"/>
    </row>
    <row r="29" spans="1:7" x14ac:dyDescent="0.35">
      <c r="B29" s="2"/>
      <c r="C29" s="2"/>
      <c r="D29" s="2"/>
      <c r="E29" s="2"/>
      <c r="F29" s="2"/>
    </row>
  </sheetData>
  <pageMargins left="0.7" right="0.7" top="0.75" bottom="0.75" header="0.3" footer="0.3"/>
  <pageSetup orientation="landscape"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1"/>
  <sheetViews>
    <sheetView workbookViewId="0">
      <pane xSplit="1" ySplit="3" topLeftCell="B4" activePane="bottomRight" state="frozen"/>
      <selection pane="topRight"/>
      <selection pane="bottomLeft"/>
      <selection pane="bottomRight" activeCell="E23" sqref="E23"/>
    </sheetView>
  </sheetViews>
  <sheetFormatPr defaultRowHeight="14.5" x14ac:dyDescent="0.35"/>
  <cols>
    <col min="1" max="1" width="50" customWidth="1"/>
    <col min="2" max="8" width="15" customWidth="1"/>
  </cols>
  <sheetData>
    <row r="1" spans="1:8" x14ac:dyDescent="0.35">
      <c r="A1" t="s">
        <v>0</v>
      </c>
      <c r="B1" t="s">
        <v>1</v>
      </c>
      <c r="C1" t="s">
        <v>2</v>
      </c>
      <c r="D1" t="s">
        <v>3</v>
      </c>
      <c r="E1" t="s">
        <v>4</v>
      </c>
      <c r="F1" t="s">
        <v>5</v>
      </c>
      <c r="G1" t="s">
        <v>6</v>
      </c>
      <c r="H1" t="s">
        <v>90</v>
      </c>
    </row>
    <row r="2" spans="1:8" x14ac:dyDescent="0.35">
      <c r="A2" t="s">
        <v>7</v>
      </c>
    </row>
    <row r="3" spans="1:8" x14ac:dyDescent="0.35">
      <c r="A3" t="s">
        <v>8</v>
      </c>
    </row>
    <row r="4" spans="1:8" x14ac:dyDescent="0.35">
      <c r="A4" t="s">
        <v>7</v>
      </c>
    </row>
    <row r="5" spans="1:8" x14ac:dyDescent="0.35">
      <c r="A5" t="s">
        <v>87</v>
      </c>
      <c r="B5" s="2"/>
      <c r="C5" s="12">
        <v>75.7</v>
      </c>
      <c r="D5" s="12">
        <v>34.6</v>
      </c>
      <c r="E5" s="12">
        <v>177.3</v>
      </c>
      <c r="F5" s="12">
        <v>155.6</v>
      </c>
      <c r="G5" s="12">
        <v>515.5</v>
      </c>
      <c r="H5" s="12">
        <v>1092.8</v>
      </c>
    </row>
    <row r="6" spans="1:8" x14ac:dyDescent="0.35">
      <c r="A6" t="s">
        <v>123</v>
      </c>
      <c r="B6" s="2"/>
      <c r="C6" t="s">
        <v>18</v>
      </c>
      <c r="D6" t="s">
        <v>18</v>
      </c>
      <c r="E6" t="s">
        <v>18</v>
      </c>
      <c r="F6">
        <v>42.1</v>
      </c>
      <c r="G6">
        <v>0</v>
      </c>
      <c r="H6" t="s">
        <v>18</v>
      </c>
    </row>
    <row r="7" spans="1:8" x14ac:dyDescent="0.35">
      <c r="A7" t="s">
        <v>32</v>
      </c>
      <c r="B7" s="2"/>
      <c r="C7">
        <v>75.7</v>
      </c>
      <c r="D7">
        <v>34.6</v>
      </c>
      <c r="E7">
        <v>177.3</v>
      </c>
      <c r="F7">
        <v>197.7</v>
      </c>
      <c r="G7">
        <v>515.5</v>
      </c>
      <c r="H7" s="13">
        <v>1092.8</v>
      </c>
    </row>
    <row r="8" spans="1:8" x14ac:dyDescent="0.35">
      <c r="A8" t="s">
        <v>33</v>
      </c>
      <c r="B8" s="2"/>
      <c r="C8">
        <v>53.5</v>
      </c>
      <c r="D8">
        <v>79.5</v>
      </c>
      <c r="E8">
        <v>120.6</v>
      </c>
      <c r="F8">
        <v>183.1</v>
      </c>
      <c r="G8">
        <v>332.7</v>
      </c>
      <c r="H8">
        <v>523.9</v>
      </c>
    </row>
    <row r="9" spans="1:8" x14ac:dyDescent="0.35">
      <c r="A9" t="s">
        <v>34</v>
      </c>
      <c r="B9" s="2"/>
      <c r="C9">
        <v>30.3</v>
      </c>
      <c r="D9">
        <v>43.6</v>
      </c>
      <c r="E9">
        <v>32.700000000000003</v>
      </c>
      <c r="F9">
        <v>35.6</v>
      </c>
      <c r="G9">
        <v>49.7</v>
      </c>
      <c r="H9">
        <v>53.9</v>
      </c>
    </row>
    <row r="10" spans="1:8" x14ac:dyDescent="0.35">
      <c r="A10" t="s">
        <v>120</v>
      </c>
      <c r="B10" s="2"/>
      <c r="C10">
        <v>4.5999999999999996</v>
      </c>
      <c r="D10">
        <v>5</v>
      </c>
      <c r="E10">
        <v>11.4</v>
      </c>
      <c r="F10">
        <v>15.4</v>
      </c>
      <c r="G10">
        <v>25.9</v>
      </c>
      <c r="H10">
        <v>26.6</v>
      </c>
    </row>
    <row r="11" spans="1:8" x14ac:dyDescent="0.35">
      <c r="A11" t="s">
        <v>35</v>
      </c>
      <c r="B11" s="2"/>
      <c r="C11">
        <v>0.82</v>
      </c>
      <c r="D11">
        <v>2.6</v>
      </c>
      <c r="E11">
        <v>3</v>
      </c>
      <c r="F11">
        <v>1.2</v>
      </c>
      <c r="G11">
        <v>1.9</v>
      </c>
      <c r="H11">
        <v>0.43</v>
      </c>
    </row>
    <row r="12" spans="1:8" x14ac:dyDescent="0.35">
      <c r="A12" t="s">
        <v>36</v>
      </c>
      <c r="B12" s="2"/>
      <c r="C12">
        <v>164.9</v>
      </c>
      <c r="D12">
        <v>165.2</v>
      </c>
      <c r="E12">
        <v>344.9</v>
      </c>
      <c r="F12">
        <v>432.9</v>
      </c>
      <c r="G12">
        <v>925.7</v>
      </c>
      <c r="H12" s="13">
        <v>1697.6</v>
      </c>
    </row>
    <row r="13" spans="1:8" x14ac:dyDescent="0.35">
      <c r="A13" t="s">
        <v>37</v>
      </c>
      <c r="B13" s="2"/>
      <c r="C13">
        <v>7.9</v>
      </c>
      <c r="D13">
        <v>9.5</v>
      </c>
      <c r="E13">
        <v>14.7</v>
      </c>
      <c r="F13">
        <v>25.3</v>
      </c>
      <c r="G13">
        <v>386.6</v>
      </c>
      <c r="H13">
        <v>421.4</v>
      </c>
    </row>
    <row r="14" spans="1:8" x14ac:dyDescent="0.35">
      <c r="A14" t="s">
        <v>38</v>
      </c>
      <c r="B14" s="2"/>
      <c r="C14" t="s">
        <v>18</v>
      </c>
      <c r="D14" t="s">
        <v>18</v>
      </c>
      <c r="E14">
        <v>1.4</v>
      </c>
      <c r="F14">
        <v>1.4</v>
      </c>
      <c r="G14">
        <v>74.099999999999994</v>
      </c>
      <c r="H14">
        <v>73.099999999999994</v>
      </c>
    </row>
    <row r="15" spans="1:8" x14ac:dyDescent="0.35">
      <c r="A15" t="s">
        <v>39</v>
      </c>
      <c r="B15" s="2"/>
      <c r="C15" t="s">
        <v>18</v>
      </c>
      <c r="D15" t="s">
        <v>18</v>
      </c>
      <c r="E15">
        <v>2</v>
      </c>
      <c r="F15">
        <v>1.5</v>
      </c>
      <c r="G15">
        <v>76.7</v>
      </c>
      <c r="H15">
        <v>62.2</v>
      </c>
    </row>
    <row r="16" spans="1:8" x14ac:dyDescent="0.35">
      <c r="A16" t="s">
        <v>40</v>
      </c>
      <c r="B16" s="2"/>
      <c r="C16">
        <v>3.7</v>
      </c>
      <c r="D16">
        <v>4.3</v>
      </c>
      <c r="E16">
        <v>8.8000000000000007</v>
      </c>
      <c r="F16">
        <v>3.9</v>
      </c>
      <c r="G16">
        <v>7.2</v>
      </c>
      <c r="H16">
        <v>16.3</v>
      </c>
    </row>
    <row r="17" spans="1:8" x14ac:dyDescent="0.35">
      <c r="A17" t="s">
        <v>41</v>
      </c>
      <c r="B17" s="2"/>
      <c r="C17">
        <v>176.5</v>
      </c>
      <c r="D17">
        <v>179.1</v>
      </c>
      <c r="E17">
        <v>371.9</v>
      </c>
      <c r="F17">
        <v>465</v>
      </c>
      <c r="G17" s="13">
        <v>1470.2</v>
      </c>
      <c r="H17" s="13">
        <v>2270.5</v>
      </c>
    </row>
    <row r="18" spans="1:8" x14ac:dyDescent="0.35">
      <c r="A18" t="s">
        <v>42</v>
      </c>
      <c r="B18" s="2"/>
      <c r="C18">
        <v>34.200000000000003</v>
      </c>
      <c r="D18">
        <v>31.4</v>
      </c>
      <c r="E18">
        <v>56.4</v>
      </c>
      <c r="F18">
        <v>56.6</v>
      </c>
      <c r="G18" t="s">
        <v>18</v>
      </c>
      <c r="H18" t="s">
        <v>18</v>
      </c>
    </row>
    <row r="19" spans="1:8" x14ac:dyDescent="0.35">
      <c r="A19" t="s">
        <v>121</v>
      </c>
      <c r="B19" s="2"/>
      <c r="C19" t="s">
        <v>18</v>
      </c>
      <c r="D19" t="s">
        <v>18</v>
      </c>
      <c r="E19" t="s">
        <v>18</v>
      </c>
      <c r="F19" t="s">
        <v>18</v>
      </c>
      <c r="G19">
        <v>115.2</v>
      </c>
      <c r="H19">
        <v>112.3</v>
      </c>
    </row>
    <row r="20" spans="1:8" x14ac:dyDescent="0.35">
      <c r="A20" t="s">
        <v>43</v>
      </c>
      <c r="B20" s="2"/>
      <c r="C20">
        <v>27.7</v>
      </c>
      <c r="D20">
        <v>46.2</v>
      </c>
      <c r="E20">
        <v>72.3</v>
      </c>
      <c r="F20">
        <v>87.5</v>
      </c>
      <c r="G20">
        <v>198.3</v>
      </c>
      <c r="H20">
        <v>347.7</v>
      </c>
    </row>
    <row r="21" spans="1:8" x14ac:dyDescent="0.35">
      <c r="A21" t="s">
        <v>44</v>
      </c>
      <c r="B21" s="2"/>
      <c r="C21">
        <v>0</v>
      </c>
      <c r="D21">
        <v>0</v>
      </c>
      <c r="E21">
        <v>0</v>
      </c>
      <c r="F21">
        <v>0</v>
      </c>
      <c r="G21" t="s">
        <v>18</v>
      </c>
      <c r="H21" t="s">
        <v>18</v>
      </c>
    </row>
    <row r="22" spans="1:8" x14ac:dyDescent="0.35">
      <c r="A22" t="s">
        <v>45</v>
      </c>
      <c r="B22" s="2"/>
      <c r="C22">
        <v>0</v>
      </c>
      <c r="D22">
        <v>15</v>
      </c>
      <c r="E22" t="s">
        <v>18</v>
      </c>
      <c r="F22" t="s">
        <v>18</v>
      </c>
      <c r="G22">
        <v>4.9000000000000004</v>
      </c>
      <c r="H22">
        <v>4.9000000000000004</v>
      </c>
    </row>
    <row r="23" spans="1:8" x14ac:dyDescent="0.35">
      <c r="A23" t="s">
        <v>46</v>
      </c>
      <c r="B23" s="2"/>
      <c r="C23">
        <v>14.6</v>
      </c>
      <c r="D23">
        <v>24</v>
      </c>
      <c r="E23">
        <v>34.5</v>
      </c>
      <c r="F23">
        <v>49.9</v>
      </c>
      <c r="G23">
        <v>39.9</v>
      </c>
      <c r="H23">
        <v>55.5</v>
      </c>
    </row>
    <row r="24" spans="1:8" x14ac:dyDescent="0.35">
      <c r="A24" t="s">
        <v>47</v>
      </c>
      <c r="B24" s="2"/>
      <c r="C24">
        <v>76.5</v>
      </c>
      <c r="D24">
        <v>116.5</v>
      </c>
      <c r="E24">
        <v>163.30000000000001</v>
      </c>
      <c r="F24">
        <v>194</v>
      </c>
      <c r="G24">
        <v>358.3</v>
      </c>
      <c r="H24">
        <v>520.29999999999995</v>
      </c>
    </row>
    <row r="25" spans="1:8" x14ac:dyDescent="0.35">
      <c r="A25" t="s">
        <v>48</v>
      </c>
      <c r="B25" s="2"/>
      <c r="C25">
        <v>25.9</v>
      </c>
      <c r="D25">
        <v>10</v>
      </c>
      <c r="E25">
        <v>0</v>
      </c>
      <c r="F25">
        <v>0</v>
      </c>
      <c r="G25">
        <v>94.7</v>
      </c>
      <c r="H25">
        <v>89.9</v>
      </c>
    </row>
    <row r="26" spans="1:8" x14ac:dyDescent="0.35">
      <c r="A26" t="s">
        <v>49</v>
      </c>
      <c r="B26" s="2"/>
      <c r="C26">
        <v>20.7</v>
      </c>
      <c r="D26">
        <v>33.200000000000003</v>
      </c>
      <c r="E26">
        <v>56.4</v>
      </c>
      <c r="F26">
        <v>26.3</v>
      </c>
      <c r="G26">
        <v>318.8</v>
      </c>
      <c r="H26">
        <v>332.3</v>
      </c>
    </row>
    <row r="27" spans="1:8" x14ac:dyDescent="0.35">
      <c r="A27" t="s">
        <v>50</v>
      </c>
      <c r="B27" s="2"/>
      <c r="C27">
        <v>123.1</v>
      </c>
      <c r="D27">
        <v>159.69999999999999</v>
      </c>
      <c r="E27">
        <v>219.6</v>
      </c>
      <c r="F27">
        <v>220.3</v>
      </c>
      <c r="G27">
        <v>771.8</v>
      </c>
      <c r="H27">
        <v>942.5</v>
      </c>
    </row>
    <row r="28" spans="1:8" x14ac:dyDescent="0.35">
      <c r="A28" t="s">
        <v>122</v>
      </c>
      <c r="B28" s="2"/>
      <c r="C28">
        <v>213.2</v>
      </c>
      <c r="D28">
        <v>213.2</v>
      </c>
      <c r="E28">
        <v>0</v>
      </c>
      <c r="F28">
        <v>0</v>
      </c>
      <c r="G28">
        <v>0</v>
      </c>
      <c r="H28" t="s">
        <v>18</v>
      </c>
    </row>
    <row r="29" spans="1:8" x14ac:dyDescent="0.35">
      <c r="A29" t="s">
        <v>51</v>
      </c>
      <c r="B29" s="2"/>
      <c r="C29">
        <v>0</v>
      </c>
      <c r="D29">
        <v>0</v>
      </c>
      <c r="E29">
        <v>0.01</v>
      </c>
      <c r="F29">
        <v>0.01</v>
      </c>
      <c r="G29">
        <v>0.01</v>
      </c>
      <c r="H29">
        <v>0.01</v>
      </c>
    </row>
    <row r="30" spans="1:8" x14ac:dyDescent="0.35">
      <c r="A30" t="s">
        <v>52</v>
      </c>
      <c r="B30" s="2"/>
      <c r="C30">
        <v>17.3</v>
      </c>
      <c r="D30">
        <v>26</v>
      </c>
      <c r="E30">
        <v>435.6</v>
      </c>
      <c r="F30">
        <v>498.6</v>
      </c>
      <c r="G30" s="13">
        <v>1012.2</v>
      </c>
      <c r="H30" s="13">
        <v>1660.4</v>
      </c>
    </row>
    <row r="31" spans="1:8" x14ac:dyDescent="0.35">
      <c r="A31" t="s">
        <v>53</v>
      </c>
      <c r="B31" s="2"/>
      <c r="C31">
        <v>-177.1</v>
      </c>
      <c r="D31">
        <v>-219.8</v>
      </c>
      <c r="E31">
        <v>-283.3</v>
      </c>
      <c r="F31">
        <v>-253.9</v>
      </c>
      <c r="G31">
        <v>-313.8</v>
      </c>
      <c r="H31">
        <v>-332.4</v>
      </c>
    </row>
    <row r="32" spans="1:8" x14ac:dyDescent="0.35">
      <c r="A32" t="s">
        <v>54</v>
      </c>
      <c r="B32" s="2"/>
      <c r="C32" t="s">
        <v>18</v>
      </c>
      <c r="D32" t="s">
        <v>18</v>
      </c>
      <c r="E32" t="s">
        <v>18</v>
      </c>
      <c r="F32">
        <v>-0.02</v>
      </c>
      <c r="G32">
        <v>0.03</v>
      </c>
      <c r="H32">
        <v>0.03</v>
      </c>
    </row>
    <row r="33" spans="1:8" x14ac:dyDescent="0.35">
      <c r="A33" t="s">
        <v>55</v>
      </c>
      <c r="B33" s="2"/>
      <c r="C33">
        <v>53.4</v>
      </c>
      <c r="D33">
        <v>19.399999999999999</v>
      </c>
      <c r="E33">
        <v>152.30000000000001</v>
      </c>
      <c r="F33">
        <v>244.7</v>
      </c>
      <c r="G33">
        <v>698.4</v>
      </c>
      <c r="H33" s="13">
        <v>1328</v>
      </c>
    </row>
    <row r="34" spans="1:8" x14ac:dyDescent="0.35">
      <c r="A34" t="s">
        <v>56</v>
      </c>
      <c r="B34" s="2"/>
      <c r="C34">
        <v>176.5</v>
      </c>
      <c r="D34">
        <v>179.1</v>
      </c>
      <c r="E34">
        <v>371.9</v>
      </c>
      <c r="F34">
        <v>465</v>
      </c>
      <c r="G34" s="13">
        <v>1470.2</v>
      </c>
      <c r="H34" s="13">
        <v>2270.5</v>
      </c>
    </row>
    <row r="35" spans="1:8" x14ac:dyDescent="0.35">
      <c r="A35" t="s">
        <v>57</v>
      </c>
      <c r="B35" s="2"/>
      <c r="C35">
        <v>94.7</v>
      </c>
      <c r="D35">
        <v>94.7</v>
      </c>
      <c r="E35">
        <v>99.2</v>
      </c>
      <c r="F35">
        <v>109.8</v>
      </c>
      <c r="G35">
        <v>144.6</v>
      </c>
      <c r="H35">
        <v>120.7</v>
      </c>
    </row>
    <row r="36" spans="1:8" x14ac:dyDescent="0.35">
      <c r="A36" t="s">
        <v>58</v>
      </c>
      <c r="B36" s="2"/>
      <c r="C36">
        <v>-1.69</v>
      </c>
      <c r="D36">
        <v>-2.0499999999999998</v>
      </c>
      <c r="E36">
        <v>1.5</v>
      </c>
      <c r="F36">
        <v>2.2000000000000002</v>
      </c>
      <c r="G36">
        <v>3.79</v>
      </c>
      <c r="H36">
        <v>9.89</v>
      </c>
    </row>
    <row r="37" spans="1:8" x14ac:dyDescent="0.35">
      <c r="A37" t="s">
        <v>59</v>
      </c>
      <c r="B37" s="2"/>
      <c r="C37">
        <v>53.2</v>
      </c>
      <c r="D37">
        <v>79.3</v>
      </c>
      <c r="E37">
        <v>120.6</v>
      </c>
      <c r="F37">
        <v>183.1</v>
      </c>
      <c r="G37">
        <v>332.7</v>
      </c>
      <c r="H37">
        <v>523.9</v>
      </c>
    </row>
    <row r="38" spans="1:8" x14ac:dyDescent="0.35">
      <c r="A38" t="s">
        <v>60</v>
      </c>
      <c r="B38" s="2"/>
      <c r="C38">
        <v>12.7</v>
      </c>
      <c r="D38">
        <v>17.3</v>
      </c>
      <c r="E38">
        <v>27.5</v>
      </c>
      <c r="F38">
        <v>44.9</v>
      </c>
      <c r="G38" t="s">
        <v>18</v>
      </c>
      <c r="H38" t="s">
        <v>18</v>
      </c>
    </row>
    <row r="39" spans="1:8" x14ac:dyDescent="0.35">
      <c r="A39" t="s">
        <v>61</v>
      </c>
      <c r="B39" s="2"/>
      <c r="C39">
        <v>-4.9000000000000004</v>
      </c>
      <c r="D39">
        <v>-7.8</v>
      </c>
      <c r="E39">
        <v>-12.8</v>
      </c>
      <c r="F39">
        <v>-19.7</v>
      </c>
      <c r="G39" t="s">
        <v>18</v>
      </c>
      <c r="H39" t="s">
        <v>18</v>
      </c>
    </row>
    <row r="40" spans="1:8" x14ac:dyDescent="0.35">
      <c r="A40" t="s">
        <v>62</v>
      </c>
      <c r="B40" s="2"/>
      <c r="C40">
        <v>25.9</v>
      </c>
      <c r="D40">
        <v>10</v>
      </c>
      <c r="E40">
        <v>0</v>
      </c>
      <c r="F40" t="s">
        <v>18</v>
      </c>
      <c r="G40">
        <v>94.7</v>
      </c>
      <c r="H40">
        <v>89.9</v>
      </c>
    </row>
    <row r="41" spans="1:8" x14ac:dyDescent="0.35">
      <c r="A41" t="s">
        <v>63</v>
      </c>
      <c r="B41" s="2"/>
      <c r="C41">
        <v>25.9</v>
      </c>
      <c r="D41">
        <v>25</v>
      </c>
      <c r="E41">
        <v>0</v>
      </c>
      <c r="F41">
        <v>0</v>
      </c>
      <c r="G41">
        <v>99.6</v>
      </c>
      <c r="H41">
        <v>94.7</v>
      </c>
    </row>
  </sheetData>
  <pageMargins left="0.7" right="0.7" top="0.75" bottom="0.75" header="0.3" footer="0.3"/>
  <pageSetup orientation="landscape"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1"/>
  <sheetViews>
    <sheetView workbookViewId="0">
      <pane xSplit="1" ySplit="3" topLeftCell="B4" activePane="bottomRight" state="frozen"/>
      <selection pane="topRight"/>
      <selection pane="bottomLeft"/>
      <selection pane="bottomRight" activeCell="G12" sqref="G12"/>
    </sheetView>
  </sheetViews>
  <sheetFormatPr defaultRowHeight="14.5" x14ac:dyDescent="0.35"/>
  <cols>
    <col min="1" max="1" width="50" customWidth="1"/>
    <col min="2" max="8" width="15" customWidth="1"/>
  </cols>
  <sheetData>
    <row r="1" spans="1:8" x14ac:dyDescent="0.35">
      <c r="A1" t="s">
        <v>0</v>
      </c>
      <c r="B1" t="s">
        <v>1</v>
      </c>
      <c r="C1" t="s">
        <v>2</v>
      </c>
      <c r="D1" t="s">
        <v>3</v>
      </c>
      <c r="E1" t="s">
        <v>4</v>
      </c>
      <c r="F1" t="s">
        <v>5</v>
      </c>
      <c r="G1" t="s">
        <v>6</v>
      </c>
      <c r="H1" t="s">
        <v>90</v>
      </c>
    </row>
    <row r="2" spans="1:8" x14ac:dyDescent="0.35">
      <c r="A2" t="s">
        <v>7</v>
      </c>
    </row>
    <row r="3" spans="1:8" x14ac:dyDescent="0.35">
      <c r="A3" t="s">
        <v>8</v>
      </c>
    </row>
    <row r="4" spans="1:8" x14ac:dyDescent="0.35">
      <c r="A4" t="s">
        <v>7</v>
      </c>
    </row>
    <row r="5" spans="1:8" x14ac:dyDescent="0.35">
      <c r="A5" t="s">
        <v>64</v>
      </c>
      <c r="B5" s="2"/>
      <c r="C5" s="12">
        <v>-40.6</v>
      </c>
      <c r="D5" s="12">
        <v>-42.8</v>
      </c>
      <c r="E5" s="12">
        <v>-63.5</v>
      </c>
      <c r="F5" s="12">
        <v>-8.9</v>
      </c>
      <c r="G5" s="12">
        <v>-59.9</v>
      </c>
      <c r="H5" s="12">
        <v>-17.5</v>
      </c>
    </row>
    <row r="6" spans="1:8" x14ac:dyDescent="0.35">
      <c r="A6" t="s">
        <v>65</v>
      </c>
      <c r="B6" s="2"/>
      <c r="C6">
        <v>2.6</v>
      </c>
      <c r="D6">
        <v>5.3</v>
      </c>
      <c r="E6">
        <v>5.3</v>
      </c>
      <c r="F6">
        <v>8.4</v>
      </c>
      <c r="G6">
        <v>15.7</v>
      </c>
      <c r="H6">
        <v>36.200000000000003</v>
      </c>
    </row>
    <row r="7" spans="1:8" x14ac:dyDescent="0.35">
      <c r="A7" t="s">
        <v>66</v>
      </c>
      <c r="B7" s="2"/>
      <c r="C7">
        <v>9.8000000000000007</v>
      </c>
      <c r="D7">
        <v>12.5</v>
      </c>
      <c r="E7">
        <v>55.1</v>
      </c>
      <c r="F7">
        <v>40</v>
      </c>
      <c r="G7">
        <v>87</v>
      </c>
      <c r="H7">
        <v>189.5</v>
      </c>
    </row>
    <row r="8" spans="1:8" x14ac:dyDescent="0.35">
      <c r="A8" t="s">
        <v>67</v>
      </c>
      <c r="B8" s="2"/>
      <c r="C8">
        <v>-4.4000000000000004</v>
      </c>
      <c r="D8">
        <v>-7.5</v>
      </c>
      <c r="E8">
        <v>40.4</v>
      </c>
      <c r="F8">
        <v>-25.6</v>
      </c>
      <c r="G8">
        <v>-29</v>
      </c>
      <c r="H8">
        <v>-60</v>
      </c>
    </row>
    <row r="9" spans="1:8" x14ac:dyDescent="0.35">
      <c r="A9" t="s">
        <v>68</v>
      </c>
      <c r="B9" s="2"/>
      <c r="C9">
        <v>-32.6</v>
      </c>
      <c r="D9">
        <v>-32.5</v>
      </c>
      <c r="E9">
        <v>37.299999999999997</v>
      </c>
      <c r="F9">
        <v>13.9</v>
      </c>
      <c r="G9">
        <v>13.7</v>
      </c>
      <c r="H9">
        <v>148.19999999999999</v>
      </c>
    </row>
    <row r="10" spans="1:8" x14ac:dyDescent="0.35">
      <c r="A10" t="s">
        <v>69</v>
      </c>
      <c r="B10" s="2"/>
      <c r="C10">
        <v>-5</v>
      </c>
      <c r="D10">
        <v>-8.6</v>
      </c>
      <c r="E10">
        <v>-9.1999999999999993</v>
      </c>
      <c r="F10">
        <v>-18.3</v>
      </c>
      <c r="G10">
        <v>-84.6</v>
      </c>
      <c r="H10">
        <v>-82.4</v>
      </c>
    </row>
    <row r="11" spans="1:8" x14ac:dyDescent="0.35">
      <c r="A11" t="s">
        <v>70</v>
      </c>
      <c r="B11" s="2"/>
      <c r="C11">
        <v>-0.19</v>
      </c>
      <c r="D11">
        <v>0.03</v>
      </c>
      <c r="E11">
        <v>-3</v>
      </c>
      <c r="F11">
        <v>-41.8</v>
      </c>
      <c r="G11">
        <v>-25.7</v>
      </c>
      <c r="H11">
        <v>1.1000000000000001</v>
      </c>
    </row>
    <row r="12" spans="1:8" x14ac:dyDescent="0.35">
      <c r="A12" t="s">
        <v>71</v>
      </c>
      <c r="B12" s="2"/>
      <c r="C12">
        <v>-5.2</v>
      </c>
      <c r="D12">
        <v>-8.6</v>
      </c>
      <c r="E12">
        <v>-12.3</v>
      </c>
      <c r="F12">
        <v>-60.1</v>
      </c>
      <c r="G12">
        <v>-110.3</v>
      </c>
      <c r="H12">
        <v>-81.3</v>
      </c>
    </row>
    <row r="13" spans="1:8" x14ac:dyDescent="0.35">
      <c r="A13" t="s">
        <v>72</v>
      </c>
      <c r="B13" s="2"/>
      <c r="C13">
        <v>-1.2</v>
      </c>
      <c r="D13">
        <v>-0.59</v>
      </c>
      <c r="E13" t="s">
        <v>18</v>
      </c>
      <c r="F13">
        <v>-0.5</v>
      </c>
      <c r="G13">
        <v>0</v>
      </c>
      <c r="H13" t="s">
        <v>18</v>
      </c>
    </row>
    <row r="14" spans="1:8" x14ac:dyDescent="0.35">
      <c r="A14" t="s">
        <v>73</v>
      </c>
      <c r="B14" s="2"/>
      <c r="C14">
        <v>47.3</v>
      </c>
      <c r="D14">
        <v>0.44</v>
      </c>
      <c r="E14">
        <v>133.4</v>
      </c>
      <c r="F14">
        <v>25</v>
      </c>
      <c r="G14">
        <v>358.7</v>
      </c>
      <c r="H14">
        <v>514</v>
      </c>
    </row>
    <row r="15" spans="1:8" x14ac:dyDescent="0.35">
      <c r="A15" t="s">
        <v>74</v>
      </c>
      <c r="B15" s="2"/>
      <c r="C15">
        <v>12.4</v>
      </c>
      <c r="D15">
        <v>0</v>
      </c>
      <c r="E15">
        <v>-15.8</v>
      </c>
      <c r="F15">
        <v>0</v>
      </c>
      <c r="G15">
        <v>99.6</v>
      </c>
      <c r="H15">
        <v>-5</v>
      </c>
    </row>
    <row r="16" spans="1:8" x14ac:dyDescent="0.35">
      <c r="A16" t="s">
        <v>75</v>
      </c>
      <c r="B16" s="2"/>
      <c r="C16">
        <v>58.5</v>
      </c>
      <c r="D16">
        <v>-0.16</v>
      </c>
      <c r="E16">
        <v>117.7</v>
      </c>
      <c r="F16">
        <v>24.5</v>
      </c>
      <c r="G16">
        <v>458.3</v>
      </c>
      <c r="H16">
        <v>509</v>
      </c>
    </row>
    <row r="17" spans="1:8" x14ac:dyDescent="0.35">
      <c r="A17" t="s">
        <v>124</v>
      </c>
      <c r="B17" s="2"/>
      <c r="C17" t="s">
        <v>18</v>
      </c>
      <c r="D17" t="s">
        <v>18</v>
      </c>
      <c r="E17" t="s">
        <v>18</v>
      </c>
      <c r="F17" t="s">
        <v>18</v>
      </c>
      <c r="G17">
        <v>0.03</v>
      </c>
      <c r="H17">
        <v>0</v>
      </c>
    </row>
    <row r="18" spans="1:8" x14ac:dyDescent="0.35">
      <c r="A18" t="s">
        <v>76</v>
      </c>
      <c r="B18" s="2"/>
      <c r="C18">
        <v>20.7</v>
      </c>
      <c r="D18">
        <v>-41.2</v>
      </c>
      <c r="E18">
        <v>142.69999999999999</v>
      </c>
      <c r="F18">
        <v>-21.7</v>
      </c>
      <c r="G18">
        <v>361.8</v>
      </c>
      <c r="H18">
        <v>575.9</v>
      </c>
    </row>
    <row r="19" spans="1:8" x14ac:dyDescent="0.35">
      <c r="A19" t="s">
        <v>77</v>
      </c>
      <c r="B19" s="2"/>
      <c r="C19">
        <v>0.27</v>
      </c>
      <c r="D19">
        <v>0.24</v>
      </c>
      <c r="E19">
        <v>1.1000000000000001</v>
      </c>
      <c r="F19">
        <v>0.49</v>
      </c>
      <c r="G19">
        <v>3.1</v>
      </c>
      <c r="H19">
        <v>3.5</v>
      </c>
    </row>
    <row r="20" spans="1:8" x14ac:dyDescent="0.35">
      <c r="A20" t="s">
        <v>78</v>
      </c>
      <c r="B20" s="2"/>
      <c r="C20">
        <v>0.08</v>
      </c>
      <c r="D20">
        <v>0.12</v>
      </c>
      <c r="E20">
        <v>0.22</v>
      </c>
      <c r="F20">
        <v>0.56000000000000005</v>
      </c>
      <c r="G20">
        <v>0.76</v>
      </c>
      <c r="H20">
        <v>1</v>
      </c>
    </row>
    <row r="21" spans="1:8" x14ac:dyDescent="0.35">
      <c r="B21" s="2"/>
      <c r="C21" s="2"/>
      <c r="D21" s="2"/>
      <c r="E21" s="2"/>
      <c r="F21" s="2"/>
      <c r="G21" s="2"/>
    </row>
  </sheetData>
  <pageMargins left="0.7" right="0.7" top="0.75" bottom="0.75" header="0.3" footer="0.3"/>
  <pageSetup orientation="landscape"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FAFED-B15B-4211-BE46-3EBE311DE339}">
  <dimension ref="A1:E36"/>
  <sheetViews>
    <sheetView workbookViewId="0">
      <pane xSplit="1" ySplit="1" topLeftCell="B2" activePane="bottomRight" state="frozen"/>
      <selection pane="topRight"/>
      <selection pane="bottomLeft"/>
      <selection pane="bottomRight" activeCell="A20" sqref="A20:XFD20"/>
    </sheetView>
  </sheetViews>
  <sheetFormatPr defaultRowHeight="14.5" x14ac:dyDescent="0.35"/>
  <cols>
    <col min="1" max="1" width="30" customWidth="1"/>
    <col min="2" max="4" width="15" customWidth="1"/>
    <col min="5" max="5" width="10.453125" bestFit="1" customWidth="1"/>
  </cols>
  <sheetData>
    <row r="1" spans="1:5" x14ac:dyDescent="0.35">
      <c r="A1" t="s">
        <v>8</v>
      </c>
    </row>
    <row r="3" spans="1:5" x14ac:dyDescent="0.35">
      <c r="A3" t="s">
        <v>89</v>
      </c>
      <c r="B3" t="s">
        <v>90</v>
      </c>
      <c r="C3" t="s">
        <v>91</v>
      </c>
      <c r="D3" t="s">
        <v>129</v>
      </c>
      <c r="E3" t="s">
        <v>130</v>
      </c>
    </row>
    <row r="5" spans="1:5" x14ac:dyDescent="0.35">
      <c r="A5" t="s">
        <v>92</v>
      </c>
      <c r="B5" t="s">
        <v>125</v>
      </c>
      <c r="C5" t="s">
        <v>131</v>
      </c>
      <c r="D5" t="s">
        <v>132</v>
      </c>
      <c r="E5" t="s">
        <v>133</v>
      </c>
    </row>
    <row r="6" spans="1:5" x14ac:dyDescent="0.35">
      <c r="A6" t="s">
        <v>93</v>
      </c>
      <c r="B6" t="s">
        <v>126</v>
      </c>
      <c r="C6" t="s">
        <v>134</v>
      </c>
      <c r="D6" t="s">
        <v>135</v>
      </c>
      <c r="E6" t="s">
        <v>136</v>
      </c>
    </row>
    <row r="7" spans="1:5" x14ac:dyDescent="0.35">
      <c r="A7" t="s">
        <v>142</v>
      </c>
      <c r="C7" t="s">
        <v>137</v>
      </c>
      <c r="D7" t="s">
        <v>138</v>
      </c>
      <c r="E7" t="s">
        <v>139</v>
      </c>
    </row>
    <row r="8" spans="1:5" x14ac:dyDescent="0.35">
      <c r="A8" t="s">
        <v>143</v>
      </c>
      <c r="C8" t="s">
        <v>137</v>
      </c>
      <c r="D8" t="s">
        <v>140</v>
      </c>
      <c r="E8" t="s">
        <v>141</v>
      </c>
    </row>
    <row r="10" spans="1:5" x14ac:dyDescent="0.35">
      <c r="A10" t="s">
        <v>79</v>
      </c>
      <c r="B10" t="s">
        <v>90</v>
      </c>
      <c r="C10" t="s">
        <v>91</v>
      </c>
      <c r="D10" t="s">
        <v>129</v>
      </c>
      <c r="E10" t="s">
        <v>130</v>
      </c>
    </row>
    <row r="12" spans="1:5" x14ac:dyDescent="0.35">
      <c r="A12" t="s">
        <v>94</v>
      </c>
      <c r="B12" s="9">
        <v>0.53400000000000003</v>
      </c>
      <c r="C12" s="9">
        <v>0.44400000000000001</v>
      </c>
      <c r="D12" s="9">
        <v>0.38200000000000001</v>
      </c>
      <c r="E12" s="9">
        <v>0.33300000000000002</v>
      </c>
    </row>
    <row r="13" spans="1:5" x14ac:dyDescent="0.35">
      <c r="A13" t="s">
        <v>95</v>
      </c>
      <c r="B13" s="9">
        <v>0.98499999999999999</v>
      </c>
      <c r="C13" s="9">
        <v>0.17899999999999999</v>
      </c>
      <c r="D13" s="9">
        <v>0.92600000000000005</v>
      </c>
      <c r="E13" s="9">
        <v>1.032</v>
      </c>
    </row>
    <row r="14" spans="1:5" x14ac:dyDescent="0.35">
      <c r="A14" t="s">
        <v>96</v>
      </c>
      <c r="B14" s="9">
        <v>0.67</v>
      </c>
      <c r="C14" s="9">
        <v>0.57799999999999996</v>
      </c>
      <c r="D14" s="9">
        <v>-2.4710000000000001</v>
      </c>
      <c r="E14" s="9">
        <v>5.83</v>
      </c>
    </row>
    <row r="15" spans="1:5" x14ac:dyDescent="0.35">
      <c r="A15" t="s">
        <v>97</v>
      </c>
      <c r="B15" s="9">
        <v>0.47799999999999998</v>
      </c>
      <c r="C15" s="9">
        <v>0.67100000000000004</v>
      </c>
      <c r="D15" s="9">
        <v>-3.4620000000000002</v>
      </c>
      <c r="E15" s="9">
        <v>3.0009999999999999</v>
      </c>
    </row>
    <row r="17" spans="1:5" x14ac:dyDescent="0.35">
      <c r="A17" t="s">
        <v>98</v>
      </c>
      <c r="B17" t="s">
        <v>90</v>
      </c>
      <c r="C17" t="s">
        <v>91</v>
      </c>
      <c r="D17" t="s">
        <v>129</v>
      </c>
      <c r="E17" t="s">
        <v>130</v>
      </c>
    </row>
    <row r="19" spans="1:5" x14ac:dyDescent="0.35">
      <c r="A19" t="s">
        <v>9</v>
      </c>
      <c r="B19" s="12">
        <v>17316.099999999999</v>
      </c>
      <c r="C19" s="12">
        <v>25680.3</v>
      </c>
      <c r="D19" s="12">
        <v>35492.5</v>
      </c>
      <c r="E19" s="12">
        <v>47295.8</v>
      </c>
    </row>
    <row r="20" spans="1:5" x14ac:dyDescent="0.35">
      <c r="A20" t="s">
        <v>81</v>
      </c>
      <c r="B20" s="12">
        <v>710.5</v>
      </c>
      <c r="C20" s="12">
        <v>1769.5</v>
      </c>
      <c r="D20" s="12">
        <v>3408.4</v>
      </c>
      <c r="E20" s="12">
        <v>6924.6</v>
      </c>
    </row>
    <row r="21" spans="1:5" x14ac:dyDescent="0.35">
      <c r="A21" t="s">
        <v>84</v>
      </c>
      <c r="B21" s="12">
        <v>-1086.5999999999999</v>
      </c>
      <c r="C21" s="12">
        <v>-319.7</v>
      </c>
      <c r="D21" s="12">
        <v>470.3</v>
      </c>
      <c r="E21" s="12">
        <v>3212.3</v>
      </c>
    </row>
    <row r="22" spans="1:5" x14ac:dyDescent="0.35">
      <c r="A22" t="s">
        <v>23</v>
      </c>
      <c r="B22" s="12">
        <v>-993.3</v>
      </c>
      <c r="C22" s="12">
        <v>-258.39999999999998</v>
      </c>
      <c r="D22" s="12">
        <v>833.5</v>
      </c>
      <c r="E22" s="12">
        <v>3263</v>
      </c>
    </row>
    <row r="23" spans="1:5" x14ac:dyDescent="0.35">
      <c r="A23" t="s">
        <v>99</v>
      </c>
      <c r="B23" s="12">
        <v>-0.77</v>
      </c>
      <c r="C23" s="12">
        <v>-0.23</v>
      </c>
      <c r="D23" s="12">
        <v>0.57999999999999996</v>
      </c>
      <c r="E23" s="12">
        <v>2.2999999999999998</v>
      </c>
    </row>
    <row r="24" spans="1:5" x14ac:dyDescent="0.35">
      <c r="A24" t="s">
        <v>100</v>
      </c>
      <c r="B24" s="12">
        <v>0.71</v>
      </c>
      <c r="C24" s="12">
        <v>1.1000000000000001</v>
      </c>
      <c r="D24" s="12">
        <v>1.69</v>
      </c>
      <c r="E24" s="12">
        <v>2.83</v>
      </c>
    </row>
    <row r="25" spans="1:5" x14ac:dyDescent="0.35">
      <c r="A25" t="s">
        <v>101</v>
      </c>
      <c r="B25" s="12">
        <v>-0.14000000000000001</v>
      </c>
      <c r="C25" s="12">
        <v>1.0900000000000001</v>
      </c>
      <c r="D25" s="12">
        <v>1.88</v>
      </c>
      <c r="E25" s="12">
        <v>3.71</v>
      </c>
    </row>
    <row r="26" spans="1:5" x14ac:dyDescent="0.35">
      <c r="A26" t="s">
        <v>102</v>
      </c>
      <c r="B26" s="12">
        <v>0</v>
      </c>
      <c r="C26" s="12">
        <v>0</v>
      </c>
      <c r="D26" s="12">
        <v>0</v>
      </c>
      <c r="E26" s="12">
        <v>0</v>
      </c>
    </row>
    <row r="27" spans="1:5" x14ac:dyDescent="0.35">
      <c r="A27" t="s">
        <v>103</v>
      </c>
      <c r="B27" s="12">
        <v>1719.8</v>
      </c>
      <c r="C27" s="12">
        <v>2396.6</v>
      </c>
      <c r="D27" s="12">
        <v>3049.2</v>
      </c>
      <c r="E27" s="12">
        <v>3589.3</v>
      </c>
    </row>
    <row r="29" spans="1:5" x14ac:dyDescent="0.35">
      <c r="A29" t="s">
        <v>104</v>
      </c>
      <c r="B29" t="s">
        <v>90</v>
      </c>
      <c r="C29" t="s">
        <v>91</v>
      </c>
      <c r="D29" t="s">
        <v>129</v>
      </c>
      <c r="E29" t="s">
        <v>130</v>
      </c>
    </row>
    <row r="31" spans="1:5" x14ac:dyDescent="0.35">
      <c r="A31" t="s">
        <v>80</v>
      </c>
      <c r="B31" s="9">
        <v>0.42299999999999999</v>
      </c>
      <c r="C31" s="9">
        <v>0.46800000000000003</v>
      </c>
      <c r="D31" s="9">
        <v>0.48299999999999998</v>
      </c>
      <c r="E31" s="9">
        <v>0.50800000000000001</v>
      </c>
    </row>
    <row r="32" spans="1:5" x14ac:dyDescent="0.35">
      <c r="A32" t="s">
        <v>105</v>
      </c>
      <c r="B32" s="9">
        <v>4.1000000000000002E-2</v>
      </c>
      <c r="C32" s="9">
        <v>6.9000000000000006E-2</v>
      </c>
      <c r="D32" s="9">
        <v>9.6000000000000002E-2</v>
      </c>
      <c r="E32" s="9">
        <v>0.14599999999999999</v>
      </c>
    </row>
    <row r="33" spans="1:5" x14ac:dyDescent="0.35">
      <c r="A33" t="s">
        <v>106</v>
      </c>
      <c r="B33" s="9">
        <v>-6.3E-2</v>
      </c>
      <c r="C33" s="9">
        <v>-1.2E-2</v>
      </c>
      <c r="D33" s="9">
        <v>1.2999999999999999E-2</v>
      </c>
      <c r="E33" s="9">
        <v>6.8000000000000005E-2</v>
      </c>
    </row>
    <row r="34" spans="1:5" x14ac:dyDescent="0.35">
      <c r="A34" t="s">
        <v>107</v>
      </c>
      <c r="B34" s="9">
        <v>-5.7000000000000002E-2</v>
      </c>
      <c r="C34" s="9">
        <v>-0.01</v>
      </c>
      <c r="D34" s="9">
        <v>2.3E-2</v>
      </c>
      <c r="E34" s="9">
        <v>6.9000000000000006E-2</v>
      </c>
    </row>
    <row r="35" spans="1:5" x14ac:dyDescent="0.35">
      <c r="A35" t="s">
        <v>108</v>
      </c>
      <c r="B35" s="9">
        <v>-5.3999999999999999E-2</v>
      </c>
      <c r="C35" s="9">
        <v>0</v>
      </c>
      <c r="D35" s="9">
        <v>4.4999999999999998E-2</v>
      </c>
      <c r="E35" s="9">
        <v>0.10299999999999999</v>
      </c>
    </row>
    <row r="36" spans="1:5" x14ac:dyDescent="0.35">
      <c r="A36" t="s">
        <v>109</v>
      </c>
      <c r="B36" s="9">
        <v>-8.5000000000000006E-2</v>
      </c>
      <c r="C36" s="9">
        <v>-1.7000000000000001E-2</v>
      </c>
      <c r="D36" s="9">
        <v>6.6000000000000003E-2</v>
      </c>
      <c r="E36" s="9">
        <v>0.15</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Valuation</vt:lpstr>
      <vt:lpstr>Key Operating Metrics</vt:lpstr>
      <vt:lpstr>Income Statement</vt:lpstr>
      <vt:lpstr>Balance Sheet</vt:lpstr>
      <vt:lpstr>Cash Flow Statement</vt:lpstr>
      <vt:lpstr>Estimates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2020-11-28T17:11:28Z</dcterms:created>
  <dcterms:modified xsi:type="dcterms:W3CDTF">2021-05-18T16:38:07Z</dcterms:modified>
</cp:coreProperties>
</file>